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30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15.xml.rels" ContentType="application/vnd.openxmlformats-package.relationships+xml"/>
  <Override PartName="/xl/worksheets/_rels/sheet1.xml.rels" ContentType="application/vnd.openxmlformats-package.relationship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31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1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.xml" ContentType="application/vnd.openxmlformats-officedocument.spreadsheetml.worksheet+xml"/>
  <Override PartName="/xl/worksheets/sheet18.xml" ContentType="application/vnd.openxmlformats-officedocument.spreadsheetml.worksheet+xml"/>
  <Override PartName="/xl/worksheets/sheet20.xml" ContentType="application/vnd.openxmlformats-officedocument.spreadsheetml.worksheet+xml"/>
  <Override PartName="/xl/worksheets/sheet2.xml" ContentType="application/vnd.openxmlformats-officedocument.spreadsheetml.worksheet+xml"/>
  <Override PartName="/xl/worksheets/sheet19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_rels/workbook.xml.rels" ContentType="application/vnd.openxmlformats-package.relationships+xml"/>
  <Override PartName="/xl/media/image13.png" ContentType="image/png"/>
  <Override PartName="/xl/media/image4.png" ContentType="image/png"/>
  <Override PartName="/xl/media/image9.png" ContentType="image/png"/>
  <Override PartName="/xl/media/image14.png" ContentType="image/png"/>
  <Override PartName="/xl/media/image5.png" ContentType="image/png"/>
  <Override PartName="/xl/media/image15.png" ContentType="image/png"/>
  <Override PartName="/xl/media/image6.png" ContentType="image/png"/>
  <Override PartName="/xl/media/image10.png" ContentType="image/png"/>
  <Override PartName="/xl/media/image1.png" ContentType="image/png"/>
  <Override PartName="/xl/media/image16.png" ContentType="image/png"/>
  <Override PartName="/xl/media/image7.png" ContentType="image/png"/>
  <Override PartName="/xl/media/image11.png" ContentType="image/png"/>
  <Override PartName="/xl/media/image2.png" ContentType="image/png"/>
  <Override PartName="/xl/media/image8.png" ContentType="image/png"/>
  <Override PartName="/xl/media/image1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LLONI_KETU" sheetId="1" state="visible" r:id="rId3"/>
    <sheet name="UDHEZUES_MBYLLJA" sheetId="2" state="hidden" r:id="rId4"/>
    <sheet name="USER_MANUAL" sheetId="3" state="visible" r:id="rId5"/>
    <sheet name="SETTINGS" sheetId="4" state="visible" r:id="rId6"/>
    <sheet name="PLANI_LLOGARIVE" sheetId="5" state="visible" r:id="rId7"/>
    <sheet name="DITARI" sheetId="6" state="visible" r:id="rId8"/>
    <sheet name="LIBRI_I_MADH" sheetId="7" state="visible" r:id="rId9"/>
    <sheet name="BILANCI_PROVE" sheetId="8" state="visible" r:id="rId10"/>
    <sheet name="VEPRIMET_RREGULLUESE" sheetId="9" state="visible" r:id="rId11"/>
    <sheet name="POSTIM_NE_DITAR" sheetId="10" state="visible" r:id="rId12"/>
    <sheet name="PASH_MIKRO_FINAL" sheetId="11" state="visible" r:id="rId13"/>
    <sheet name="BILANCI_MIKRO_FINAL" sheetId="12" state="visible" r:id="rId14"/>
    <sheet name="AUDIT_BILANC" sheetId="13" state="visible" r:id="rId15"/>
    <sheet name="SHENIME_SHPJEGUESE" sheetId="14" state="hidden" r:id="rId16"/>
    <sheet name="DASHBOARD" sheetId="15" state="visible" r:id="rId17"/>
    <sheet name="MBYLLJA_6_7_AUTO" sheetId="16" state="visible" r:id="rId18"/>
    <sheet name="MBYLLJA_VJETORE" sheetId="17" state="hidden" r:id="rId19"/>
    <sheet name="DITAR_MBYLLJE_AUTO" sheetId="18" state="visible" r:id="rId20"/>
    <sheet name="MAP_PASH" sheetId="19" state="hidden" r:id="rId21"/>
    <sheet name="KONTROLL_VEPRIMI" sheetId="20" state="visible" r:id="rId22"/>
    <sheet name="LIBRI_I_MADH_STATIC" sheetId="21" state="hidden" r:id="rId23"/>
    <sheet name="_AUTO_LLOGARI" sheetId="22" state="hidden" r:id="rId24"/>
    <sheet name="LEDGER_ENGINE" sheetId="23" state="hidden" r:id="rId25"/>
    <sheet name="_LM_LIST" sheetId="24" state="hidden" r:id="rId26"/>
    <sheet name="LIBRI_I_MADH_KARTELA" sheetId="25" state="hidden" r:id="rId27"/>
    <sheet name="_POSTING_ACCOUNTS" sheetId="26" state="hidden" r:id="rId28"/>
    <sheet name="MAP_BILANC" sheetId="27" state="hidden" r:id="rId29"/>
    <sheet name="_STYLE_GUIDE" sheetId="28" state="hidden" r:id="rId30"/>
    <sheet name="RECOMMENDATIONS" sheetId="29" state="hidden" r:id="rId31"/>
    <sheet name="ABOUT_DFINITY" sheetId="30" state="hidden" r:id="rId32"/>
    <sheet name="_ROADMAP_V2" sheetId="31" state="hidden" r:id="rId33"/>
    <sheet name="TE_DHENA_KRAHASUESE" sheetId="32" state="visible" r:id="rId34"/>
    <sheet name="KONTROLL_MBYLLJE" sheetId="33" state="hidden" r:id="rId35"/>
  </sheets>
  <definedNames>
    <definedName function="false" hidden="false" localSheetId="10" name="_xlnm.Print_Area" vbProcedure="false">PASH_MIKRO_FINAL!$A$1:$C$60</definedName>
    <definedName function="false" hidden="false" name="DEMO_ID_COUNT" vbProcedure="false">SUMPRODUCT((DITARI!$C$6:$C$400&lt;&gt;"")/COUNTIF(DITARI!$C$6:$C$400,DITARI!$C$6:$C$400&amp;""))</definedName>
    <definedName function="false" hidden="false" name="DFINITY_POSTING_CODES" vbProcedure="false">_POSTING_ACCOUNTS!$A$2:$A$181</definedName>
    <definedName function="false" hidden="false" name="LM_ACCOUNT_LIST" vbProcedure="false">_LM_LIST!$A$2:$A$500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<sst xmlns="http://schemas.openxmlformats.org/spreadsheetml/2006/main" count="5512" uniqueCount="1842">
  <si>
    <t xml:space="preserve">   D-FINITY ACCOUNTING PRO</t>
  </si>
  <si>
    <t xml:space="preserve">Sistem Kontabël · V1.0 · FREE DEMO</t>
  </si>
  <si>
    <t xml:space="preserve">NGA KU FILLON PUNA</t>
  </si>
  <si>
    <t xml:space="preserve">➕  KRIJO KLIENT TË RI  —  Kopjo skedarin, riemërtoje, plotëso Cilësimet — 2 minuta (shih Manualin)</t>
  </si>
  <si>
    <t xml:space="preserve">Cilësimet</t>
  </si>
  <si>
    <t xml:space="preserve">Plani i Llogarive</t>
  </si>
  <si>
    <t xml:space="preserve">Manuali i Përdorimit</t>
  </si>
  <si>
    <t xml:space="preserve">Vendosni subjektin, vitin fiskal, monedhën dhe parametrat kryesorë.</t>
  </si>
  <si>
    <t xml:space="preserve">Referenca e plotë e llogarive. Shtoni llogari vetëm sipas logjikës ekzistuese.</t>
  </si>
  <si>
    <t xml:space="preserve">Udhëzues i shkurtër në shqip për punën ditore dhe zgjidhjen e problemeve.</t>
  </si>
  <si>
    <t xml:space="preserve">Hap  ›</t>
  </si>
  <si>
    <t xml:space="preserve">Ditari</t>
  </si>
  <si>
    <t xml:space="preserve">Kontrolli i Balancave</t>
  </si>
  <si>
    <t xml:space="preserve">Veprimet Rregulluese</t>
  </si>
  <si>
    <t xml:space="preserve">Regjistroni çdo veprim këtu. Zgjidhni kodin e llogarisë — emërtimi shfaqet vetë.</t>
  </si>
  <si>
    <t xml:space="preserve">Libri i Madh dhe Bilanci i Provës — kontrolloni lëvizjet dhe balancimin Debi=Kredi.</t>
  </si>
  <si>
    <t xml:space="preserve">Amortizimi, inventari/KMSH, tatimi dhe rregullimet para mbylljes.</t>
  </si>
  <si>
    <t xml:space="preserve">Postimi në Ditar</t>
  </si>
  <si>
    <t xml:space="preserve">Pasqyrat Financiare</t>
  </si>
  <si>
    <t xml:space="preserve">Paneli Kryesor</t>
  </si>
  <si>
    <t xml:space="preserve">Motori i brendshëm i postimeve automatike — nuk kërkon veprim nga ju.</t>
  </si>
  <si>
    <t xml:space="preserve">PASH, Bilanci dhe Shënimet Shpjeguese gjenerohen automatikisht.</t>
  </si>
  <si>
    <t xml:space="preserve">Përmbledhja financiare e gjithë biznesit, në një ekran.</t>
  </si>
  <si>
    <t xml:space="preserve">MIRË SE VINI NË D‑FINITY ACCOUNTING PRO – FREE DEMO</t>
  </si>
  <si>
    <t xml:space="preserve">Ky version ju lejon të regjistroni deri në 20 veprime kontabël dhe të kontrolloni të gjithë rrjedhën nga Ditari deri te raportet financiare.</t>
  </si>
  <si>
    <t xml:space="preserve">1. Plotësoni të dhënat bazë te SETTINGS.   2. Regjistroni veprimin në DITARI.   3. Përdorni të njëjtën ID për të gjithë rreshtat Debit/Kredit të një veprimi.   4. Kontrolloni Librin e Madh, Bilancin Provë, PASH-in, Bilancin dhe Dashboard-in.   5. Kur të arrini 20 veprime, kontaktoni D‑Finity për versionin e plotë.</t>
  </si>
  <si>
    <t xml:space="preserve">✉  KËRKO VERSIONIN E PLOTË  —  info.dfinity@gmail.com   ·   Instagram: @dfinity.accounting</t>
  </si>
  <si>
    <t xml:space="preserve">Pasqyrat financiare në këtë version janë sipas SKK 15 për mikronjësitë.</t>
  </si>
  <si>
    <t xml:space="preserve">RREGULLAT KRYESORE</t>
  </si>
  <si>
    <t xml:space="preserve">ÇFARË GJENERON SISTEMI</t>
  </si>
  <si>
    <t xml:space="preserve">▪ Ndryshoni vetëm qelizat e inputit — Qelizat me formula nuk duhen prekur. Nëse nuk jeni të sigurt, mos e ndryshoni.</t>
  </si>
  <si>
    <t xml:space="preserve">▪ Libri i Madh — Nga DITARI, sipas kodit të llogarisë.</t>
  </si>
  <si>
    <t xml:space="preserve">▪ Veprimet regjistrohen vetëm në DITARI — Çdo raport tjetër lexohet automatikisht nga Ditari.</t>
  </si>
  <si>
    <t xml:space="preserve">▪ Bilanci i Provës — Kontroll automatik i saldove dhe balancimit.</t>
  </si>
  <si>
    <t xml:space="preserve">▪ Rregullimet e fundvitit dhe mbyllja e klasave 6/7 postohen automatikisht në Ditar pas konfirmimeve te DITAR_MBYLLJE_AUTO / MBYLLJA_6_7_AUTO — asnjë Copy-Paste.</t>
  </si>
  <si>
    <t xml:space="preserve">▪ PASH — Rezultati i ushtrimit sipas klasave 6 dhe 7.</t>
  </si>
  <si>
    <t xml:space="preserve">▪ Mos ndryshoni manualisht rreshtat automatikë 401–488 të DITARIT. Për korrigjim, regjistroni një veprim të ri.</t>
  </si>
  <si>
    <t xml:space="preserve">▪ Bilanci — Gjendja financiare sipas SKK 15 për mikronjësitë.</t>
  </si>
  <si>
    <t xml:space="preserve">KUJDES:  D-Finity V1 automatizon llogaritjet dhe postimin pas konfirmimit; kontabilisti miraton çdo veprim.   ·   VERSIONI:  D-Finity Accounting Pro — Version 1.0 — Finalet financiare për mikronjësitë sipas SKK 15.</t>
  </si>
  <si>
    <t xml:space="preserve">D-FINITY | UDHËZUES I MBYLLJES VJETORE</t>
  </si>
  <si>
    <t xml:space="preserve">Parimi: Llogarit rregullimet → Mirato → Postoji me një konfirmim → Kontrollo → Mbyll Klasat 6/7 → Mirato 121 → 108 kur kërkohet.</t>
  </si>
  <si>
    <t xml:space="preserve">LOGJIKA E THJESHTË E MBYLLJES</t>
  </si>
  <si>
    <t xml:space="preserve">Hapi</t>
  </si>
  <si>
    <t xml:space="preserve">Procesi</t>
  </si>
  <si>
    <t xml:space="preserve">Shpjegimi</t>
  </si>
  <si>
    <t xml:space="preserve">Ku bëhet</t>
  </si>
  <si>
    <t xml:space="preserve">Kontrolli</t>
  </si>
  <si>
    <t xml:space="preserve">1</t>
  </si>
  <si>
    <t xml:space="preserve">Përfundo Ditarin</t>
  </si>
  <si>
    <t xml:space="preserve">Të gjitha veprimet e vitit duhet të jenë regjistruar në DITARI.</t>
  </si>
  <si>
    <t xml:space="preserve">DITARI</t>
  </si>
  <si>
    <t xml:space="preserve">Debi = Kredi</t>
  </si>
  <si>
    <t xml:space="preserve">2</t>
  </si>
  <si>
    <t xml:space="preserve">Kontrollo raportet</t>
  </si>
  <si>
    <t xml:space="preserve">Libri i Madh dhe Bilanci i Provës duhet të jenë pa gabime.</t>
  </si>
  <si>
    <t xml:space="preserve">LIBRI_I_MADH / BILANCI_PROVE</t>
  </si>
  <si>
    <t xml:space="preserve">OK</t>
  </si>
  <si>
    <t xml:space="preserve">3</t>
  </si>
  <si>
    <t xml:space="preserve">Bëj llogaritjet e fundvitit</t>
  </si>
  <si>
    <t xml:space="preserve">Amortizimi, inventari/KMSH, tatimi dhe rregullime të tjera sipas rastit.</t>
  </si>
  <si>
    <t xml:space="preserve">VEPRIMET_RREGULLUESE</t>
  </si>
  <si>
    <t xml:space="preserve">Konfirmo PO vetëm kur do postim</t>
  </si>
  <si>
    <t xml:space="preserve">4</t>
  </si>
  <si>
    <t xml:space="preserve">Aprovo çdo rregullim</t>
  </si>
  <si>
    <t xml:space="preserve">Për secilin rregullim që doni, vendos "PO" te kolona Konfirmo.</t>
  </si>
  <si>
    <t xml:space="preserve">DITAR_MBYLLJE_AUTO</t>
  </si>
  <si>
    <t xml:space="preserve">Konfirmo = PO (rresht për rresht)</t>
  </si>
  <si>
    <t xml:space="preserve">5</t>
  </si>
  <si>
    <t xml:space="preserve">Posto automatikisht</t>
  </si>
  <si>
    <t xml:space="preserve">Vendos M2 = "PO" — rregullimet e aprovuara shkojnë vetë në Ditar.</t>
  </si>
  <si>
    <t xml:space="preserve">DITAR_MBYLLJE_AUTO!M2</t>
  </si>
  <si>
    <t xml:space="preserve">Asnjë Copy-Paste</t>
  </si>
  <si>
    <t xml:space="preserve">6</t>
  </si>
  <si>
    <t xml:space="preserve">Mbyll klasat 7 dhe 6</t>
  </si>
  <si>
    <t xml:space="preserve">Pas rregullimeve, zgjidh PO te MBYLLJA_6_7_AUTO. Të dy klasat postohen bashkë direkt në DITARI dhe rezultati mbetet në 121; nuk kërkohet copy/paste. ⚠ Mos e kthe konfirmimin (B8) në JO pas kësaj — fshin veprimet nga Ditari; për korrigjim, shto veprim të ri.</t>
  </si>
  <si>
    <t xml:space="preserve">POSTIM_NE_DITAR</t>
  </si>
  <si>
    <t xml:space="preserve">Mbyllja është hapi i fundit</t>
  </si>
  <si>
    <t xml:space="preserve">SI TRAJTOHEN VEPRIMET E FUNDIT TË VITIT</t>
  </si>
  <si>
    <t xml:space="preserve">Moduli</t>
  </si>
  <si>
    <t xml:space="preserve">Çfarë bën D-Finity</t>
  </si>
  <si>
    <t xml:space="preserve">Veprimi tipik</t>
  </si>
  <si>
    <t xml:space="preserve">Shënim</t>
  </si>
  <si>
    <t xml:space="preserve">KMSH / 603</t>
  </si>
  <si>
    <t xml:space="preserve">Nuk automatizohet në Versionin 1. Nëse subjekti përdor inventar periodik, kontabilisti regjistron veprimin sipas politikës kontabël. Pas regjistrimit në Ditar, D-Finity e lexon automatikisht në PASH dhe në mbyllje.</t>
  </si>
  <si>
    <t xml:space="preserve">Manual nga kontabilisti</t>
  </si>
  <si>
    <t xml:space="preserve">Regjistrohet në DITARI nëse aplikohet</t>
  </si>
  <si>
    <t xml:space="preserve">Amortizimi</t>
  </si>
  <si>
    <t xml:space="preserve">Sistemi llogarit amortizimin. Mirato rreshtat e saktë dhe zgjidh PO te DITAR_MBYLLJE_AUTO!M2; postimi kryhet direkt në DITARI.</t>
  </si>
  <si>
    <t xml:space="preserve">Dt 681 / Kt 280 ose 281</t>
  </si>
  <si>
    <t xml:space="preserve">Rregullime të tjera</t>
  </si>
  <si>
    <t xml:space="preserve">Provigjione, zhvlerësime ose korrigjime të tjera vendosen vetëm kur ka bazë dhe dokumentim.</t>
  </si>
  <si>
    <t xml:space="preserve">Sipas rastit</t>
  </si>
  <si>
    <t xml:space="preserve">Kontabilisti vendos llogarinë dhe shumën</t>
  </si>
  <si>
    <t xml:space="preserve">Tatimi mbi fitimin</t>
  </si>
  <si>
    <t xml:space="preserve">Pasi kontrollohet fitimi fiskal, mirato tatimin dhe zgjidh PO te komanda e postimit të rregullimeve. Artikulli 694/444 kalon direkt në DITARI.</t>
  </si>
  <si>
    <t xml:space="preserve">Dt 694 / Kt 444</t>
  </si>
  <si>
    <t xml:space="preserve">Postohet para mbylljes së klasës 6</t>
  </si>
  <si>
    <t xml:space="preserve">Mbyllja e të ardhurave</t>
  </si>
  <si>
    <t xml:space="preserve">Të gjitha llogaritë e klasës 7 me saldo mbyllen te 121 me një numër veprimi.</t>
  </si>
  <si>
    <t xml:space="preserve">Dt 7XX / Kt 121</t>
  </si>
  <si>
    <t xml:space="preserve">Hapi i fundit, pas tatimit</t>
  </si>
  <si>
    <t xml:space="preserve">Mbyllja e shpenzimeve</t>
  </si>
  <si>
    <t xml:space="preserve">Të gjitha llogaritë e klasës 6 me saldo mbyllen te 121 me një numër veprimi. Këtu përfshihet edhe 694 dhe çdo 603 e regjistruar më parë.</t>
  </si>
  <si>
    <t xml:space="preserve">Dt 121 / Kt 6XX</t>
  </si>
  <si>
    <t xml:space="preserve">Hapi i fundit</t>
  </si>
  <si>
    <t xml:space="preserve">POSTIMI AUTOMATIK I RREGULLIMEVE</t>
  </si>
  <si>
    <t xml:space="preserve">Nr</t>
  </si>
  <si>
    <t xml:space="preserve">Veprimi</t>
  </si>
  <si>
    <t xml:space="preserve">Hap modulin VEPRIMET_RREGULLUESE dhe kontrollo shumat.</t>
  </si>
  <si>
    <t xml:space="preserve">Te DITAR_MBYLLJE_AUTO vendos PO vetëm te rregullimet e miratuara.</t>
  </si>
  <si>
    <t xml:space="preserve">Kontrollo që statusi i tyre të jetë GATI PËR POSTIM.</t>
  </si>
  <si>
    <t xml:space="preserve">Vendos M2=PO; rreshtat kalojnë automatikisht në DITARI.</t>
  </si>
  <si>
    <t xml:space="preserve">Vetëm pasi rregullimet janë POSTUAR, te MBYLLJA_6_7_AUTO vendos B8=PO.</t>
  </si>
  <si>
    <t xml:space="preserve">RREGULL SIGURIE: 121 mban rezultatin e vitit aktual. Pas miratimit, kalimi 121 → 108 bëhet si Hapi 3, me konfirmim PO dhe dokument/vendim të veçantë. Tërheqjet reale përdorin 451.</t>
  </si>
  <si>
    <t xml:space="preserve">KUJDES
Mbyllja e klasave 6 dhe 7 bëhet gjithmonë në fund. Nëse pas mbylljes regjistrohet një rregullim tjetër, mbyllja duhet të rishikohet, sepse saldot e klasës 6/7 ndryshojnë.</t>
  </si>
  <si>
    <t xml:space="preserve">SHËNIM PROJEKTI
Në Versionin 2 Web, inventari mund të ndërtohet si inventar i vazhdueshëm me FIFO/LIFO/Mesatare dhe KMSH 605 automatik. Në Versionin 1 Excel, 603 lihet në përgjegjësi të kontabilistit për të shmangur kompleksitet të panevojshëm.</t>
  </si>
  <si>
    <t xml:space="preserve">   MANUALI I PËRDORIMIT</t>
  </si>
  <si>
    <t xml:space="preserve">Udhëzues i shkurtër, në gjuhën shqipe, për përdorimin e përditshëm të D-Finity Accounting Pro.</t>
  </si>
  <si>
    <t xml:space="preserve">1. FILLIMI</t>
  </si>
  <si>
    <t xml:space="preserve">Çfarë është D-Finity?</t>
  </si>
  <si>
    <t xml:space="preserve">Një sistem kontabiliteti për njësitë ekonomike. Veprimet regjistrohen një herë; raportet gjenerohen automatikisht.</t>
  </si>
  <si>
    <t xml:space="preserve">Nga ku fillon çdo ditë?</t>
  </si>
  <si>
    <t xml:space="preserve">Nga Paneli Kryesor (Dashboard) — aty shihni menjëherë gjendjen e biznesit dhe nëse ka gabime për të kontrolluar.</t>
  </si>
  <si>
    <t xml:space="preserve">Rendi i punës</t>
  </si>
  <si>
    <t xml:space="preserve">Cilësimet → Plani i Llogarive → Ditari → kontrolli në Libri i Madh/Bilanci i Provës → pasqyrat PASH/Bilanci/Shënime.</t>
  </si>
  <si>
    <t xml:space="preserve">2. SI REGJISTROHET NJË VEPRIM</t>
  </si>
  <si>
    <t xml:space="preserve">Ku regjistrohet?</t>
  </si>
  <si>
    <t xml:space="preserve">Vetëm në fletën DITARI. Asnjë veprim nuk regjistrohet gjetkë.</t>
  </si>
  <si>
    <t xml:space="preserve">Çfarë plotësoj?</t>
  </si>
  <si>
    <t xml:space="preserve">Data, Numri i dokumentit, Kodi i llogarisë, shuma në Debit OSE Kredit (jo të dyja), Subjekti dhe Përshkrimi. Emri i llogarisë shfaqet vetë.</t>
  </si>
  <si>
    <t xml:space="preserve">Si e di nëse është saktë?</t>
  </si>
  <si>
    <t xml:space="preserve">Kolona "Status" tregon OK kur veprimi është i balancuar. Nëse shfaqet gabim, kontrolloni kodin e llogarisë dhe shumat.</t>
  </si>
  <si>
    <t xml:space="preserve">Rregulla e artë</t>
  </si>
  <si>
    <t xml:space="preserve">Mos fshini dhe mos ndryshoni formula. Nëse nuk jeni të sigurt për një qelizë, mos e prekni.</t>
  </si>
  <si>
    <t xml:space="preserve">3. SI LEXOHEN RAPORTET</t>
  </si>
  <si>
    <t xml:space="preserve">Libri i Madh</t>
  </si>
  <si>
    <t xml:space="preserve">Tregon lëvizjet e çdo llogarie veç e veç, të marra automatikisht nga Ditari.</t>
  </si>
  <si>
    <t xml:space="preserve">Bilanci i Provës</t>
  </si>
  <si>
    <t xml:space="preserve">Kontrollon që Debi = Kredi për të gjitha llogaritë. Nëse diferenca nuk është zero, ka një gabim regjistrimi për t’u gjetur në Ditar.</t>
  </si>
  <si>
    <t xml:space="preserve">PASH</t>
  </si>
  <si>
    <t xml:space="preserve">Rezultati i veprimtarisë — fitimi ose humbja e vitit — llogaritet vetë nga klasat 6 dhe 7.</t>
  </si>
  <si>
    <t xml:space="preserve">Bilanci</t>
  </si>
  <si>
    <t xml:space="preserve">Gjendja financiare e njësisë (Aktive, Pasive, Kapital) në fund të periudhës, sipas SKK 15.</t>
  </si>
  <si>
    <t xml:space="preserve">4. MBYLLJA E VITIT</t>
  </si>
  <si>
    <t xml:space="preserve">Ku gjendet udhëzuesi i plotë?</t>
  </si>
  <si>
    <t xml:space="preserve">Në fletën UDHEZUES_MBYLLJA — hap pas hapi, me kontrollet përkatëse.</t>
  </si>
  <si>
    <t xml:space="preserve">Parimi i përgjithshëm</t>
  </si>
  <si>
    <t xml:space="preserve">Sistemi llogarit dhe sugjeron rregullimet e fundvitit. Te DITAR_MBYLLJE_AUTO konfirmoni PO, dhe postimi bëhet automatikisht.</t>
  </si>
  <si>
    <t xml:space="preserve">Si postohet automatikisht</t>
  </si>
  <si>
    <t xml:space="preserve">1) Kontrolloni shumat te moduli VEPRIMET_RREGULLUESE.  2) Te DITAR_MBYLLJE_AUTO, konfirmoni PO rresht-për-rresht.  3) Vendosni M2=PO — postohet automatikisht.</t>
  </si>
  <si>
    <t xml:space="preserve">⚠ KUJDES</t>
  </si>
  <si>
    <t xml:space="preserve">Mos e ndryshoni MBYLLJA_6_7_AUTO!B8 ose J107 pasi keni mbyllur vitin. Rreshtat 401-488 të DITARIT janë të lidhur me këto konfirmime — nëse kthehen në "JO", veprimet e postuara zhduken nga Ditari (përfshirë transferimin 121→108). Nëse duhet korrigjim pas mbylljes, shtoni një veprim të RI korrigjues — mos i prekni këto konfirmime.</t>
  </si>
  <si>
    <t xml:space="preserve">5. ZONA E KONTABILISTIT</t>
  </si>
  <si>
    <t xml:space="preserve">Çfarë është?</t>
  </si>
  <si>
    <t xml:space="preserve">Një grup fletësh diagnostikuese (p.sh. Audit dhe Kontrolli i Veprimeve) — për verifikim të brendshëm, jo për punën e përditshme.</t>
  </si>
  <si>
    <t xml:space="preserve">6. PROBLEME TË ZAKONSHME</t>
  </si>
  <si>
    <t xml:space="preserve">Statusi tregon ERROR në Ditar</t>
  </si>
  <si>
    <t xml:space="preserve">Kontrolloni që çdo rresht ka vetëm Debit OSE Kredit, dhe që ID e Veprimit është njësoj për të gjitha rreshtat e të njëjtit veprim.</t>
  </si>
  <si>
    <t xml:space="preserve">Bilanci i Provës nuk balancohet</t>
  </si>
  <si>
    <t xml:space="preserve">Kërkoni rreshtin që mungon ose është dublikuar në Ditar. Kontrolli te Dashboard tregon menjëherë diferencën.</t>
  </si>
  <si>
    <t xml:space="preserve">Nuk shoh një fletë</t>
  </si>
  <si>
    <t xml:space="preserve">Disa fletë teknike janë fshehur qëllimisht. Kontaktoni mbështetjen nëse ju duhet diçka specifike.</t>
  </si>
  <si>
    <t xml:space="preserve">   CILËSIMET</t>
  </si>
  <si>
    <t xml:space="preserve">Këto të dhëna përdoren automatikisht në Home, Dashboard dhe Shënimet Shpjeguese.</t>
  </si>
  <si>
    <t xml:space="preserve">KOMPANIA</t>
  </si>
  <si>
    <t xml:space="preserve">Emri i biznesit</t>
  </si>
  <si>
    <t xml:space="preserve">Shfaqet në Home, Dashboard dhe në kokën e pasqyrave financiare.</t>
  </si>
  <si>
    <t xml:space="preserve">NIPT</t>
  </si>
  <si>
    <t xml:space="preserve">Numri i identifikimit të subjektit. Përdoret në Shënimet Shpjeguese.</t>
  </si>
  <si>
    <t xml:space="preserve">PERIUDHA FISKALE</t>
  </si>
  <si>
    <t xml:space="preserve">Viti fiskal</t>
  </si>
  <si>
    <t xml:space="preserve">Viti për të cilin përgatiten pasqyrat financiare aktuale.</t>
  </si>
  <si>
    <t xml:space="preserve">Viti paraardhës</t>
  </si>
  <si>
    <t xml:space="preserve">Përdoret për krahasimin vit-me-vit në Bilanc dhe PASH.</t>
  </si>
  <si>
    <t xml:space="preserve">MONEDHA &amp; STANDARDI</t>
  </si>
  <si>
    <t xml:space="preserve">Monedha</t>
  </si>
  <si>
    <t xml:space="preserve">Lekë</t>
  </si>
  <si>
    <t xml:space="preserve">Etiketa e monedhës e shfaqur në raporte. Nuk kryen konvertim automatik.</t>
  </si>
  <si>
    <t xml:space="preserve">Norma standarde TVSH</t>
  </si>
  <si>
    <t xml:space="preserve">Përdoret si referencë; llogaritja aktuale e TVSH-së bëhet te BILANCI_PROVE.</t>
  </si>
  <si>
    <t xml:space="preserve">Standardi kontabël</t>
  </si>
  <si>
    <t xml:space="preserve">SKK / Plani i Përgjithshëm i Llogarive</t>
  </si>
  <si>
    <t xml:space="preserve">Fiksuar për Versionin 1 — D-Finity mbështet SKK 15 për mikronjësi.</t>
  </si>
  <si>
    <t xml:space="preserve">Kodi</t>
  </si>
  <si>
    <t xml:space="preserve">Emërtimi</t>
  </si>
  <si>
    <t xml:space="preserve">Niveli</t>
  </si>
  <si>
    <t xml:space="preserve">Klasa</t>
  </si>
  <si>
    <t xml:space="preserve">Klasa_Emër</t>
  </si>
  <si>
    <t xml:space="preserve">Grupi</t>
  </si>
  <si>
    <t xml:space="preserve">Tipi</t>
  </si>
  <si>
    <t xml:space="preserve">Kategoria</t>
  </si>
  <si>
    <t xml:space="preserve">Balanca Normale</t>
  </si>
  <si>
    <t xml:space="preserve">Lejohet në Ditar</t>
  </si>
  <si>
    <t xml:space="preserve">Dropdown</t>
  </si>
  <si>
    <t xml:space="preserve">Map Bilanc SKK15</t>
  </si>
  <si>
    <t xml:space="preserve">UDHËZUES I SHPEJTË</t>
  </si>
  <si>
    <t xml:space="preserve">Kapitali, rezervat dhe rezultati</t>
  </si>
  <si>
    <t xml:space="preserve">Kapital</t>
  </si>
  <si>
    <t xml:space="preserve">Header</t>
  </si>
  <si>
    <t xml:space="preserve">Grup</t>
  </si>
  <si>
    <t xml:space="preserve">Si të shtosh një llogari të re:</t>
  </si>
  <si>
    <t xml:space="preserve">10</t>
  </si>
  <si>
    <t xml:space="preserve">Kapitali</t>
  </si>
  <si>
    <t xml:space="preserve">1) Gjej klasën përkatëse (p.sh. Klasa 5 për bankë/arkë).</t>
  </si>
  <si>
    <t xml:space="preserve">101</t>
  </si>
  <si>
    <t xml:space="preserve">Kapitali i paguar / themeltar</t>
  </si>
  <si>
    <t xml:space="preserve">Bilanc</t>
  </si>
  <si>
    <t xml:space="preserve">Credit</t>
  </si>
  <si>
    <t xml:space="preserve">2) Shto rresht poshtë grupit përkatës ose te hapësira e re në fund.</t>
  </si>
  <si>
    <t xml:space="preserve">102</t>
  </si>
  <si>
    <t xml:space="preserve">Kapitali i nënshkruar i papaguar</t>
  </si>
  <si>
    <t xml:space="preserve">Kundër-kapital</t>
  </si>
  <si>
    <t xml:space="preserve">Debit</t>
  </si>
  <si>
    <t xml:space="preserve">Kapital (-)</t>
  </si>
  <si>
    <t xml:space="preserve">3) Plotëso Kodi, Emërtimi, Klasa, Tipi, Balanca Normale.</t>
  </si>
  <si>
    <t xml:space="preserve">104</t>
  </si>
  <si>
    <t xml:space="preserve">Prime të lidhura me kapitalin</t>
  </si>
  <si>
    <t xml:space="preserve">4) Vendos Lejohet në Ditar = TRUE që të dalë në dropdown.</t>
  </si>
  <si>
    <t xml:space="preserve">105</t>
  </si>
  <si>
    <t xml:space="preserve">Rezerva nga rivlerësimi</t>
  </si>
  <si>
    <t xml:space="preserve">5) Mos përdor kode të dyfishta.</t>
  </si>
  <si>
    <t xml:space="preserve">106</t>
  </si>
  <si>
    <t xml:space="preserve">Rezerva ligjore</t>
  </si>
  <si>
    <t xml:space="preserve">Shembuj: 5124 Bankë në valutë; 5314 Arka në valutë.</t>
  </si>
  <si>
    <t xml:space="preserve">107</t>
  </si>
  <si>
    <t xml:space="preserve">Rezerva të tjera</t>
  </si>
  <si>
    <t xml:space="preserve">108</t>
  </si>
  <si>
    <t xml:space="preserve">Fitim / Humbje e pashpërndarë</t>
  </si>
  <si>
    <t xml:space="preserve">Debit/Credit</t>
  </si>
  <si>
    <t xml:space="preserve">109</t>
  </si>
  <si>
    <t xml:space="preserve">Rezultati i ushtrimit (JO AKTIV — përdor 121)</t>
  </si>
  <si>
    <t xml:space="preserve">121</t>
  </si>
  <si>
    <t xml:space="preserve">Rezultati i ushtrimit — viti aktual</t>
  </si>
  <si>
    <t xml:space="preserve">Aktivet afatgjata</t>
  </si>
  <si>
    <t xml:space="preserve">Aktive afatgjata</t>
  </si>
  <si>
    <t xml:space="preserve">Aktive</t>
  </si>
  <si>
    <t xml:space="preserve">20</t>
  </si>
  <si>
    <t xml:space="preserve">Aktive afatgjata jomateriale</t>
  </si>
  <si>
    <t xml:space="preserve">201</t>
  </si>
  <si>
    <t xml:space="preserve">Emri i mirë</t>
  </si>
  <si>
    <t xml:space="preserve">Aktiv</t>
  </si>
  <si>
    <t xml:space="preserve">203</t>
  </si>
  <si>
    <t xml:space="preserve">Shpenzime zhvillimi</t>
  </si>
  <si>
    <t xml:space="preserve">205</t>
  </si>
  <si>
    <t xml:space="preserve">Koncesione, patenta, licenca</t>
  </si>
  <si>
    <t xml:space="preserve">208</t>
  </si>
  <si>
    <t xml:space="preserve">Të tjera AAM jomateriale</t>
  </si>
  <si>
    <t xml:space="preserve">21</t>
  </si>
  <si>
    <t xml:space="preserve">Aktive afatgjata materiale</t>
  </si>
  <si>
    <t xml:space="preserve">211</t>
  </si>
  <si>
    <t xml:space="preserve">Toka</t>
  </si>
  <si>
    <t xml:space="preserve">212</t>
  </si>
  <si>
    <t xml:space="preserve">Ndërtesa</t>
  </si>
  <si>
    <t xml:space="preserve">213</t>
  </si>
  <si>
    <t xml:space="preserve">Instalime teknike, makineri, pajisje</t>
  </si>
  <si>
    <t xml:space="preserve">215</t>
  </si>
  <si>
    <t xml:space="preserve">Mjete transporti</t>
  </si>
  <si>
    <t xml:space="preserve">218</t>
  </si>
  <si>
    <t xml:space="preserve">Të tjera AAM materiale</t>
  </si>
  <si>
    <t xml:space="preserve">23</t>
  </si>
  <si>
    <t xml:space="preserve">Aktive afatgjata në proces</t>
  </si>
  <si>
    <t xml:space="preserve">231</t>
  </si>
  <si>
    <t xml:space="preserve">AAM materiale në proces</t>
  </si>
  <si>
    <t xml:space="preserve">232</t>
  </si>
  <si>
    <t xml:space="preserve">AAM jomateriale në proces</t>
  </si>
  <si>
    <t xml:space="preserve">28</t>
  </si>
  <si>
    <t xml:space="preserve">Amortizimi i akumuluar i AAM</t>
  </si>
  <si>
    <t xml:space="preserve">Kundër-aktiv</t>
  </si>
  <si>
    <t xml:space="preserve">280</t>
  </si>
  <si>
    <t xml:space="preserve">Amortizimi i AA jomateriale</t>
  </si>
  <si>
    <t xml:space="preserve">Aktive afatgjata (-)</t>
  </si>
  <si>
    <t xml:space="preserve">281</t>
  </si>
  <si>
    <t xml:space="preserve">Amortizimi i AA materiale</t>
  </si>
  <si>
    <t xml:space="preserve">29</t>
  </si>
  <si>
    <t xml:space="preserve">Zhvlerësimi i aktiveve afatgjata</t>
  </si>
  <si>
    <t xml:space="preserve">290</t>
  </si>
  <si>
    <t xml:space="preserve">Zhvlerësim i AA jomateriale</t>
  </si>
  <si>
    <t xml:space="preserve">291</t>
  </si>
  <si>
    <t xml:space="preserve">Zhvlerësim i AA materiale</t>
  </si>
  <si>
    <t xml:space="preserve">Inventarët</t>
  </si>
  <si>
    <t xml:space="preserve">Inventarë dhe aktive në proces</t>
  </si>
  <si>
    <t xml:space="preserve">Inventar</t>
  </si>
  <si>
    <t xml:space="preserve">31</t>
  </si>
  <si>
    <t xml:space="preserve">Materiale</t>
  </si>
  <si>
    <t xml:space="preserve">311</t>
  </si>
  <si>
    <t xml:space="preserve">Materiale të para</t>
  </si>
  <si>
    <t xml:space="preserve">312</t>
  </si>
  <si>
    <t xml:space="preserve">Materiale të tjera</t>
  </si>
  <si>
    <t xml:space="preserve">32</t>
  </si>
  <si>
    <t xml:space="preserve">Inventar i imët dhe ambalazhe</t>
  </si>
  <si>
    <t xml:space="preserve">321</t>
  </si>
  <si>
    <t xml:space="preserve">Objekte inventari</t>
  </si>
  <si>
    <t xml:space="preserve">326</t>
  </si>
  <si>
    <t xml:space="preserve">Ambalazh i kthyeshëm</t>
  </si>
  <si>
    <t xml:space="preserve">33</t>
  </si>
  <si>
    <t xml:space="preserve">Prodhime në proces</t>
  </si>
  <si>
    <t xml:space="preserve">331</t>
  </si>
  <si>
    <t xml:space="preserve">332</t>
  </si>
  <si>
    <t xml:space="preserve">Punime në proces</t>
  </si>
  <si>
    <t xml:space="preserve">34</t>
  </si>
  <si>
    <t xml:space="preserve">Produkte</t>
  </si>
  <si>
    <t xml:space="preserve">341</t>
  </si>
  <si>
    <t xml:space="preserve">Produkte të ndërmjetme</t>
  </si>
  <si>
    <t xml:space="preserve">342</t>
  </si>
  <si>
    <t xml:space="preserve">Produkte të gatshme</t>
  </si>
  <si>
    <t xml:space="preserve">35</t>
  </si>
  <si>
    <t xml:space="preserve">Mallra për shitje</t>
  </si>
  <si>
    <t xml:space="preserve">351</t>
  </si>
  <si>
    <t xml:space="preserve">37</t>
  </si>
  <si>
    <t xml:space="preserve">Inventar i pambërritur ose tek të tretët</t>
  </si>
  <si>
    <t xml:space="preserve">371</t>
  </si>
  <si>
    <t xml:space="preserve">Materiale të para në rrugë</t>
  </si>
  <si>
    <t xml:space="preserve">372</t>
  </si>
  <si>
    <t xml:space="preserve">Materiale të tjera në rrugë</t>
  </si>
  <si>
    <t xml:space="preserve">374</t>
  </si>
  <si>
    <t xml:space="preserve">Produkte të gatshme në rrugë</t>
  </si>
  <si>
    <t xml:space="preserve">375</t>
  </si>
  <si>
    <t xml:space="preserve">Mallra në rrugë</t>
  </si>
  <si>
    <t xml:space="preserve">39</t>
  </si>
  <si>
    <t xml:space="preserve">Zhvlerësimi i inventarëve</t>
  </si>
  <si>
    <t xml:space="preserve">391</t>
  </si>
  <si>
    <t xml:space="preserve">Zhvlerësim i materialeve të para</t>
  </si>
  <si>
    <t xml:space="preserve">Inventar (-)</t>
  </si>
  <si>
    <t xml:space="preserve">394</t>
  </si>
  <si>
    <t xml:space="preserve">Zhvlerësim i produkteve të gatshme</t>
  </si>
  <si>
    <t xml:space="preserve">395</t>
  </si>
  <si>
    <t xml:space="preserve">Zhvlerësim i mallrave për shitje</t>
  </si>
  <si>
    <t xml:space="preserve">Llogaritë e të tretëve</t>
  </si>
  <si>
    <t xml:space="preserve">Të tretët</t>
  </si>
  <si>
    <t xml:space="preserve">40</t>
  </si>
  <si>
    <t xml:space="preserve">Detyrime tregtare</t>
  </si>
  <si>
    <t xml:space="preserve">401</t>
  </si>
  <si>
    <t xml:space="preserve">Furnitorë për mallra, produkte e shërbime</t>
  </si>
  <si>
    <t xml:space="preserve">Detyrim</t>
  </si>
  <si>
    <t xml:space="preserve">Detyrime afatshkurtra</t>
  </si>
  <si>
    <t xml:space="preserve">403</t>
  </si>
  <si>
    <t xml:space="preserve">Premtim pagesa të pagueshme</t>
  </si>
  <si>
    <t xml:space="preserve">404</t>
  </si>
  <si>
    <t xml:space="preserve">Furnitorë për aktive afatgjata</t>
  </si>
  <si>
    <t xml:space="preserve">408</t>
  </si>
  <si>
    <t xml:space="preserve">Furnitorë për fatura të pambërritura</t>
  </si>
  <si>
    <t xml:space="preserve">409</t>
  </si>
  <si>
    <t xml:space="preserve">Parapagime të marra</t>
  </si>
  <si>
    <t xml:space="preserve">41</t>
  </si>
  <si>
    <t xml:space="preserve">Të drejta tregtare</t>
  </si>
  <si>
    <t xml:space="preserve">411</t>
  </si>
  <si>
    <t xml:space="preserve">Klientë për mallra, produkte e shërbime</t>
  </si>
  <si>
    <t xml:space="preserve">Të drejta afatshkurtra</t>
  </si>
  <si>
    <t xml:space="preserve">413</t>
  </si>
  <si>
    <t xml:space="preserve">Premtim pagesa të arkëtueshme</t>
  </si>
  <si>
    <t xml:space="preserve">414</t>
  </si>
  <si>
    <t xml:space="preserve">Klientë për aktive afatgjata</t>
  </si>
  <si>
    <t xml:space="preserve">418</t>
  </si>
  <si>
    <t xml:space="preserve">Parapagime të dhëna</t>
  </si>
  <si>
    <t xml:space="preserve">42</t>
  </si>
  <si>
    <t xml:space="preserve">Detyrime ndaj personelit</t>
  </si>
  <si>
    <t xml:space="preserve">421</t>
  </si>
  <si>
    <t xml:space="preserve">Paga dhe shpërblime</t>
  </si>
  <si>
    <t xml:space="preserve">Personeli</t>
  </si>
  <si>
    <t xml:space="preserve">423</t>
  </si>
  <si>
    <t xml:space="preserve">Paradhënie për punonjësit</t>
  </si>
  <si>
    <t xml:space="preserve">43</t>
  </si>
  <si>
    <t xml:space="preserve">Detyrime për sigurime</t>
  </si>
  <si>
    <t xml:space="preserve">431</t>
  </si>
  <si>
    <t xml:space="preserve">Sigurime shoqërore dhe shëndetësore</t>
  </si>
  <si>
    <t xml:space="preserve">Sigurime</t>
  </si>
  <si>
    <t xml:space="preserve">Detyrime tatimore</t>
  </si>
  <si>
    <t xml:space="preserve">437</t>
  </si>
  <si>
    <t xml:space="preserve">Organizma të tjera shoqërore</t>
  </si>
  <si>
    <t xml:space="preserve">438</t>
  </si>
  <si>
    <t xml:space="preserve">Detyrime të tjera</t>
  </si>
  <si>
    <t xml:space="preserve">44</t>
  </si>
  <si>
    <t xml:space="preserve">Shteti për tatime dhe taksa</t>
  </si>
  <si>
    <t xml:space="preserve">441</t>
  </si>
  <si>
    <t xml:space="preserve">Akciza</t>
  </si>
  <si>
    <t xml:space="preserve">Tatime</t>
  </si>
  <si>
    <t xml:space="preserve">442</t>
  </si>
  <si>
    <t xml:space="preserve">Tatimi mbi të ardhurat personale</t>
  </si>
  <si>
    <t xml:space="preserve">443</t>
  </si>
  <si>
    <t xml:space="preserve">Tatime të tjera për punonjësit</t>
  </si>
  <si>
    <t xml:space="preserve">444</t>
  </si>
  <si>
    <t xml:space="preserve">Tatim mbi fitimin</t>
  </si>
  <si>
    <t xml:space="preserve">445</t>
  </si>
  <si>
    <t xml:space="preserve">TVSH</t>
  </si>
  <si>
    <t xml:space="preserve">4456</t>
  </si>
  <si>
    <t xml:space="preserve">Shteti - TVSH e zbritshme</t>
  </si>
  <si>
    <t xml:space="preserve">Të drejta tatimore</t>
  </si>
  <si>
    <t xml:space="preserve">4457</t>
  </si>
  <si>
    <t xml:space="preserve">Shteti - TVSH e pagueshme</t>
  </si>
  <si>
    <t xml:space="preserve">4458</t>
  </si>
  <si>
    <t xml:space="preserve">Shteti - TVSH për t’u rregulluar</t>
  </si>
  <si>
    <t xml:space="preserve">446</t>
  </si>
  <si>
    <t xml:space="preserve">Tatime të tjera ndaj shtetit</t>
  </si>
  <si>
    <t xml:space="preserve">4461</t>
  </si>
  <si>
    <t xml:space="preserve">Detyrime për taksë doganore/TVSH në doganë</t>
  </si>
  <si>
    <t xml:space="preserve">447</t>
  </si>
  <si>
    <t xml:space="preserve">Të tjera tatime për t’u paguar/për t’u kthyer</t>
  </si>
  <si>
    <t xml:space="preserve">4471</t>
  </si>
  <si>
    <t xml:space="preserve">Tatim qiraje në burim</t>
  </si>
  <si>
    <t xml:space="preserve">448</t>
  </si>
  <si>
    <t xml:space="preserve">Tatime të shtyra</t>
  </si>
  <si>
    <t xml:space="preserve">449</t>
  </si>
  <si>
    <t xml:space="preserve">Tatimi në burim</t>
  </si>
  <si>
    <t xml:space="preserve">45</t>
  </si>
  <si>
    <t xml:space="preserve">Të drejta/detyrime ndaj ortakëve</t>
  </si>
  <si>
    <t xml:space="preserve">451</t>
  </si>
  <si>
    <t xml:space="preserve">Llogari rrjedhëse me pronarët</t>
  </si>
  <si>
    <t xml:space="preserve">Ortakë</t>
  </si>
  <si>
    <t xml:space="preserve">Llogari rrjedhëse pronarësh</t>
  </si>
  <si>
    <t xml:space="preserve">Kapital (-/+)</t>
  </si>
  <si>
    <t xml:space="preserve">455</t>
  </si>
  <si>
    <t xml:space="preserve">Detyrime ndaj ortakëve</t>
  </si>
  <si>
    <t xml:space="preserve">456</t>
  </si>
  <si>
    <t xml:space="preserve">Të drejta ndaj pronarëve për kapitalin e nënshkruar</t>
  </si>
  <si>
    <t xml:space="preserve">457</t>
  </si>
  <si>
    <t xml:space="preserve">Dividentë për t’u paguar</t>
  </si>
  <si>
    <t xml:space="preserve">46</t>
  </si>
  <si>
    <t xml:space="preserve">Debitorë dhe kreditorë të ndryshëm</t>
  </si>
  <si>
    <t xml:space="preserve">461</t>
  </si>
  <si>
    <t xml:space="preserve">Huamarrje afatshkurtra</t>
  </si>
  <si>
    <t xml:space="preserve">Hua</t>
  </si>
  <si>
    <t xml:space="preserve">Detyrime financiare</t>
  </si>
  <si>
    <t xml:space="preserve">468</t>
  </si>
  <si>
    <t xml:space="preserve">Huamarrje afatgjata</t>
  </si>
  <si>
    <t xml:space="preserve">47</t>
  </si>
  <si>
    <t xml:space="preserve">Llogari të përkohshme ose në pritje</t>
  </si>
  <si>
    <t xml:space="preserve">476</t>
  </si>
  <si>
    <t xml:space="preserve">Diferenca konvertimi aktive</t>
  </si>
  <si>
    <t xml:space="preserve">Në pritje</t>
  </si>
  <si>
    <t xml:space="preserve">477</t>
  </si>
  <si>
    <t xml:space="preserve">Diferenca konvertimi pasive</t>
  </si>
  <si>
    <t xml:space="preserve">48</t>
  </si>
  <si>
    <t xml:space="preserve">Të ardhura dhe shpenzime të llogaritura</t>
  </si>
  <si>
    <t xml:space="preserve">481</t>
  </si>
  <si>
    <t xml:space="preserve">Shpenzime të llogaritura</t>
  </si>
  <si>
    <t xml:space="preserve">Accruals</t>
  </si>
  <si>
    <t xml:space="preserve">486</t>
  </si>
  <si>
    <t xml:space="preserve">Shpenzime të periudhave të ardhme</t>
  </si>
  <si>
    <t xml:space="preserve">487</t>
  </si>
  <si>
    <t xml:space="preserve">Të ardhura të llogaritura</t>
  </si>
  <si>
    <t xml:space="preserve">488</t>
  </si>
  <si>
    <t xml:space="preserve">Të ardhura të periudhave të ardhme</t>
  </si>
  <si>
    <t xml:space="preserve">49</t>
  </si>
  <si>
    <t xml:space="preserve">Zhvlerësim i të drejtave dhe detyrimeve</t>
  </si>
  <si>
    <t xml:space="preserve">491</t>
  </si>
  <si>
    <t xml:space="preserve">Provizione për faturat e klientëve</t>
  </si>
  <si>
    <t xml:space="preserve">Zhvlerësim klientë</t>
  </si>
  <si>
    <t xml:space="preserve">Të drejta (-)</t>
  </si>
  <si>
    <t xml:space="preserve">495</t>
  </si>
  <si>
    <t xml:space="preserve">Provizione për fatura për arkëtim</t>
  </si>
  <si>
    <t xml:space="preserve">496</t>
  </si>
  <si>
    <t xml:space="preserve">Provizione për debitorë të ndryshëm</t>
  </si>
  <si>
    <t xml:space="preserve">Mjete monetare dhe likuiditete</t>
  </si>
  <si>
    <t xml:space="preserve">Mjete monetare dhe llogari financiare</t>
  </si>
  <si>
    <t xml:space="preserve">Likuiditet</t>
  </si>
  <si>
    <t xml:space="preserve">51</t>
  </si>
  <si>
    <t xml:space="preserve">Banka dhe institucione financiare</t>
  </si>
  <si>
    <t xml:space="preserve">511</t>
  </si>
  <si>
    <t xml:space="preserve">Vlera monetare në tranzit</t>
  </si>
  <si>
    <t xml:space="preserve">Mjete monetare</t>
  </si>
  <si>
    <t xml:space="preserve">512</t>
  </si>
  <si>
    <t xml:space="preserve">Vlera monetare në bankë</t>
  </si>
  <si>
    <t xml:space="preserve">5121</t>
  </si>
  <si>
    <t xml:space="preserve">Vlera monetare në bankë - lek</t>
  </si>
  <si>
    <t xml:space="preserve">5124</t>
  </si>
  <si>
    <t xml:space="preserve">Vlera monetare në bankë - valutë</t>
  </si>
  <si>
    <t xml:space="preserve">519</t>
  </si>
  <si>
    <t xml:space="preserve">Overdraft / llogari bankare të zbuluara</t>
  </si>
  <si>
    <t xml:space="preserve">53</t>
  </si>
  <si>
    <t xml:space="preserve">Vlera monetare në arkë</t>
  </si>
  <si>
    <t xml:space="preserve">531</t>
  </si>
  <si>
    <t xml:space="preserve">5311</t>
  </si>
  <si>
    <t xml:space="preserve">Arka në lek</t>
  </si>
  <si>
    <t xml:space="preserve">5314</t>
  </si>
  <si>
    <t xml:space="preserve">Arka në monedha të huaja</t>
  </si>
  <si>
    <t xml:space="preserve">58</t>
  </si>
  <si>
    <t xml:space="preserve">Xhirime të brendshme</t>
  </si>
  <si>
    <t xml:space="preserve">581</t>
  </si>
  <si>
    <t xml:space="preserve">Kalimtare</t>
  </si>
  <si>
    <t xml:space="preserve">Opsionale</t>
  </si>
  <si>
    <t xml:space="preserve">Llogaritë e shpenzimeve</t>
  </si>
  <si>
    <t xml:space="preserve">Shpenzime</t>
  </si>
  <si>
    <t xml:space="preserve">60</t>
  </si>
  <si>
    <t xml:space="preserve">Blerje dhe ndryshim gjendje</t>
  </si>
  <si>
    <t xml:space="preserve">601</t>
  </si>
  <si>
    <t xml:space="preserve">Blerje / shpenzime të materialeve</t>
  </si>
  <si>
    <t xml:space="preserve">Shpenzime operative</t>
  </si>
  <si>
    <t xml:space="preserve">Shpenzim</t>
  </si>
  <si>
    <t xml:space="preserve">602</t>
  </si>
  <si>
    <t xml:space="preserve">Blerje / shpenzime të materialeve të tjera</t>
  </si>
  <si>
    <t xml:space="preserve">603</t>
  </si>
  <si>
    <t xml:space="preserve">Ndryshim gjendje inventari</t>
  </si>
  <si>
    <t xml:space="preserve">Shpenzim/Të ardhur</t>
  </si>
  <si>
    <t xml:space="preserve">604</t>
  </si>
  <si>
    <t xml:space="preserve">Blerje energji, avull, ujë</t>
  </si>
  <si>
    <t xml:space="preserve">605</t>
  </si>
  <si>
    <t xml:space="preserve">Blerje / shpenzime mallra, shërbimesh</t>
  </si>
  <si>
    <t xml:space="preserve">606</t>
  </si>
  <si>
    <t xml:space="preserve">Blerje ambalazhi</t>
  </si>
  <si>
    <t xml:space="preserve">607</t>
  </si>
  <si>
    <t xml:space="preserve">Blerje tek të tretë / kosto shitje</t>
  </si>
  <si>
    <t xml:space="preserve">608</t>
  </si>
  <si>
    <t xml:space="preserve">Blerje / shpenzime të tjera</t>
  </si>
  <si>
    <t xml:space="preserve">609</t>
  </si>
  <si>
    <t xml:space="preserve">Zbritje financiare nga furnitori</t>
  </si>
  <si>
    <t xml:space="preserve">Kundër-shpenzim</t>
  </si>
  <si>
    <t xml:space="preserve">61</t>
  </si>
  <si>
    <t xml:space="preserve">Shërbime nga të tretët</t>
  </si>
  <si>
    <t xml:space="preserve">611</t>
  </si>
  <si>
    <t xml:space="preserve">Trajtime të përgjithshme</t>
  </si>
  <si>
    <t xml:space="preserve">Shërbime operative</t>
  </si>
  <si>
    <t xml:space="preserve">613</t>
  </si>
  <si>
    <t xml:space="preserve">Qira</t>
  </si>
  <si>
    <t xml:space="preserve">615</t>
  </si>
  <si>
    <t xml:space="preserve">Mirëmbajtje dhe riparime</t>
  </si>
  <si>
    <t xml:space="preserve">616</t>
  </si>
  <si>
    <t xml:space="preserve">617</t>
  </si>
  <si>
    <t xml:space="preserve">Kërkime dhe studime</t>
  </si>
  <si>
    <t xml:space="preserve">618</t>
  </si>
  <si>
    <t xml:space="preserve">Të tjera shërbime nga të tretët</t>
  </si>
  <si>
    <t xml:space="preserve">62</t>
  </si>
  <si>
    <t xml:space="preserve">Shërbime të tjera</t>
  </si>
  <si>
    <t xml:space="preserve">621</t>
  </si>
  <si>
    <t xml:space="preserve">Personel jashtë ndërmarrjes</t>
  </si>
  <si>
    <t xml:space="preserve">622</t>
  </si>
  <si>
    <t xml:space="preserve">Komisione ndërmjetësimi dhe honorare</t>
  </si>
  <si>
    <t xml:space="preserve">623</t>
  </si>
  <si>
    <t xml:space="preserve">Shpenzime për koncesione, patenta, licenca</t>
  </si>
  <si>
    <t xml:space="preserve">624</t>
  </si>
  <si>
    <t xml:space="preserve">Publicitet, reklamë</t>
  </si>
  <si>
    <t xml:space="preserve">625</t>
  </si>
  <si>
    <t xml:space="preserve">Transferime, udhëtime, dieta</t>
  </si>
  <si>
    <t xml:space="preserve">626</t>
  </si>
  <si>
    <t xml:space="preserve">Shpenzime postare dhe telekomunikimi</t>
  </si>
  <si>
    <t xml:space="preserve">627</t>
  </si>
  <si>
    <t xml:space="preserve">Shpenzime transporti</t>
  </si>
  <si>
    <t xml:space="preserve">6271</t>
  </si>
  <si>
    <t xml:space="preserve">Transport për blerje</t>
  </si>
  <si>
    <t xml:space="preserve">6272</t>
  </si>
  <si>
    <t xml:space="preserve">Transport për shitje</t>
  </si>
  <si>
    <t xml:space="preserve">628</t>
  </si>
  <si>
    <t xml:space="preserve">Shpenzime për shërbimet bankare</t>
  </si>
  <si>
    <t xml:space="preserve">63</t>
  </si>
  <si>
    <t xml:space="preserve">Tatime dhe taksa</t>
  </si>
  <si>
    <t xml:space="preserve">631</t>
  </si>
  <si>
    <t xml:space="preserve">Tatim mbi qarkullimin dhe akciza</t>
  </si>
  <si>
    <t xml:space="preserve">632</t>
  </si>
  <si>
    <t xml:space="preserve">Taksa, tarifa doganore</t>
  </si>
  <si>
    <t xml:space="preserve">633</t>
  </si>
  <si>
    <t xml:space="preserve">634</t>
  </si>
  <si>
    <t xml:space="preserve">Taksa dhe tarifa vendore</t>
  </si>
  <si>
    <t xml:space="preserve">638</t>
  </si>
  <si>
    <t xml:space="preserve">Tatime të tjera</t>
  </si>
  <si>
    <t xml:space="preserve">64</t>
  </si>
  <si>
    <t xml:space="preserve">Shpenzime për personelin</t>
  </si>
  <si>
    <t xml:space="preserve">641</t>
  </si>
  <si>
    <t xml:space="preserve">Pagat dhe shpërblimet e personelit</t>
  </si>
  <si>
    <t xml:space="preserve">Personel</t>
  </si>
  <si>
    <t xml:space="preserve">644</t>
  </si>
  <si>
    <t xml:space="preserve">Sigurimet shoqërore dhe shëndetësore</t>
  </si>
  <si>
    <t xml:space="preserve">645</t>
  </si>
  <si>
    <t xml:space="preserve">Kontributet dhe kuota të tjera për personelin</t>
  </si>
  <si>
    <t xml:space="preserve">648</t>
  </si>
  <si>
    <t xml:space="preserve">Shpenzime të tjera për personelin</t>
  </si>
  <si>
    <t xml:space="preserve">65</t>
  </si>
  <si>
    <t xml:space="preserve">Shpenzime të tjera</t>
  </si>
  <si>
    <t xml:space="preserve">652</t>
  </si>
  <si>
    <t xml:space="preserve">Vlera kontabël e AAGJ të shitura</t>
  </si>
  <si>
    <t xml:space="preserve">654</t>
  </si>
  <si>
    <t xml:space="preserve">Shpenzime për pritje dhe përfaqësime</t>
  </si>
  <si>
    <t xml:space="preserve">656</t>
  </si>
  <si>
    <t xml:space="preserve">Humbje nga mosarkëtimi i kërkesave/të drejtave</t>
  </si>
  <si>
    <t xml:space="preserve">657</t>
  </si>
  <si>
    <t xml:space="preserve">Gjoba dhe dëmshpërblime</t>
  </si>
  <si>
    <t xml:space="preserve">658</t>
  </si>
  <si>
    <t xml:space="preserve">66</t>
  </si>
  <si>
    <t xml:space="preserve">Shpenzime financiare</t>
  </si>
  <si>
    <t xml:space="preserve">661</t>
  </si>
  <si>
    <t xml:space="preserve">Shpenzime financiare nga shoqëritë e kontrolluara</t>
  </si>
  <si>
    <t xml:space="preserve">662</t>
  </si>
  <si>
    <t xml:space="preserve">Shpenzime financiare nga shoqëritë e lidhura</t>
  </si>
  <si>
    <t xml:space="preserve">667</t>
  </si>
  <si>
    <t xml:space="preserve">Shpenzime për interesa</t>
  </si>
  <si>
    <t xml:space="preserve">668</t>
  </si>
  <si>
    <t xml:space="preserve">Shpenzime financiare të tjera</t>
  </si>
  <si>
    <t xml:space="preserve">669</t>
  </si>
  <si>
    <t xml:space="preserve">Humbje nga këmbimet dhe përkthimet valutore</t>
  </si>
  <si>
    <t xml:space="preserve">67</t>
  </si>
  <si>
    <t xml:space="preserve">Shpenzime të tjera jo korente</t>
  </si>
  <si>
    <t xml:space="preserve">672</t>
  </si>
  <si>
    <t xml:space="preserve">Vlera kontabël e aktiveve afatgjata të shitura</t>
  </si>
  <si>
    <t xml:space="preserve">Shpenzime jo korente</t>
  </si>
  <si>
    <t xml:space="preserve">677</t>
  </si>
  <si>
    <t xml:space="preserve">Humbje nga gabime të lejuara në ushtrimet</t>
  </si>
  <si>
    <t xml:space="preserve">68</t>
  </si>
  <si>
    <t xml:space="preserve">Zhvlerësime dhe amortizimi</t>
  </si>
  <si>
    <t xml:space="preserve">681</t>
  </si>
  <si>
    <t xml:space="preserve">Amortizime të aktiveve afatgjata</t>
  </si>
  <si>
    <t xml:space="preserve">Amortizim</t>
  </si>
  <si>
    <t xml:space="preserve">6812</t>
  </si>
  <si>
    <t xml:space="preserve">Shpenzime amortizimi për ndërtesat</t>
  </si>
  <si>
    <t xml:space="preserve">6813</t>
  </si>
  <si>
    <t xml:space="preserve">Shpenzime amortizimi për instalime/makineri/pajisje</t>
  </si>
  <si>
    <t xml:space="preserve">6815</t>
  </si>
  <si>
    <t xml:space="preserve">Shpenzime amortizimi për mjete transporti</t>
  </si>
  <si>
    <t xml:space="preserve">686</t>
  </si>
  <si>
    <t xml:space="preserve">Provizione për zhvlerësimin e aktiveve financiare</t>
  </si>
  <si>
    <t xml:space="preserve">Provizione</t>
  </si>
  <si>
    <t xml:space="preserve">687</t>
  </si>
  <si>
    <t xml:space="preserve">Shpenzime të tjera nga rivlerësimi</t>
  </si>
  <si>
    <t xml:space="preserve">69</t>
  </si>
  <si>
    <t xml:space="preserve">Tatime mbi fitimet</t>
  </si>
  <si>
    <t xml:space="preserve">694</t>
  </si>
  <si>
    <t xml:space="preserve">Tatime mbi fitimin</t>
  </si>
  <si>
    <t xml:space="preserve">7</t>
  </si>
  <si>
    <t xml:space="preserve">Llogaritë e të ardhurave</t>
  </si>
  <si>
    <t xml:space="preserve">Të ardhura</t>
  </si>
  <si>
    <t xml:space="preserve">70</t>
  </si>
  <si>
    <t xml:space="preserve">Të ardhura nga shitjet</t>
  </si>
  <si>
    <t xml:space="preserve">701</t>
  </si>
  <si>
    <t xml:space="preserve">Shitje e produkteve të gatshme</t>
  </si>
  <si>
    <t xml:space="preserve">Shitje</t>
  </si>
  <si>
    <t xml:space="preserve">702</t>
  </si>
  <si>
    <t xml:space="preserve">Shitje e produkteve të ndërmjetme</t>
  </si>
  <si>
    <t xml:space="preserve">703</t>
  </si>
  <si>
    <t xml:space="preserve">Shitje e nënprodukteve</t>
  </si>
  <si>
    <t xml:space="preserve">704</t>
  </si>
  <si>
    <t xml:space="preserve">Shitje punime dhe shërbime</t>
  </si>
  <si>
    <t xml:space="preserve">705</t>
  </si>
  <si>
    <t xml:space="preserve">Shitje mallrash</t>
  </si>
  <si>
    <t xml:space="preserve">706</t>
  </si>
  <si>
    <t xml:space="preserve">Të ardhura nga komisionet bankare</t>
  </si>
  <si>
    <t xml:space="preserve">Shitje të tjera</t>
  </si>
  <si>
    <t xml:space="preserve">707</t>
  </si>
  <si>
    <t xml:space="preserve">Shitje materiale dhe furnitura</t>
  </si>
  <si>
    <t xml:space="preserve">708</t>
  </si>
  <si>
    <t xml:space="preserve">Të ardhura nga shitje të tjera</t>
  </si>
  <si>
    <t xml:space="preserve">71</t>
  </si>
  <si>
    <t xml:space="preserve">Ndryshimi i gjendjes së prodhimit në proces dhe produkteve</t>
  </si>
  <si>
    <t xml:space="preserve">713</t>
  </si>
  <si>
    <t xml:space="preserve">Ndryshim gjendje prodhim në proces</t>
  </si>
  <si>
    <t xml:space="preserve">Ndryshim gjendje</t>
  </si>
  <si>
    <t xml:space="preserve">Të ardhur/Shpenzim</t>
  </si>
  <si>
    <t xml:space="preserve">Credit/Debit</t>
  </si>
  <si>
    <t xml:space="preserve">714</t>
  </si>
  <si>
    <t xml:space="preserve">Ndryshim gjendje produkti</t>
  </si>
  <si>
    <t xml:space="preserve">72</t>
  </si>
  <si>
    <t xml:space="preserve">Prodhimi i aktiveve afatgjata</t>
  </si>
  <si>
    <t xml:space="preserve">721</t>
  </si>
  <si>
    <t xml:space="preserve">Prodhimi i AA jomateriale</t>
  </si>
  <si>
    <t xml:space="preserve">Prodhim AAM</t>
  </si>
  <si>
    <t xml:space="preserve">722</t>
  </si>
  <si>
    <t xml:space="preserve">Prodhimi i AA materiale</t>
  </si>
  <si>
    <t xml:space="preserve">73</t>
  </si>
  <si>
    <t xml:space="preserve">Të ardhura nga grantet</t>
  </si>
  <si>
    <t xml:space="preserve">731</t>
  </si>
  <si>
    <t xml:space="preserve">Grante</t>
  </si>
  <si>
    <t xml:space="preserve">75</t>
  </si>
  <si>
    <t xml:space="preserve">Të ardhura të tjera</t>
  </si>
  <si>
    <t xml:space="preserve">752</t>
  </si>
  <si>
    <t xml:space="preserve">Të ardhura nga shitja e AAGJ</t>
  </si>
  <si>
    <t xml:space="preserve">Të tjera</t>
  </si>
  <si>
    <t xml:space="preserve">754</t>
  </si>
  <si>
    <t xml:space="preserve">Dhurata e ndihma të marra</t>
  </si>
  <si>
    <t xml:space="preserve">757</t>
  </si>
  <si>
    <t xml:space="preserve">Penalitete dhe gjoba të arkëtuara</t>
  </si>
  <si>
    <t xml:space="preserve">758</t>
  </si>
  <si>
    <t xml:space="preserve">Të ndryshme</t>
  </si>
  <si>
    <t xml:space="preserve">76</t>
  </si>
  <si>
    <t xml:space="preserve">Të ardhura financiare</t>
  </si>
  <si>
    <t xml:space="preserve">761</t>
  </si>
  <si>
    <t xml:space="preserve">Të ardhura financiare nga shoqëritë e kontrolluara</t>
  </si>
  <si>
    <t xml:space="preserve">762</t>
  </si>
  <si>
    <t xml:space="preserve">Të ardhura financiare nga shoqëritë e lidhura</t>
  </si>
  <si>
    <t xml:space="preserve">763</t>
  </si>
  <si>
    <t xml:space="preserve">Të ardhura nga dividentët</t>
  </si>
  <si>
    <t xml:space="preserve">764</t>
  </si>
  <si>
    <t xml:space="preserve">Fitime nga rivlerësimi i letrave me vlerë</t>
  </si>
  <si>
    <t xml:space="preserve">765</t>
  </si>
  <si>
    <t xml:space="preserve">Fitime nga shitja e letrave me vlerë</t>
  </si>
  <si>
    <t xml:space="preserve">767</t>
  </si>
  <si>
    <t xml:space="preserve">Të ardhura nga interesat</t>
  </si>
  <si>
    <t xml:space="preserve">768</t>
  </si>
  <si>
    <t xml:space="preserve">Të ardhura të tjera financiare</t>
  </si>
  <si>
    <t xml:space="preserve">769</t>
  </si>
  <si>
    <t xml:space="preserve">Fitim nga këmbimet valutore</t>
  </si>
  <si>
    <t xml:space="preserve">77</t>
  </si>
  <si>
    <t xml:space="preserve">Të ardhura të tjera jo korente</t>
  </si>
  <si>
    <t xml:space="preserve">771</t>
  </si>
  <si>
    <t xml:space="preserve">Jo korente</t>
  </si>
  <si>
    <t xml:space="preserve">772</t>
  </si>
  <si>
    <t xml:space="preserve">Dëmshpërblime të tjera</t>
  </si>
  <si>
    <t xml:space="preserve">78</t>
  </si>
  <si>
    <t xml:space="preserve">Rimarrje shumash të parashikuara</t>
  </si>
  <si>
    <t xml:space="preserve">781</t>
  </si>
  <si>
    <t xml:space="preserve">Rimarrje lidhur me veprimtarinë e shfrytëzimit</t>
  </si>
  <si>
    <t xml:space="preserve">Rimarrje</t>
  </si>
  <si>
    <t xml:space="preserve">786</t>
  </si>
  <si>
    <t xml:space="preserve">Rimarrje provizionesh për aktivet financiare</t>
  </si>
  <si>
    <t xml:space="preserve">8</t>
  </si>
  <si>
    <t xml:space="preserve">Llogari të mbylljes dhe rezultatit</t>
  </si>
  <si>
    <t xml:space="preserve">Mbyllje/rezultat dhe llogari të posaçme</t>
  </si>
  <si>
    <t xml:space="preserve">Mbyllje</t>
  </si>
  <si>
    <t xml:space="preserve">89</t>
  </si>
  <si>
    <t xml:space="preserve">Rezultati dhe mbyllja e periudhës</t>
  </si>
  <si>
    <t xml:space="preserve">891</t>
  </si>
  <si>
    <t xml:space="preserve">Transferim i shpenzimeve në rezultat</t>
  </si>
  <si>
    <t xml:space="preserve">892</t>
  </si>
  <si>
    <t xml:space="preserve">Transferim i të ardhurave në rezultat</t>
  </si>
  <si>
    <t xml:space="preserve">9</t>
  </si>
  <si>
    <t xml:space="preserve">Analitikë/kosto menaxheriale</t>
  </si>
  <si>
    <t xml:space="preserve">Analitikë</t>
  </si>
  <si>
    <t xml:space="preserve">90</t>
  </si>
  <si>
    <t xml:space="preserve">Qendra kostoje</t>
  </si>
  <si>
    <t xml:space="preserve">901</t>
  </si>
  <si>
    <t xml:space="preserve">Qendra kostoje - Administratë</t>
  </si>
  <si>
    <t xml:space="preserve">902</t>
  </si>
  <si>
    <t xml:space="preserve">Qendra kostoje - Prodhim/Shërbim</t>
  </si>
  <si>
    <t xml:space="preserve">91</t>
  </si>
  <si>
    <t xml:space="preserve">Projekte/kontrata</t>
  </si>
  <si>
    <t xml:space="preserve">911</t>
  </si>
  <si>
    <t xml:space="preserve">Projekt/kontratë 1</t>
  </si>
  <si>
    <t xml:space="preserve">HAPËSIRË PËR LLOGARI TË REJA</t>
  </si>
  <si>
    <t xml:space="preserve">Shto llogari të reja poshtë duke plotësuar kodin, emrin, klasën, tipin, balancën normale, Lejohet në Ditar = TRUE dhe Map Bilanc/PASH.</t>
  </si>
  <si>
    <t xml:space="preserve">6XX</t>
  </si>
  <si>
    <t xml:space="preserve">Mbyllje sintetike e klasës 6</t>
  </si>
  <si>
    <t xml:space="preserve">Llogari sintetike mbylljeje</t>
  </si>
  <si>
    <t xml:space="preserve">Mbyllje viti</t>
  </si>
  <si>
    <t xml:space="preserve">Shpenzim sintetik</t>
  </si>
  <si>
    <t xml:space="preserve">PASH/Mbyllje</t>
  </si>
  <si>
    <t xml:space="preserve">7XX</t>
  </si>
  <si>
    <t xml:space="preserve">Mbyllje sintetike e klasës 7</t>
  </si>
  <si>
    <t xml:space="preserve">Të ardhura sintetike</t>
  </si>
  <si>
    <t xml:space="preserve">D-FINITY | DITARI I PËRGJITHSHËM — CLEAN PRO</t>
  </si>
  <si>
    <t xml:space="preserve">TOTAL DEBIT</t>
  </si>
  <si>
    <t xml:space="preserve">TOTAL KREDIT</t>
  </si>
  <si>
    <t xml:space="preserve">DIFERENCA</t>
  </si>
  <si>
    <t xml:space="preserve">STATUS</t>
  </si>
  <si>
    <t xml:space="preserve">KËRKO VERSIONIN E PLOTË</t>
  </si>
  <si>
    <t xml:space="preserve">POSTIM AUTOMATIK: rreshtat 401–488 mbyllin Klasat 6/7 dhe 489–530 postojnë rregullimet e miratuara. Zona e sistemit nuk modifikohet manualisht.</t>
  </si>
  <si>
    <t xml:space="preserve">Data</t>
  </si>
  <si>
    <t xml:space="preserve">NrDok</t>
  </si>
  <si>
    <t xml:space="preserve">ID Veprimi</t>
  </si>
  <si>
    <t xml:space="preserve">Kodi Llogarie</t>
  </si>
  <si>
    <t xml:space="preserve">Emri i Llogarisë</t>
  </si>
  <si>
    <t xml:space="preserve">Kredit</t>
  </si>
  <si>
    <t xml:space="preserve">Subjekti</t>
  </si>
  <si>
    <t xml:space="preserve">Përshkrimi</t>
  </si>
  <si>
    <t xml:space="preserve">Status</t>
  </si>
  <si>
    <t xml:space="preserve">Lejohet në Ditar?</t>
  </si>
  <si>
    <t xml:space="preserve">Tipi Llogarisë</t>
  </si>
  <si>
    <t xml:space="preserve">Kontroll Llogarie</t>
  </si>
  <si>
    <t xml:space="preserve">Kontroll Veprimi</t>
  </si>
  <si>
    <t xml:space="preserve">Prefiksi teknik</t>
  </si>
  <si>
    <t xml:space="preserve">Prefiksi teknik 3</t>
  </si>
  <si>
    <t xml:space="preserve">D-FINITY | LIBRI I MADH KLASIK “T” AUTOMATIK</t>
  </si>
  <si>
    <t xml:space="preserve">Zgjidh kodin e llogarisë. Raporti T tërheq automatikisht veprimet nga DITARI për debit/kredit. Motori teknik është LEDGER_ENGINE.</t>
  </si>
  <si>
    <t xml:space="preserve">Kodi i llogarisë</t>
  </si>
  <si>
    <t xml:space="preserve">Emri i llogarisë</t>
  </si>
  <si>
    <t xml:space="preserve">Balanca normale</t>
  </si>
  <si>
    <t xml:space="preserve">Nga data (ops.)</t>
  </si>
  <si>
    <t xml:space="preserve">Deri data (ops.)</t>
  </si>
  <si>
    <t xml:space="preserve">DEBIT</t>
  </si>
  <si>
    <t xml:space="preserve">KREDIT</t>
  </si>
  <si>
    <t xml:space="preserve">Vlera</t>
  </si>
  <si>
    <t xml:space="preserve">DebitIndex</t>
  </si>
  <si>
    <t xml:space="preserve">KreditIndex</t>
  </si>
  <si>
    <t xml:space="preserve">SALDO / TEPËRICA E LLOGARISË</t>
  </si>
  <si>
    <t xml:space="preserve">Saldo Debit</t>
  </si>
  <si>
    <t xml:space="preserve">Saldo Kredit</t>
  </si>
  <si>
    <t xml:space="preserve">Pozicioni</t>
  </si>
  <si>
    <t xml:space="preserve">Kontroll</t>
  </si>
  <si>
    <t xml:space="preserve">Nëse Debit &gt; Kredit, teprica del si Saldo Debit; nëse Kredit &gt; Debit, del si Saldo Kredit.</t>
  </si>
  <si>
    <t xml:space="preserve">D-FINITY | BILANCI I PROVËS / TRIAL BALANCE</t>
  </si>
  <si>
    <t xml:space="preserve">Version i sigurt: BILANCI_PROVE lexon DIREKT nga DITARI. LIBRI_I_MADH dhe LEDGER_ENGINE nuk janë prekur.</t>
  </si>
  <si>
    <t xml:space="preserve">STATUS TB</t>
  </si>
  <si>
    <t xml:space="preserve">STATUS DITARI</t>
  </si>
  <si>
    <t xml:space="preserve">Total Debit TB</t>
  </si>
  <si>
    <t xml:space="preserve">Total Kredit TB</t>
  </si>
  <si>
    <t xml:space="preserve">Diferenca TB</t>
  </si>
  <si>
    <t xml:space="preserve">Status TB</t>
  </si>
  <si>
    <t xml:space="preserve">Llogari Jo Normale</t>
  </si>
  <si>
    <t xml:space="preserve">Total Debit DITARI</t>
  </si>
  <si>
    <t xml:space="preserve">Total Kredit DITARI</t>
  </si>
  <si>
    <t xml:space="preserve">Diferenca DITARI</t>
  </si>
  <si>
    <t xml:space="preserve">Status DITARI</t>
  </si>
  <si>
    <t xml:space="preserve">Kontroll TB = DITARI</t>
  </si>
  <si>
    <t xml:space="preserve">Debit jashtë TB</t>
  </si>
  <si>
    <t xml:space="preserve">Kredit jashtë TB</t>
  </si>
  <si>
    <t xml:space="preserve">Shpjegim</t>
  </si>
  <si>
    <t xml:space="preserve">Total Debit</t>
  </si>
  <si>
    <t xml:space="preserve">Total Kredit</t>
  </si>
  <si>
    <t xml:space="preserve">Udhëzim: Nëse Status DITARI del ERROR, gabimi është te hedhja e veprimeve në DITARI. Nëse DITARI OK por TB ERROR, atëherë formula/grupimi duhet kontrolluar. Ky version përdor SUMIFS direkt nga DITARI për të shmangur diferenca false nga ENGINE.</t>
  </si>
  <si>
    <t xml:space="preserve">D-FINITY | VEPRIMET RREGULLUESE (FUNDVITI)</t>
  </si>
  <si>
    <t xml:space="preserve">Parimi: Llogarit → Kontrollo → Mirato rreshtat → Posto rregullimet me një konfirmim → Mbyll Klasat 6/7.</t>
  </si>
  <si>
    <t xml:space="preserve">KMSH</t>
  </si>
  <si>
    <t xml:space="preserve">SALDO 603</t>
  </si>
  <si>
    <t xml:space="preserve">601/605 + saldo neto 603</t>
  </si>
  <si>
    <t xml:space="preserve">Debi-Kredi</t>
  </si>
  <si>
    <t xml:space="preserve">Kontroll logjike</t>
  </si>
  <si>
    <t xml:space="preserve">KMSH &amp; NDRYSHIMI I GJENDJES (603)</t>
  </si>
  <si>
    <t xml:space="preserve">Burimi: BILANCI_PROVE</t>
  </si>
  <si>
    <t xml:space="preserve">Treguesi</t>
  </si>
  <si>
    <t xml:space="preserve">Burimi</t>
  </si>
  <si>
    <t xml:space="preserve">Kahu/Status</t>
  </si>
  <si>
    <t xml:space="preserve">Formula / Arsyetim</t>
  </si>
  <si>
    <t xml:space="preserve">Debi sugj.</t>
  </si>
  <si>
    <t xml:space="preserve">Kredi sugj.</t>
  </si>
  <si>
    <t xml:space="preserve">Posto?</t>
  </si>
  <si>
    <t xml:space="preserve">Blerje mallrash</t>
  </si>
  <si>
    <t xml:space="preserve">601/605 nga BP</t>
  </si>
  <si>
    <t xml:space="preserve">AUTO</t>
  </si>
  <si>
    <t xml:space="preserve">Blerjet që hyjnë në KMSH</t>
  </si>
  <si>
    <t xml:space="preserve">JO</t>
  </si>
  <si>
    <t xml:space="preserve">Auto</t>
  </si>
  <si>
    <t xml:space="preserve">Debi 603</t>
  </si>
  <si>
    <t xml:space="preserve">Total Debit BP</t>
  </si>
  <si>
    <t xml:space="preserve">Dalje/rritje shpenzimi nga ndryshimi i gjendjes</t>
  </si>
  <si>
    <t xml:space="preserve">Kredi 603</t>
  </si>
  <si>
    <t xml:space="preserve">Total Kredit BP</t>
  </si>
  <si>
    <t xml:space="preserve">Hyrje/ulje shpenzimi nga ndryshimi i gjendjes</t>
  </si>
  <si>
    <t xml:space="preserve">Saldo neto 603</t>
  </si>
  <si>
    <t xml:space="preserve">Debi - Kredi</t>
  </si>
  <si>
    <t xml:space="preserve">KMSH analitike</t>
  </si>
  <si>
    <t xml:space="preserve">601/605 + Saldo 603</t>
  </si>
  <si>
    <t xml:space="preserve">REZULTAT</t>
  </si>
  <si>
    <t xml:space="preserve">Rezultat</t>
  </si>
  <si>
    <t xml:space="preserve">KONTROLL INVENTARI FIZIK</t>
  </si>
  <si>
    <t xml:space="preserve">Input manual vetëm te qelizat e verdha</t>
  </si>
  <si>
    <t xml:space="preserve">Inventar kontabël 35x</t>
  </si>
  <si>
    <t xml:space="preserve">Saldo Debit - Saldo Kredit BP</t>
  </si>
  <si>
    <t xml:space="preserve">Gjendja kontabël e magazinës sipas BP</t>
  </si>
  <si>
    <t xml:space="preserve">Inventar fizik</t>
  </si>
  <si>
    <t xml:space="preserve">Input nga user</t>
  </si>
  <si>
    <t xml:space="preserve">INPUT</t>
  </si>
  <si>
    <t xml:space="preserve">Vendos vlerën sipas inventarizimit fizik</t>
  </si>
  <si>
    <t xml:space="preserve">Input</t>
  </si>
  <si>
    <t xml:space="preserve">Diferenca inventar</t>
  </si>
  <si>
    <t xml:space="preserve">Fizik - Kontabël</t>
  </si>
  <si>
    <t xml:space="preserve">Veprim korrigjues</t>
  </si>
  <si>
    <t xml:space="preserve">Vetëm nëse ka diferencë</t>
  </si>
  <si>
    <t xml:space="preserve">Konfirmo PO për ditar</t>
  </si>
  <si>
    <t xml:space="preserve">3  |  AMORTIZIMI I AKTIVEVE AFATGJATA  —  Sugjerim profesional për mbyllje</t>
  </si>
  <si>
    <t xml:space="preserve">TOTAL BAZA NETO</t>
  </si>
  <si>
    <t xml:space="preserve">TOTAL AMORTIZIM I SUGJ.</t>
  </si>
  <si>
    <t xml:space="preserve">VEPRIME TË KONFIRMUARA</t>
  </si>
  <si>
    <t xml:space="preserve">Parimi: D-Finity lexon vlerën e aktiveve nga BILANCI_PROVE, sugjeron normën, llogarit amortizimin dhe e kalon në DITAR_MBYLLJE_AUTO vetëm kur përdoruesi vendos PO. Normat janë sugjerime dhe mund të ndryshohen nga përdoruesi.</t>
  </si>
  <si>
    <t xml:space="preserve">Grupi i aktiveve</t>
  </si>
  <si>
    <t xml:space="preserve">Llogari aktivi</t>
  </si>
  <si>
    <t xml:space="preserve">Vlera bruto BP</t>
  </si>
  <si>
    <t xml:space="preserve">Amort. akum. BP/manual</t>
  </si>
  <si>
    <t xml:space="preserve">Baza neto</t>
  </si>
  <si>
    <t xml:space="preserve">Norma sugj.</t>
  </si>
  <si>
    <t xml:space="preserve">Muaj</t>
  </si>
  <si>
    <t xml:space="preserve">Amortizim sugj.</t>
  </si>
  <si>
    <t xml:space="preserve">Debi</t>
  </si>
  <si>
    <t xml:space="preserve">Kredi</t>
  </si>
  <si>
    <t xml:space="preserve">Konfirmo</t>
  </si>
  <si>
    <t xml:space="preserve">Ndërtesa / konstruksione</t>
  </si>
  <si>
    <t xml:space="preserve">211*+212*</t>
  </si>
  <si>
    <t xml:space="preserve">Makineri / pajisje pune</t>
  </si>
  <si>
    <t xml:space="preserve">213*+214*</t>
  </si>
  <si>
    <t xml:space="preserve">215*</t>
  </si>
  <si>
    <t xml:space="preserve">Pajisje IT / mobilim / të tjera</t>
  </si>
  <si>
    <t xml:space="preserve">218*</t>
  </si>
  <si>
    <t xml:space="preserve">TOTAL AMORTIZIMI</t>
  </si>
  <si>
    <t xml:space="preserve">VEPRIME TË SUGJERUARA PËR DITAR_MBYLLJE_AUTO</t>
  </si>
  <si>
    <t xml:space="preserve">Shuma</t>
  </si>
  <si>
    <t xml:space="preserve">4  |  RREGULLIME TË TJERA FUNDFIT  —  Manuale / gjysmë-automatike</t>
  </si>
  <si>
    <t xml:space="preserve">TOTAL RREGULLIME</t>
  </si>
  <si>
    <t xml:space="preserve">Këtu përdoruesi vendos vetëm rregullimet që nuk kapen nga modulet kryesore: parapagime, accruals, interesa, zhvlerësime, provigjione ose korrigjime të tjera. Postohen vetëm rreshtat me Konfirmo = PO.</t>
  </si>
  <si>
    <t xml:space="preserve">Koment</t>
  </si>
  <si>
    <t xml:space="preserve">Shpenzim parapaguar</t>
  </si>
  <si>
    <t xml:space="preserve">Qira / siguracion / licencë e parapaguar</t>
  </si>
  <si>
    <t xml:space="preserve">Shembull: pjesa që i përket periudhës tjetër</t>
  </si>
  <si>
    <t xml:space="preserve">Shpenzim i konstatuar</t>
  </si>
  <si>
    <t xml:space="preserve">Shpenzim i marrë por ende i pafaturuar</t>
  </si>
  <si>
    <t xml:space="preserve">Shembull: energji, internet, shërbime dhjetori</t>
  </si>
  <si>
    <t xml:space="preserve">Të ardhura të përllogaritura</t>
  </si>
  <si>
    <t xml:space="preserve">Shërbim i kryer, faturë në periudhën tjetër</t>
  </si>
  <si>
    <t xml:space="preserve">Të ardhura të fituara por të pafaturuara</t>
  </si>
  <si>
    <t xml:space="preserve">Interesa të akumuluara</t>
  </si>
  <si>
    <t xml:space="preserve">Interesa kredie/depozite të periudhës</t>
  </si>
  <si>
    <t xml:space="preserve">Opsionale sipas kontratës</t>
  </si>
  <si>
    <t xml:space="preserve">Zhvlerësim klientësh</t>
  </si>
  <si>
    <t xml:space="preserve">Klientë të dyshimtë / provigjion</t>
  </si>
  <si>
    <t xml:space="preserve">Shumë vendoset me gjykim profesional</t>
  </si>
  <si>
    <t xml:space="preserve">Manual</t>
  </si>
  <si>
    <t xml:space="preserve">Rregullim tjetër sipas nevojës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</si>
  <si>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</si>
  <si>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</si>
  <si>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</si>
  <si>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</si>
  <si>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</si>
  <si>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VEPRIME NGA RREGULLIME TË TJERA PËR DITAR_MBYLLJE_AUTO</t>
  </si>
  <si>
    <t xml:space="preserve">Efekti në fitim</t>
  </si>
  <si>
    <t xml:space="preserve">5  |  TATIM FITIMI  —  Llogaritja fiskale dhe artikulli 691/444</t>
  </si>
  <si>
    <t xml:space="preserve">FITIMI KONTABËL I KORRIGJUAR</t>
  </si>
  <si>
    <t xml:space="preserve">FITIMI TATIMOR</t>
  </si>
  <si>
    <t xml:space="preserve">TATIM FITIMI</t>
  </si>
  <si>
    <t xml:space="preserve">Llogaritja bazohet te fitimi kontabël nga Bilanci i Provës, pastaj shtohen shpenzimet e panjohura dhe zbriten të ardhurat e përjashtuara. Tatimi kalon në ditar vetëm kur Konfirmo = PO.</t>
  </si>
  <si>
    <t xml:space="preserve">Fitimi kontabël para rregullimeve automatike</t>
  </si>
  <si>
    <t xml:space="preserve">Klasa 7 - Klasa 6 nga zona manuale e DITARI</t>
  </si>
  <si>
    <t xml:space="preserve">Rezultati kontabël para tatimit nga Bilanci i Provës</t>
  </si>
  <si>
    <t xml:space="preserve">Efekti inventarit</t>
  </si>
  <si>
    <t xml:space="preserve">Efekti i veprimeve të konfirmuara</t>
  </si>
  <si>
    <t xml:space="preserve">Inventar + Amortizim + Rregullime të tjera</t>
  </si>
  <si>
    <t xml:space="preserve">Përfshin vetëm rreshtat me Konfirmo = PO para tatimit</t>
  </si>
  <si>
    <t xml:space="preserve">Efekti amortizimit</t>
  </si>
  <si>
    <t xml:space="preserve">Fitimi kontabël i korrigjuar</t>
  </si>
  <si>
    <t xml:space="preserve">BP + rregullimet e konfirmuara</t>
  </si>
  <si>
    <t xml:space="preserve">Efekti i rregullimeve të tjera</t>
  </si>
  <si>
    <t xml:space="preserve">Amortizimi 43</t>
  </si>
  <si>
    <t xml:space="preserve">Amortizimi 44</t>
  </si>
  <si>
    <t xml:space="preserve">SHPENZIME TË PANJOHURA FISKALISHT</t>
  </si>
  <si>
    <t xml:space="preserve">Input përdoruesi</t>
  </si>
  <si>
    <t xml:space="preserve">Amortizimi 45</t>
  </si>
  <si>
    <t xml:space="preserve">Amortizimi 46</t>
  </si>
  <si>
    <t xml:space="preserve">Gjoba / penalitete</t>
  </si>
  <si>
    <t xml:space="preserve">Input manual</t>
  </si>
  <si>
    <t xml:space="preserve">Shpenzime pa dokumentacion</t>
  </si>
  <si>
    <t xml:space="preserve">Shpenzime personale / jo për aktivitetin</t>
  </si>
  <si>
    <t xml:space="preserve">Dhurime / sponsorizime të panjohura</t>
  </si>
  <si>
    <t xml:space="preserve">Tjetër</t>
  </si>
  <si>
    <t xml:space="preserve">TOTAL SHPENZIME TË PANJOHURA</t>
  </si>
  <si>
    <t xml:space="preserve">Shtohet te fitimi kontabël</t>
  </si>
  <si>
    <t xml:space="preserve">TË ARDHURA TË PËRJASHTUARA / ZBRITJE FISKALE</t>
  </si>
  <si>
    <t xml:space="preserve">Dividendë / të ardhura të përjashtuara</t>
  </si>
  <si>
    <t xml:space="preserve">TOTAL TË ARDHURA TË PËRJASHTUARA</t>
  </si>
  <si>
    <t xml:space="preserve">Zbritet nga fitimi kontabël</t>
  </si>
  <si>
    <t xml:space="preserve">LLOGARITJA FISKALE</t>
  </si>
  <si>
    <t xml:space="preserve">Rezultat automatik</t>
  </si>
  <si>
    <t xml:space="preserve">Fitimi tatimor</t>
  </si>
  <si>
    <t xml:space="preserve">Fitimi kontabël + shpenzime të panjohura - të ardhura të përjashtuara</t>
  </si>
  <si>
    <t xml:space="preserve">Norma tatimore</t>
  </si>
  <si>
    <t xml:space="preserve">Tatim fitimi</t>
  </si>
  <si>
    <t xml:space="preserve">Nëse fitimi tatimor është pozitiv</t>
  </si>
  <si>
    <t xml:space="preserve">ARTIKULLI I SUGJERUAR PËR DITAR_MBYLLJE_AUTO</t>
  </si>
  <si>
    <t xml:space="preserve">Konfirmo vetëm pasi ta kontrollosh</t>
  </si>
  <si>
    <t xml:space="preserve">Regjistrimi i tatim fitimit</t>
  </si>
  <si>
    <t xml:space="preserve">6  |  KONTROLLI I MBYLLJES  —  A janë gati llogaritjet për mbyllje?</t>
  </si>
  <si>
    <t xml:space="preserve">Veprim i kërkuar</t>
  </si>
  <si>
    <t xml:space="preserve">KMSH i llogaritur</t>
  </si>
  <si>
    <t xml:space="preserve">KMSH &amp; 603</t>
  </si>
  <si>
    <t xml:space="preserve">Kontrollo vetëm nëse del KONTROLL</t>
  </si>
  <si>
    <t xml:space="preserve">Inventari i verifikuar</t>
  </si>
  <si>
    <t xml:space="preserve">Plotëso D20 nëse kërkohet kontroll inventari</t>
  </si>
  <si>
    <t xml:space="preserve">Amortizimi i konfirmuar</t>
  </si>
  <si>
    <t xml:space="preserve">Kontrollo kolonën L te amortizimi</t>
  </si>
  <si>
    <t xml:space="preserve">Manuale</t>
  </si>
  <si>
    <t xml:space="preserve">Plotëso Debi/Kredi/Shumë për rreshtat me PO</t>
  </si>
  <si>
    <t xml:space="preserve">Tatim Fitimi</t>
  </si>
  <si>
    <t xml:space="preserve">Vendos PO te E132 nëse tatimi do postohet</t>
  </si>
  <si>
    <t xml:space="preserve">7  |  EFEKTI I RREGULLIMEVE  —  Si ndryshon fitimi para mbylljes?</t>
  </si>
  <si>
    <t xml:space="preserve">Ndryshimi i gjendjes / KMSH</t>
  </si>
  <si>
    <t xml:space="preserve">Saldo 603</t>
  </si>
  <si>
    <t xml:space="preserve">Rreshtat 43:46</t>
  </si>
  <si>
    <t xml:space="preserve">Amortizimi ul fitimin kur konfirmohet PO</t>
  </si>
  <si>
    <t xml:space="preserve">Rregullime të tjera të konfirmuara</t>
  </si>
  <si>
    <t xml:space="preserve">Rreshtat 76:90</t>
  </si>
  <si>
    <t xml:space="preserve">Efekti llogaritet nga kahu Debi/Kredi i klasave 6 dhe 7</t>
  </si>
  <si>
    <t xml:space="preserve">TOTAL EFEKTI PARA TATIMIT</t>
  </si>
  <si>
    <t xml:space="preserve">Ky efekt përdoret vetëm si kontroll analitik. Tatimi shfaqet veçmas.</t>
  </si>
  <si>
    <t xml:space="preserve">8  |  FITIMI FINAL PËR MBYLLJE  —  Baza për MBYLLJA_6_7_AUTO</t>
  </si>
  <si>
    <t xml:space="preserve">Fitimi kontabël fillestar</t>
  </si>
  <si>
    <t xml:space="preserve">Klasa 7 - Klasa 6 nga BP</t>
  </si>
  <si>
    <t xml:space="preserve">Rezultati para efektit të rregullimeve të konfirmuara</t>
  </si>
  <si>
    <t xml:space="preserve">Efekti i rregullimeve para tatimit</t>
  </si>
  <si>
    <t xml:space="preserve">Veprimet me PO</t>
  </si>
  <si>
    <t xml:space="preserve">Efekti i inventarit/amortizimit/rregullimeve para tatimit</t>
  </si>
  <si>
    <t xml:space="preserve">Fitimi pas rregullimeve para tatimit</t>
  </si>
  <si>
    <t xml:space="preserve">Fitimi fillestar + rregullime</t>
  </si>
  <si>
    <t xml:space="preserve">Kjo është baza fiskale para korrigjimeve tatimore</t>
  </si>
  <si>
    <t xml:space="preserve">Tatim Fitimi i llogaritur</t>
  </si>
  <si>
    <t xml:space="preserve">Moduli Tatim Fitimi</t>
  </si>
  <si>
    <t xml:space="preserve">VEÇMAS</t>
  </si>
  <si>
    <t xml:space="preserve">Tatimi nuk futet te efekti i rregullimeve; postohet si 691/444</t>
  </si>
  <si>
    <t xml:space="preserve">Fitimi pas Tatim Fitimit</t>
  </si>
  <si>
    <t xml:space="preserve">Kontroll menaxherial</t>
  </si>
  <si>
    <t xml:space="preserve">INFO</t>
  </si>
  <si>
    <t xml:space="preserve">Përdoret për kontroll; mbyllja 6/7 do krijojë rezultatin kontabël</t>
  </si>
  <si>
    <t xml:space="preserve">9  |  KONTROLL GABIMESH  —  Para se të kalosh në mbylljen 6/7</t>
  </si>
  <si>
    <t xml:space="preserve">Çfarë do të thotë</t>
  </si>
  <si>
    <t xml:space="preserve">PO pa shumë</t>
  </si>
  <si>
    <t xml:space="preserve">Ka rreshta të konfirmuar pa shumë të vlefshme</t>
  </si>
  <si>
    <t xml:space="preserve">PO pa Debi/Kredi</t>
  </si>
  <si>
    <t xml:space="preserve">Ka rreshta manualë me PO, por pa Debi/Kredi</t>
  </si>
  <si>
    <t xml:space="preserve">Inventari jo i rakorduar</t>
  </si>
  <si>
    <t xml:space="preserve">Diferenca e inventarit lejohet vetëm kur veprimi korrigjues është miratuar me PO.</t>
  </si>
  <si>
    <t xml:space="preserve">Tatimi jo i konfirmuar</t>
  </si>
  <si>
    <t xml:space="preserve">Tatimi kalon në ditar vetëm kur E132 = PO</t>
  </si>
  <si>
    <t xml:space="preserve">GATI PËR MBYLLJE</t>
  </si>
  <si>
    <t xml:space="preserve">Nëse statusi është GATI, vazhdo te MBYLLJA_6_7_AUTO</t>
  </si>
  <si>
    <t xml:space="preserve">10  |  HAPI TJETËR</t>
  </si>
  <si>
    <t xml:space="preserve">D-FINITY | PASQYRA E POSTIMEVE AUTOMATIKE NË DITAR</t>
  </si>
  <si>
    <t xml:space="preserve">Kontroll i shpejtë</t>
  </si>
  <si>
    <t xml:space="preserve">Pasqyrë teknike: rregullimet e miratuara postohen direkt në DITARI kur DITAR_MBYLLJE_AUTO!M2 = PO; mbyllja 6/7 ka konfirmimin e vet.</t>
  </si>
  <si>
    <t xml:space="preserve">Data mbylljes</t>
  </si>
  <si>
    <t xml:space="preserve">Rregullime gati</t>
  </si>
  <si>
    <t xml:space="preserve">MOS KOPJO ASNJË RRESHT. Për rregullimet përdor PO te DITAR_MBYLLJE_AUTO; për Klasat 6/7 përdor PO te MBYLLJA_6_7_AUTO.</t>
  </si>
  <si>
    <t xml:space="preserve">Totali debit rregullime</t>
  </si>
  <si>
    <t xml:space="preserve">HAPI 1 — VEPRIMET RREGULLUESE TË FUNDIT TË VITIT (postohen PARA mbylljes 6/7)</t>
  </si>
  <si>
    <t xml:space="preserve">Totali kredit rregullime</t>
  </si>
  <si>
    <t xml:space="preserve">Kontroll rregullime</t>
  </si>
  <si>
    <t xml:space="preserve">Mbyllja 7 status</t>
  </si>
  <si>
    <t xml:space="preserve">Totali të ardhura</t>
  </si>
  <si>
    <t xml:space="preserve">Totali shpenzime</t>
  </si>
  <si>
    <t xml:space="preserve">HAPI 2A — MBYLLJA FINALE E KLASËS 7 TE 121 (e fundit, pasi janë postuar rregullimet)</t>
  </si>
  <si>
    <t xml:space="preserve">Mbyllje vjetore</t>
  </si>
  <si>
    <t xml:space="preserve">Mbyllja e të ardhurave te 121</t>
  </si>
  <si>
    <t xml:space="preserve">121 — kundërpartia debit për Klasën 7</t>
  </si>
  <si>
    <t xml:space="preserve">121 — kundërpartia kredit për Klasën 7</t>
  </si>
  <si>
    <t xml:space="preserve">HAPI 2B — MBYLLJA FINALE E KLASËS 6 TE 121 (pas klasës 7)</t>
  </si>
  <si>
    <t xml:space="preserve">121 — kundërpartia debit për Klasën 6</t>
  </si>
  <si>
    <t xml:space="preserve">121 — kundërpartia kredit për Klasën 6</t>
  </si>
  <si>
    <t xml:space="preserve">Mbyllja e shpenzimeve te 121</t>
  </si>
  <si>
    <t xml:space="preserve">HAPI 3 — KALIMI I REZULTATIT TË MIRATUAR NGA 121 NË 108 (OPSIONAL)</t>
  </si>
  <si>
    <t xml:space="preserve">Kalimi i rezultatit të miratuar në 108</t>
  </si>
  <si>
    <t xml:space="preserve">PASQYRA E TË ARDHURAVE DHE SHPENZIMEVE</t>
  </si>
  <si>
    <t xml:space="preserve">D-FINITY | PASH MIKRO FINAL (SKK 15 - SHTOJCA 2, SIPAS NATYRËS)</t>
  </si>
  <si>
    <t xml:space="preserve">Zëri</t>
  </si>
  <si>
    <t xml:space="preserve">Kontroll / Mapping</t>
  </si>
  <si>
    <t xml:space="preserve">Shitjet neto</t>
  </si>
  <si>
    <t xml:space="preserve">701-709</t>
  </si>
  <si>
    <t xml:space="preserve">Të ardhura të tjera nga veprimtaritë e shfrytëzimit</t>
  </si>
  <si>
    <t xml:space="preserve">75x,77x,78x</t>
  </si>
  <si>
    <t xml:space="preserve">Ndryshimet në inventarin e produkteve të gatshme dhe punës në proces</t>
  </si>
  <si>
    <t xml:space="preserve">603 = debit-kredit; negative ul shpenzimet</t>
  </si>
  <si>
    <t xml:space="preserve">Puna e kryer nga njësia ekonomike për qëllimet e veta dhe e kapitalizuar</t>
  </si>
  <si>
    <t xml:space="preserve">72x</t>
  </si>
  <si>
    <t xml:space="preserve">Mallrat, lëndët e para dhe shërbimet</t>
  </si>
  <si>
    <t xml:space="preserve">601,602,605</t>
  </si>
  <si>
    <t xml:space="preserve">Shpenzime të tjera nga veprimtaritë e shfrytëzimit</t>
  </si>
  <si>
    <t xml:space="preserve">61x,62x,63x,65x</t>
  </si>
  <si>
    <t xml:space="preserve">Shpenzime të personelit</t>
  </si>
  <si>
    <t xml:space="preserve">   Pagat</t>
  </si>
  <si>
    <t xml:space="preserve">   Shpenzimet e sigurimeve shoqërore dhe shëndetësore</t>
  </si>
  <si>
    <t xml:space="preserve">Fitimi (humbja) nga veprimtaritë e shfrytëzimit</t>
  </si>
  <si>
    <t xml:space="preserve">Subtotal</t>
  </si>
  <si>
    <t xml:space="preserve">Të ardhurat dhe shpenzimet financiare</t>
  </si>
  <si>
    <t xml:space="preserve">   Të ardhurat dhe shpenzimet nga interesi</t>
  </si>
  <si>
    <t xml:space="preserve">767 - 667</t>
  </si>
  <si>
    <t xml:space="preserve">   Fitimet (humbjet) nga kursi i këmbimit</t>
  </si>
  <si>
    <t xml:space="preserve">768 - 669</t>
  </si>
  <si>
    <t xml:space="preserve">Totali i të ardhurave dhe shpenzimeve financiare</t>
  </si>
  <si>
    <t xml:space="preserve">Fitimi (humbja) para tatimit</t>
  </si>
  <si>
    <t xml:space="preserve">Shpenzimet e tatimit mbi fitimin</t>
  </si>
  <si>
    <t xml:space="preserve">694 (691 historike)</t>
  </si>
  <si>
    <t xml:space="preserve">Fitimi (humbja) neto e vitit financiar</t>
  </si>
  <si>
    <t xml:space="preserve">Kontroll final</t>
  </si>
  <si>
    <t xml:space="preserve">KONTROLL</t>
  </si>
  <si>
    <t xml:space="preserve">Fitimi/Humbja neto nga PASH</t>
  </si>
  <si>
    <t xml:space="preserve">Rezultati nga MBYLLJA_VJETORE</t>
  </si>
  <si>
    <t xml:space="preserve">Status kontrolli</t>
  </si>
  <si>
    <t xml:space="preserve">Shënim: PASH sipas natyrës është formati i detyrueshëm për mikronjësitë sipas SKK 15. Formula lexon BILANCI_PROVE; MAP_PASH shërben si gjurmë/audit për lidhjen e llogarive.</t>
  </si>
  <si>
    <t xml:space="preserve">PASQYRA E SHKURTUAR E POZICIONIT FINANCIAR (BILANCI)</t>
  </si>
  <si>
    <t xml:space="preserve">D-FINITY | BILANCI MIKRO FINAL (SKK 15 - SHTOJCA 1)</t>
  </si>
  <si>
    <t xml:space="preserve">AKTIVET</t>
  </si>
  <si>
    <t xml:space="preserve">I. Aktivet afatshkurtra</t>
  </si>
  <si>
    <t xml:space="preserve">1. Mjete monetare</t>
  </si>
  <si>
    <t xml:space="preserve">2. Të drejta të arkëtueshme dhe të tjera investime financiare</t>
  </si>
  <si>
    <t xml:space="preserve">   Kërkesa të arkëtueshme</t>
  </si>
  <si>
    <t xml:space="preserve">   Të tjera të arkëtueshme</t>
  </si>
  <si>
    <t xml:space="preserve">   Instrumente të tjera financiare</t>
  </si>
  <si>
    <t xml:space="preserve">   Zhvlerësim i të drejtave të arkëtueshme (-)</t>
  </si>
  <si>
    <t xml:space="preserve">   Totali i të drejtave të arkëtueshme dhe investimeve</t>
  </si>
  <si>
    <t xml:space="preserve">3. Inventarët</t>
  </si>
  <si>
    <t xml:space="preserve">   Lëndë të para dhe materiale të konsumueshme</t>
  </si>
  <si>
    <t xml:space="preserve">   Prodhim në proces dhe gjysmëprodukte</t>
  </si>
  <si>
    <t xml:space="preserve">   Produkte të gatshme</t>
  </si>
  <si>
    <t xml:space="preserve">   Mallra për shitje</t>
  </si>
  <si>
    <t xml:space="preserve">   Parapagesa për inventarë</t>
  </si>
  <si>
    <t xml:space="preserve">   Totali i inventarëve</t>
  </si>
  <si>
    <t xml:space="preserve">TOTALI I AKTIVEVE AFATSHKURTRA</t>
  </si>
  <si>
    <t xml:space="preserve">II. Aktivet afatgjata</t>
  </si>
  <si>
    <t xml:space="preserve">1. Aktive afatgjata financiare</t>
  </si>
  <si>
    <t xml:space="preserve">2. Aktivet afatgjata materiale</t>
  </si>
  <si>
    <t xml:space="preserve">   Toka dhe ndërtesa</t>
  </si>
  <si>
    <t xml:space="preserve">   Makineri dhe pajisje</t>
  </si>
  <si>
    <t xml:space="preserve">   Të tjera në shfrytëzim</t>
  </si>
  <si>
    <t xml:space="preserve">   Aktive afatgjata në proces</t>
  </si>
  <si>
    <t xml:space="preserve">   Amortizim/Zhvlerësim i akumuluar (-)</t>
  </si>
  <si>
    <t xml:space="preserve">   Totali i AAM me kosto të amortizuar</t>
  </si>
  <si>
    <t xml:space="preserve">3. Aktivet afatgjata jomateriale</t>
  </si>
  <si>
    <t xml:space="preserve">   Patenta, licenca, të drejta të tjera të ngjashme</t>
  </si>
  <si>
    <t xml:space="preserve">   Amortizim/Zhvlerësim i akumuluar AAJM (-)</t>
  </si>
  <si>
    <t xml:space="preserve">   Totali i AAJM me kosto të amortizuar</t>
  </si>
  <si>
    <t xml:space="preserve">TOTALI I AKTIVEVE AFATGJATA</t>
  </si>
  <si>
    <t xml:space="preserve">TOTALI I AKTIVEVE</t>
  </si>
  <si>
    <t xml:space="preserve">DETYRIME DHE KAPITALI</t>
  </si>
  <si>
    <t xml:space="preserve">I. Detyrime afatshkurtra</t>
  </si>
  <si>
    <t xml:space="preserve">1. Tituj të huamarrjes</t>
  </si>
  <si>
    <t xml:space="preserve">2. Detyrime tregtare</t>
  </si>
  <si>
    <t xml:space="preserve">   Të pagueshme për aktivitetin e shfrytëzimit</t>
  </si>
  <si>
    <t xml:space="preserve">   Të pagueshme ndaj punonjësve</t>
  </si>
  <si>
    <t xml:space="preserve">   Të pagueshme për detyrime tatimore</t>
  </si>
  <si>
    <t xml:space="preserve">   Parapagimet e arkëtuara</t>
  </si>
  <si>
    <t xml:space="preserve">3. Detyrime të tjera afatshkurtra</t>
  </si>
  <si>
    <t xml:space="preserve">TOTALI I DETYRIMEVE AFATSHKURTRA</t>
  </si>
  <si>
    <t xml:space="preserve">II. Detyrime afatgjata</t>
  </si>
  <si>
    <t xml:space="preserve">2. Të tjera</t>
  </si>
  <si>
    <t xml:space="preserve">TOTALI I DETYRIMEVE AFATGJATA</t>
  </si>
  <si>
    <t xml:space="preserve">III. Kapitali</t>
  </si>
  <si>
    <t xml:space="preserve">1. Kapitali dhe fitimi/humbja e pashpërndarë</t>
  </si>
  <si>
    <t xml:space="preserve">2. Fitimi / Humbja e vitit financiar</t>
  </si>
  <si>
    <t xml:space="preserve">3. Llogaria 451 paraqitet te të drejtat/detyrimet (pa zbritje të dyfishtë)</t>
  </si>
  <si>
    <t xml:space="preserve">TOTALI I KAPITALIT</t>
  </si>
  <si>
    <t xml:space="preserve">TOTALI I DETYRIMEVE DHE KAPITALIT</t>
  </si>
  <si>
    <t xml:space="preserve">KONTROLLE</t>
  </si>
  <si>
    <t xml:space="preserve">Aktive = Detyrime + Kapital</t>
  </si>
  <si>
    <t xml:space="preserve">Diferenca</t>
  </si>
  <si>
    <t xml:space="preserve">Fitimi në Bilanc = PASH / llogaria 121</t>
  </si>
  <si>
    <t xml:space="preserve">Status Bilanci</t>
  </si>
  <si>
    <t xml:space="preserve">SHËNIM AUTOMATIK</t>
  </si>
  <si>
    <t xml:space="preserve">121 paraqet rezultatin e vitit aktual. Pas miratimit ai mund të transferohet në 108 (Fitim/Humbje e pashpërndarë). Tërheqjet dhe marrëdhëniet me pronarët regjistrohen në 451.</t>
  </si>
  <si>
    <t xml:space="preserve">D-FINITY | AUDIT BILANC</t>
  </si>
  <si>
    <t xml:space="preserve">Qëllimi: kontrollon çdo llogari të Bilancit të Provës nëse është përfshirë në Bilancin SKK 15.</t>
  </si>
  <si>
    <t xml:space="preserve">Totali Aktive</t>
  </si>
  <si>
    <t xml:space="preserve">Totali Detyrime + Kapital</t>
  </si>
  <si>
    <t xml:space="preserve">Bilanci nuk merr më fitimin nga PASH; Fitimi/Humbja e vitit financiar merret nga 121 në BILANCI_PROVE.</t>
  </si>
  <si>
    <t xml:space="preserve">Saldo neto (D-K)</t>
  </si>
  <si>
    <t xml:space="preserve">Seksioni</t>
  </si>
  <si>
    <t xml:space="preserve">Rreshti Bilanc/PASH</t>
  </si>
  <si>
    <t xml:space="preserve">Kapitali i pronarit</t>
  </si>
  <si>
    <t xml:space="preserve">Kapitali dhe rezultati i akumuluar</t>
  </si>
  <si>
    <t xml:space="preserve">Toka dhe ndërtesa</t>
  </si>
  <si>
    <t xml:space="preserve">Makineri dhe pajisje</t>
  </si>
  <si>
    <t xml:space="preserve">Të tjera në shfrytëzim</t>
  </si>
  <si>
    <t xml:space="preserve">Amortizim/Zhvlerësim AAJM (-)</t>
  </si>
  <si>
    <t xml:space="preserve">Aktive afatshkurtra</t>
  </si>
  <si>
    <t xml:space="preserve">Lëndë të para/materiale</t>
  </si>
  <si>
    <t xml:space="preserve">Prodhim në proces/gjysëm produkte</t>
  </si>
  <si>
    <t xml:space="preserve">Të pagueshme për aktivitetin e shfrytëzimit</t>
  </si>
  <si>
    <t xml:space="preserve">Kërkesa të arkëtueshme</t>
  </si>
  <si>
    <t xml:space="preserve">Të pagueshme ndaj punonjësve</t>
  </si>
  <si>
    <t xml:space="preserve">Të tjera të arkëtueshme</t>
  </si>
  <si>
    <t xml:space="preserve">Të pagueshme për detyrime tatimore</t>
  </si>
  <si>
    <t xml:space="preserve">Zhvlerësim i të drejtave të arkëtueshme (-)</t>
  </si>
  <si>
    <t xml:space="preserve">Llogari rezultati (jo në Bilanc direkt)</t>
  </si>
  <si>
    <t xml:space="preserve">Përmbledhje Audit</t>
  </si>
  <si>
    <t xml:space="preserve">Totali Debi nga Ditari</t>
  </si>
  <si>
    <t xml:space="preserve">Totali Kredi nga Ditari</t>
  </si>
  <si>
    <t xml:space="preserve">Diferenca e Ditarit</t>
  </si>
  <si>
    <t xml:space="preserve">Diferenca e Bilancit</t>
  </si>
  <si>
    <t xml:space="preserve">Politika 108 / 121 / 451</t>
  </si>
  <si>
    <t xml:space="preserve">121 = rezultati aktual; 108 = i pashpërndari; 451 = llogaria rrjedhëse me pronarët; 109 = jo-aktiv.</t>
  </si>
  <si>
    <t xml:space="preserve">D-FINITY | SHËNIME SHPJEGUESE</t>
  </si>
  <si>
    <t xml:space="preserve">FORMULAR BAZË PËR MIKRONJËSI</t>
  </si>
  <si>
    <t xml:space="preserve">Zëri i shënimit</t>
  </si>
  <si>
    <t xml:space="preserve">Përmbajtja</t>
  </si>
  <si>
    <t xml:space="preserve">1. Informacion i përgjithshëm mbi njësinë</t>
  </si>
  <si>
    <t xml:space="preserve">2. NIPT</t>
  </si>
  <si>
    <t xml:space="preserve">3. Periudha raportuese</t>
  </si>
  <si>
    <t xml:space="preserve">4. Baza e përgatitjes së pasqyrave</t>
  </si>
  <si>
    <t xml:space="preserve">Pasqyrat financiare janë përgatitur në përputhje me standardin SKK 15 për mikronjësitë, mbi bazën e kostos historike dhe të regjistrimit me të drejta e detyrime.</t>
  </si>
  <si>
    <t xml:space="preserve">5. Monedha e raportimit</t>
  </si>
  <si>
    <t xml:space="preserve">6. Politikat kryesore kontabël</t>
  </si>
  <si>
    <t xml:space="preserve">Të ardhurat njihen kur realizohen dhe shpenzimet kur ndodhin. Inventarët, mjetet monetare, të drejtat e arkëtueshme, aktivet afatgjata dhe detyrimet maten sipas natyrës së zërit dhe dokumentacionit mbështetës.</t>
  </si>
  <si>
    <t xml:space="preserve">7. Mjete monetare</t>
  </si>
  <si>
    <t xml:space="preserve">8. Të drejta të arkëtueshme dhe investime të tjera financiare</t>
  </si>
  <si>
    <t xml:space="preserve">9. Inventarë</t>
  </si>
  <si>
    <t xml:space="preserve">10. Aktive afatgjata materiale neto</t>
  </si>
  <si>
    <t xml:space="preserve">11. Të pagueshme për aktivitetin e shfrytëzimit</t>
  </si>
  <si>
    <t xml:space="preserve">12. Detyrime tatimore dhe të tjera</t>
  </si>
  <si>
    <t xml:space="preserve">13. TVSH neto për pagesë / (zbritje)</t>
  </si>
  <si>
    <t xml:space="preserve">Shiko rakordimin TVSH në KODE_TVSH / BILANCI_PROVE</t>
  </si>
  <si>
    <t xml:space="preserve">14. Të ardhura nga aktiviteti i shfrytëzimit</t>
  </si>
  <si>
    <t xml:space="preserve">15. Të ardhura të tjera të shfrytëzimit</t>
  </si>
  <si>
    <t xml:space="preserve">16. Shpenzime personeli</t>
  </si>
  <si>
    <t xml:space="preserve">17. Numri mesatar i punonjësve</t>
  </si>
  <si>
    <t xml:space="preserve">Plotëso manualisht</t>
  </si>
  <si>
    <t xml:space="preserve">18. Ngjarje pas datës së bilancit</t>
  </si>
  <si>
    <t xml:space="preserve">Në mungesë të ngjarjeve materiale pas datës së bilancit, nuk ka shënime shtesë për t’u dhënë. Plotëso manualisht nëse ka.</t>
  </si>
  <si>
    <t xml:space="preserve">   D-FINITY</t>
  </si>
  <si>
    <t xml:space="preserve">MIRË SE ERDHËT</t>
  </si>
  <si>
    <t xml:space="preserve">Cilësimet  ⚙</t>
  </si>
  <si>
    <t xml:space="preserve">Të dhëna shtesë (kontabilist)</t>
  </si>
  <si>
    <t xml:space="preserve">Rreshta pa ID</t>
  </si>
  <si>
    <t xml:space="preserve">Veprime OK</t>
  </si>
  <si>
    <t xml:space="preserve">MENU</t>
  </si>
  <si>
    <t xml:space="preserve">●  Paneli Kryesor</t>
  </si>
  <si>
    <t xml:space="preserve">›  Fillo Këtu</t>
  </si>
  <si>
    <t xml:space="preserve">›  Ditari</t>
  </si>
  <si>
    <t xml:space="preserve">›  Libri i Madh</t>
  </si>
  <si>
    <t xml:space="preserve">PËRMBLEDHJE FINANCIARE</t>
  </si>
  <si>
    <t xml:space="preserve">›  Bilanci i Provës</t>
  </si>
  <si>
    <t xml:space="preserve">›  Pasqyrat (PASH)</t>
  </si>
  <si>
    <t xml:space="preserve">TË ARDHURA TOTALE</t>
  </si>
  <si>
    <t xml:space="preserve">SHPENZIME TOTALE</t>
  </si>
  <si>
    <t xml:space="preserve">FITIMI / (HUMBJA)</t>
  </si>
  <si>
    <t xml:space="preserve">SISTEMI</t>
  </si>
  <si>
    <t xml:space="preserve">Shiko Bilancin e Provës (4456/4457)</t>
  </si>
  <si>
    <t xml:space="preserve">›  Cilësimet</t>
  </si>
  <si>
    <t xml:space="preserve">›  Manuali</t>
  </si>
  <si>
    <t xml:space="preserve">KONTROLLET E SISTEMIT</t>
  </si>
  <si>
    <t xml:space="preserve">KONTABILISTI</t>
  </si>
  <si>
    <t xml:space="preserve">Diferenca e Bilancit (A − P − K)</t>
  </si>
  <si>
    <t xml:space="preserve">Veprime me gabim</t>
  </si>
  <si>
    <t xml:space="preserve">›  Zona e Kontabilistit</t>
  </si>
  <si>
    <t xml:space="preserve">›  Diagnostikimi i Bilancit (Audit)</t>
  </si>
  <si>
    <t xml:space="preserve">›  Kontrolli i Veprimeve</t>
  </si>
  <si>
    <t xml:space="preserve">v1.0</t>
  </si>
  <si>
    <t xml:space="preserve">D-FINITY | MBYLLJA AUTOMATIKE E KLASËS 6 &amp; 7</t>
  </si>
  <si>
    <t xml:space="preserve">Qëllimi: mbyll automatikisht të gjitha llogaritë 6/7 te 121. Përdoruesi zgjedh vetëm PO; motori poston të dy klasat bashkë direkt në zonën e sistemit në DITARI.</t>
  </si>
  <si>
    <t xml:space="preserve">1. PËRMBLEDHJE E REZULTATIT</t>
  </si>
  <si>
    <t xml:space="preserve">Llogaria provizore e rezultatit</t>
  </si>
  <si>
    <t xml:space="preserve">LOGJIKA: Klasa 7 mbyllet me 7xx / 121. Klasa 6 mbyllet me 121 / 6xx. Nëse një 6xx del kreditore (p.sh. 603), mbyllet me 6xx / 121. Rezultati neto mbetet në llogarinë 121.</t>
  </si>
  <si>
    <t xml:space="preserve">Llogaria e fitimit/humbjes së pashpërndarë</t>
  </si>
  <si>
    <t xml:space="preserve">Data e mbylljes</t>
  </si>
  <si>
    <t xml:space="preserve">Konfirmo postimin direkt në Ditar</t>
  </si>
  <si>
    <t xml:space="preserve">⚠ Mos e kthe në JO pas mbylljes — fshin veprimet e postuara nga Ditari.</t>
  </si>
  <si>
    <t xml:space="preserve">Totali neto Klasa 7</t>
  </si>
  <si>
    <t xml:space="preserve">Totali neto Klasa 6</t>
  </si>
  <si>
    <t xml:space="preserve">Rezultati para transferimit</t>
  </si>
  <si>
    <t xml:space="preserve">Status rezultati</t>
  </si>
  <si>
    <t xml:space="preserve">Status mbyllje</t>
  </si>
  <si>
    <t xml:space="preserve">2. ARTIKUJT E MBYLLJES – KLASA 7 (TË ARDHURAT)</t>
  </si>
  <si>
    <t xml:space="preserve">3. ARTIKUJT E MBYLLJES – KLASA 6 (SHPENZIMET, PËRFSHI 603)</t>
  </si>
  <si>
    <t xml:space="preserve">4. TRANSFERIMI I REZULTATIT NGA 121 TE FITIM/HUMBJE VITI</t>
  </si>
  <si>
    <t xml:space="preserve">4. KALIMI 121 → 108 — VETËM PAS MIRATIMIT TË REZULTATIT</t>
  </si>
  <si>
    <t xml:space="preserve">Transferimi i rezultatit të miratuar</t>
  </si>
  <si>
    <t xml:space="preserve">Konfirmo 121 → 108</t>
  </si>
  <si>
    <t xml:space="preserve">⚠ Mos e kthe në JO pas mbylljes — fshin transferimin nga Ditari.</t>
  </si>
  <si>
    <t xml:space="preserve">5. KONTROLLE FINALE</t>
  </si>
  <si>
    <t xml:space="preserve">Neto artikuj Klasa 7</t>
  </si>
  <si>
    <t xml:space="preserve">Neto artikuj Klasa 6</t>
  </si>
  <si>
    <t xml:space="preserve">Kontroll: Klasa 7 = Përmbledhje</t>
  </si>
  <si>
    <t xml:space="preserve">Kontroll: Klasa 6 = Përmbledhje</t>
  </si>
  <si>
    <t xml:space="preserve">Rezultati 121</t>
  </si>
  <si>
    <t xml:space="preserve">Status final</t>
  </si>
  <si>
    <t xml:space="preserve">6. KONTROLLI 10/10 I MBYLLJES</t>
  </si>
  <si>
    <t xml:space="preserve">ID-të e Klasës 7 në Ditar</t>
  </si>
  <si>
    <t xml:space="preserve">Para konfirmimit janë 0; me PO krijohen automatikisht bashkë me Klasën 6.</t>
  </si>
  <si>
    <t xml:space="preserve">ID-të e Klasës 6 në Ditar</t>
  </si>
  <si>
    <t xml:space="preserve">Para konfirmimit janë 0; me PO krijohen automatikisht bashkë me Klasën 7.</t>
  </si>
  <si>
    <t xml:space="preserve">Saldo e mbetur Klasa 7</t>
  </si>
  <si>
    <t xml:space="preserve">Pas mbylljes duhet të jetë zero.</t>
  </si>
  <si>
    <t xml:space="preserve">Saldo e mbetur Klasa 6</t>
  </si>
  <si>
    <t xml:space="preserve">Rezultati në PASH</t>
  </si>
  <si>
    <t xml:space="preserve">Rezultati ruhet nga PASH edhe pas mbylljes.</t>
  </si>
  <si>
    <t xml:space="preserve">Rezultati në llogarinë 121</t>
  </si>
  <si>
    <t xml:space="preserve">Pas mbylljes duhet të jetë i njëjtë me PASH; pas transferimit duhet të jetë zero.</t>
  </si>
  <si>
    <t xml:space="preserve">Diferenca PASH kundrejt 121</t>
  </si>
  <si>
    <t xml:space="preserve">Toleranca e lejuar: ±0.005 lekë.</t>
  </si>
  <si>
    <t xml:space="preserve">Kalimi i miratuar 121 → 108</t>
  </si>
  <si>
    <t xml:space="preserve">Aktivizohet vetëm pasi mbyllja 6/7 është postuar dhe rezultati është miratuar.</t>
  </si>
  <si>
    <t xml:space="preserve">Gjendja e motorit</t>
  </si>
  <si>
    <t xml:space="preserve">Gjendja operative e motorit.</t>
  </si>
  <si>
    <t xml:space="preserve">STATUS KONTROLLI</t>
  </si>
  <si>
    <t xml:space="preserve">PASS vetëm kur motori është gati për PO ose mbyllja automatike është postuar saktë.</t>
  </si>
  <si>
    <t xml:space="preserve">Postimet sintetike për mbylljen vjetore dhe kontrollet përkatëse</t>
  </si>
  <si>
    <t xml:space="preserve">1. KONTROLLI I MBYLLJES</t>
  </si>
  <si>
    <t xml:space="preserve">PËRMBLEDHJE </t>
  </si>
  <si>
    <t xml:space="preserve">Fitim/Humbje</t>
  </si>
  <si>
    <t xml:space="preserve">Konfirmo mbylljen</t>
  </si>
  <si>
    <t xml:space="preserve">PO</t>
  </si>
  <si>
    <t xml:space="preserve">Totali Klasa 7</t>
  </si>
  <si>
    <t xml:space="preserve">Gati për pasqyra</t>
  </si>
  <si>
    <t xml:space="preserve">Totali Klasa 6</t>
  </si>
  <si>
    <t xml:space="preserve">2. POSTIMET FINALE NË FORMATIN E DITARIT</t>
  </si>
  <si>
    <t xml:space="preserve">Postimi bëhet direkt në DITARI nga MBYLLJA_6_7_AUTO!B8 = PO. POSTIM_NE_DITAR shërben vetëm si pasqyrë kontrolli.</t>
  </si>
  <si>
    <t xml:space="preserve">MB-001</t>
  </si>
  <si>
    <t xml:space="preserve">MB-AM-001</t>
  </si>
  <si>
    <t xml:space="preserve">MBYLLJE</t>
  </si>
  <si>
    <t xml:space="preserve">Amortizimi total i vitit</t>
  </si>
  <si>
    <t xml:space="preserve">MB-002</t>
  </si>
  <si>
    <t xml:space="preserve">MB-TAX-001</t>
  </si>
  <si>
    <t xml:space="preserve">MB-003</t>
  </si>
  <si>
    <t xml:space="preserve">MB-REG-001</t>
  </si>
  <si>
    <t xml:space="preserve">Veprime të tjera rregulluese - plotëso Debi/Kredi nëse ka total</t>
  </si>
  <si>
    <t xml:space="preserve">MB-004</t>
  </si>
  <si>
    <t xml:space="preserve">MB-CL7-001</t>
  </si>
  <si>
    <t xml:space="preserve">ÇAKTIVIZUAR</t>
  </si>
  <si>
    <t xml:space="preserve">MB-005</t>
  </si>
  <si>
    <t xml:space="preserve">MB-CL6-001</t>
  </si>
  <si>
    <t xml:space="preserve">TOTAL POSTIME</t>
  </si>
  <si>
    <t xml:space="preserve">3. SI PËRDORET</t>
  </si>
  <si>
    <t xml:space="preserve">1) Vendos Konfirmo mbylljen = PO.</t>
  </si>
  <si>
    <t xml:space="preserve">2) Kontrollo që TOTAL POSTIME të jetë OK.</t>
  </si>
  <si>
    <t xml:space="preserve">3) Kopjo rreshtat 18:29 si VALUES dhe ngjiti në fund të DITARI.</t>
  </si>
  <si>
    <t xml:space="preserve">4) Nëse MB-REG ka shumë &gt; 0, plotëso Debi/Kredi sipas llogarive reale ose përdor detajin te VEPRIMET_RREGULLUESE.</t>
  </si>
  <si>
    <t xml:space="preserve">5) Pas ngjitjes në DITARI, LIBRI_I_MADH dhe BILANCI_PROVE rifreskohen nga logjika ekzistuese.</t>
  </si>
  <si>
    <t xml:space="preserve">D-FINITY | DITAR MBYLLJE AUTO</t>
  </si>
  <si>
    <t xml:space="preserve">Rrjedha: kontrollo llogaritjet → mirato vetëm veprimet e sakta → zgjidh PO te komanda sipër → rregullimet postohen direkt në DITARI → pastaj mbyll Klasat 6/7.</t>
  </si>
  <si>
    <t xml:space="preserve">POSTO RREGULLIMET E MIRATUARA NË DITARI</t>
  </si>
  <si>
    <t xml:space="preserve">Kontroll Inventari</t>
  </si>
  <si>
    <t xml:space="preserve">Mbyllja Klasa 7 (total)</t>
  </si>
  <si>
    <t xml:space="preserve">7xx</t>
  </si>
  <si>
    <t xml:space="preserve">Mbyllja Klasa 6 (total)</t>
  </si>
  <si>
    <t xml:space="preserve">6xx</t>
  </si>
  <si>
    <t xml:space="preserve">Kalimi i miratuar i rezultatit</t>
  </si>
  <si>
    <t xml:space="preserve">121/108</t>
  </si>
  <si>
    <t xml:space="preserve">MBYLLJA E KLASËS 6 &amp; 7 – ARTIKUJ PËR POSTIM</t>
  </si>
  <si>
    <t xml:space="preserve">Mbyllje Klasa 7</t>
  </si>
  <si>
    <t xml:space="preserve">Mbyllje Klasa 6</t>
  </si>
  <si>
    <t xml:space="preserve">Kalimi i rezultatit të miratuar</t>
  </si>
  <si>
    <t xml:space="preserve">Rreshti PASH</t>
  </si>
  <si>
    <t xml:space="preserve">Llogari / Prefikse</t>
  </si>
  <si>
    <t xml:space="preserve">Shenja</t>
  </si>
  <si>
    <t xml:space="preserve">701*,702*,703*,704*,705*,706*,707*,708*,709*</t>
  </si>
  <si>
    <t xml:space="preserve">Kredit-Debit</t>
  </si>
  <si>
    <t xml:space="preserve">Shitjet e produkteve, mallrave dhe shërbimeve</t>
  </si>
  <si>
    <t xml:space="preserve">75*,77*,78*</t>
  </si>
  <si>
    <t xml:space="preserve">Të ardhura operative jo të rregullta</t>
  </si>
  <si>
    <t xml:space="preserve">Ndryshime në inventar</t>
  </si>
  <si>
    <t xml:space="preserve">603*</t>
  </si>
  <si>
    <t xml:space="preserve">Debit-Kredit</t>
  </si>
  <si>
    <t xml:space="preserve">Nëse del negative ul shpenzimet; lidhja me KMSH</t>
  </si>
  <si>
    <t xml:space="preserve">Puna e kapitalizuar</t>
  </si>
  <si>
    <t xml:space="preserve">72*</t>
  </si>
  <si>
    <t xml:space="preserve">Nëse përdoret</t>
  </si>
  <si>
    <t xml:space="preserve">601*,602*,605*</t>
  </si>
  <si>
    <t xml:space="preserve">Blerje/kosto të materialeve dhe mallrave</t>
  </si>
  <si>
    <t xml:space="preserve">Shpenzime të tjera shfrytëzimi</t>
  </si>
  <si>
    <t xml:space="preserve">61*,62*,63*,65*</t>
  </si>
  <si>
    <t xml:space="preserve">Qira, publicitet, transport, gjoba, shpenzime të tjera</t>
  </si>
  <si>
    <t xml:space="preserve">Pagat</t>
  </si>
  <si>
    <t xml:space="preserve">641*</t>
  </si>
  <si>
    <t xml:space="preserve">Shpenzime page</t>
  </si>
  <si>
    <t xml:space="preserve">644*</t>
  </si>
  <si>
    <t xml:space="preserve">Kontributet e njësisë</t>
  </si>
  <si>
    <t xml:space="preserve">681*</t>
  </si>
  <si>
    <t xml:space="preserve">Shpenzim amortizimi</t>
  </si>
  <si>
    <t xml:space="preserve">Interesa</t>
  </si>
  <si>
    <t xml:space="preserve">767* dhe 667*</t>
  </si>
  <si>
    <t xml:space="preserve">Të ardhura - shpenzime</t>
  </si>
  <si>
    <t xml:space="preserve">Netim për rreshtin financiar</t>
  </si>
  <si>
    <t xml:space="preserve">Kurs këmbimi / financiare të tjera</t>
  </si>
  <si>
    <t xml:space="preserve">768* dhe 669*</t>
  </si>
  <si>
    <t xml:space="preserve">691*,694*</t>
  </si>
  <si>
    <t xml:space="preserve">Shpenzimi i tatim fitimit</t>
  </si>
  <si>
    <t xml:space="preserve">KONTROLL VEPRIMI SIPAS ID</t>
  </si>
  <si>
    <t xml:space="preserve">Nr Rreshtash</t>
  </si>
  <si>
    <t xml:space="preserve">Veprime ERROR</t>
  </si>
  <si>
    <t xml:space="preserve">LIBRI I MADH KLASIK - D-FINITY</t>
  </si>
  <si>
    <t xml:space="preserve">Kartelë klasike sipas llogarisë — pa formula të dukshme në këtë raport</t>
  </si>
  <si>
    <t xml:space="preserve">35 - Mallra për shitje</t>
  </si>
  <si>
    <t xml:space="preserve">Saldo</t>
  </si>
  <si>
    <t xml:space="preserve">JV-0004</t>
  </si>
  <si>
    <t xml:space="preserve">BLERJE MALLRA PESTICIDE</t>
  </si>
  <si>
    <t xml:space="preserve">FATURA 212</t>
  </si>
  <si>
    <t xml:space="preserve">JV-0016</t>
  </si>
  <si>
    <t xml:space="preserve">BLERJE MALLRA  </t>
  </si>
  <si>
    <t xml:space="preserve">TOTAL</t>
  </si>
  <si>
    <t xml:space="preserve">49 - Zhvlerësim i të drejtave dhe detyrimeve</t>
  </si>
  <si>
    <t xml:space="preserve">JV-0035</t>
  </si>
  <si>
    <t xml:space="preserve">SHP BORXH I KEQ</t>
  </si>
  <si>
    <t xml:space="preserve">101 - Kapitali i paguar / themeltar</t>
  </si>
  <si>
    <t xml:space="preserve">JV-0001</t>
  </si>
  <si>
    <t xml:space="preserve">CELJE VITI FISKAL 2020</t>
  </si>
  <si>
    <t xml:space="preserve">JV-0013</t>
  </si>
  <si>
    <t xml:space="preserve">DERDHJE KAPITALI N BANKE</t>
  </si>
  <si>
    <t xml:space="preserve">106 - Rezerva ligjore</t>
  </si>
  <si>
    <t xml:space="preserve">JV-0041</t>
  </si>
  <si>
    <t xml:space="preserve">RIVLERESIM NE RITJE I AAM</t>
  </si>
  <si>
    <t xml:space="preserve">108 - Fitim / Humbje e pashpërndarë</t>
  </si>
  <si>
    <t xml:space="preserve">JV-0022</t>
  </si>
  <si>
    <t xml:space="preserve">SIDG VULLNETAR PER PRONARIN A</t>
  </si>
  <si>
    <t xml:space="preserve">JV-0029</t>
  </si>
  <si>
    <t xml:space="preserve">PAGESE DIVIDENTI I VITIT TE KALUAR</t>
  </si>
  <si>
    <t xml:space="preserve">211 - Toka</t>
  </si>
  <si>
    <t xml:space="preserve">JV-0014</t>
  </si>
  <si>
    <t xml:space="preserve">BLERJE TOKE</t>
  </si>
  <si>
    <t xml:space="preserve">212 - Ndërtesa</t>
  </si>
  <si>
    <t xml:space="preserve">JV-0002</t>
  </si>
  <si>
    <t xml:space="preserve">DOREZIM OBJEKTI NDERTESE</t>
  </si>
  <si>
    <t xml:space="preserve">SHKODRA</t>
  </si>
  <si>
    <t xml:space="preserve">JV-0015</t>
  </si>
  <si>
    <t xml:space="preserve">RIKONSTRUKSION NDERTESE</t>
  </si>
  <si>
    <t xml:space="preserve">213 - Instalime teknike, makineri, pajisje</t>
  </si>
  <si>
    <t xml:space="preserve">215 - Mjete transporti</t>
  </si>
  <si>
    <t xml:space="preserve">JV-0037</t>
  </si>
  <si>
    <t xml:space="preserve">BLERJE KAMIONI</t>
  </si>
  <si>
    <t xml:space="preserve">218 - Të tjera AAM materiale</t>
  </si>
  <si>
    <t xml:space="preserve">JV-0003</t>
  </si>
  <si>
    <t xml:space="preserve">BLERJE PAISJE ZYRE</t>
  </si>
  <si>
    <t xml:space="preserve">fatura 1</t>
  </si>
  <si>
    <t xml:space="preserve">280 - Amortizimi i AA jomateriale</t>
  </si>
  <si>
    <t xml:space="preserve">JV-0034</t>
  </si>
  <si>
    <t xml:space="preserve">AMORTIZIMI </t>
  </si>
  <si>
    <t xml:space="preserve">311 - Materiale të para</t>
  </si>
  <si>
    <t xml:space="preserve">JV-0008</t>
  </si>
  <si>
    <t xml:space="preserve">IMPORT LENDE E PARE</t>
  </si>
  <si>
    <t xml:space="preserve">JV-0009</t>
  </si>
  <si>
    <t xml:space="preserve">DETYRIME DOGANORE</t>
  </si>
  <si>
    <t xml:space="preserve">JV-0010</t>
  </si>
  <si>
    <t xml:space="preserve">SH AGJENSI DOGANORE</t>
  </si>
  <si>
    <t xml:space="preserve">JV-0011</t>
  </si>
  <si>
    <t xml:space="preserve">SHP TRANSPORT</t>
  </si>
  <si>
    <t xml:space="preserve">JV-0038</t>
  </si>
  <si>
    <t xml:space="preserve">HEDHJE LENE E PARE NE PRODHIM</t>
  </si>
  <si>
    <t xml:space="preserve">331 - Prodhime në proces</t>
  </si>
  <si>
    <t xml:space="preserve">JV-0017</t>
  </si>
  <si>
    <t xml:space="preserve">PRODHUM PRODUKT I GATSHEM</t>
  </si>
  <si>
    <t xml:space="preserve">341 - Produkte të ndërmjetme</t>
  </si>
  <si>
    <t xml:space="preserve">JV-0032</t>
  </si>
  <si>
    <t xml:space="preserve">SHITJE E PRODUKTIT TE GATSHEM</t>
  </si>
  <si>
    <t xml:space="preserve">401 - Furnitorë për mallra, produkte e shërbime</t>
  </si>
  <si>
    <t xml:space="preserve">JV-0006</t>
  </si>
  <si>
    <t xml:space="preserve">LIKUJDIM FATURA NR 1</t>
  </si>
  <si>
    <t xml:space="preserve">JV-0012</t>
  </si>
  <si>
    <t xml:space="preserve">SHLYERJA E FURNITORIT</t>
  </si>
  <si>
    <t xml:space="preserve">JV-0039</t>
  </si>
  <si>
    <t xml:space="preserve">PAGUAR FURNITOR </t>
  </si>
  <si>
    <t xml:space="preserve">411 - Klientë për mallra, produkte e shërbime</t>
  </si>
  <si>
    <t xml:space="preserve">JV-0005</t>
  </si>
  <si>
    <t xml:space="preserve">SHERBIM TRANSPORTI</t>
  </si>
  <si>
    <t xml:space="preserve">FATURA 111</t>
  </si>
  <si>
    <t xml:space="preserve">JV-0007</t>
  </si>
  <si>
    <t xml:space="preserve">ARKETIM FATURA111</t>
  </si>
  <si>
    <t xml:space="preserve">JV-0040</t>
  </si>
  <si>
    <t xml:space="preserve">ARKETIM KLIENTI</t>
  </si>
  <si>
    <t xml:space="preserve">421 - Paga dhe shpërblime</t>
  </si>
  <si>
    <t xml:space="preserve">JV-0019</t>
  </si>
  <si>
    <t xml:space="preserve">PAGA BRUTO</t>
  </si>
  <si>
    <t xml:space="preserve">JV-0020</t>
  </si>
  <si>
    <t xml:space="preserve">SHPERBIME NE NATURE</t>
  </si>
  <si>
    <t xml:space="preserve">JV-0021</t>
  </si>
  <si>
    <t xml:space="preserve">DETYRIME PER SIG SHOQERORE</t>
  </si>
  <si>
    <t xml:space="preserve">431 - Sigurime shoqërore dhe shëndetësore</t>
  </si>
  <si>
    <t xml:space="preserve">438 - Detyrime të tjera</t>
  </si>
  <si>
    <t xml:space="preserve">449 - Tatimi në burim</t>
  </si>
  <si>
    <t xml:space="preserve">JV-0030</t>
  </si>
  <si>
    <t xml:space="preserve">SHPENZIME QERAJE</t>
  </si>
  <si>
    <t xml:space="preserve">512 - Vlera monetare në bankë</t>
  </si>
  <si>
    <t xml:space="preserve">JV-0023</t>
  </si>
  <si>
    <t xml:space="preserve">SHPENZIME GJOBA E PENALITETE</t>
  </si>
  <si>
    <t xml:space="preserve">JV-0024</t>
  </si>
  <si>
    <t xml:space="preserve">SHPENZIME INTERESA  BANKARE</t>
  </si>
  <si>
    <t xml:space="preserve">JV-0025</t>
  </si>
  <si>
    <t xml:space="preserve">SHPENZIME SPONSORIZIM</t>
  </si>
  <si>
    <t xml:space="preserve">JV-0026</t>
  </si>
  <si>
    <t xml:space="preserve">SHP REKLAME</t>
  </si>
  <si>
    <t xml:space="preserve">JV-0027</t>
  </si>
  <si>
    <t xml:space="preserve">SHP IN BANKARE</t>
  </si>
  <si>
    <t xml:space="preserve">JV-0028</t>
  </si>
  <si>
    <t xml:space="preserve">HUMBJE NGA KEMBIMET VALUTORE</t>
  </si>
  <si>
    <t xml:space="preserve">JV-0031</t>
  </si>
  <si>
    <t xml:space="preserve">SHPENZIME PRITJE PERCJELLJE</t>
  </si>
  <si>
    <t xml:space="preserve">JV-0033</t>
  </si>
  <si>
    <t xml:space="preserve">TE ARDHURA NGA INTERESAT</t>
  </si>
  <si>
    <t xml:space="preserve">JV-0042</t>
  </si>
  <si>
    <t xml:space="preserve">SHPENZIME GJOBA SIG SHOQ</t>
  </si>
  <si>
    <t xml:space="preserve">531 - Vlera monetare në arkë</t>
  </si>
  <si>
    <t xml:space="preserve">JV-0018</t>
  </si>
  <si>
    <t xml:space="preserve">SHPENZIME TRANSPORTI</t>
  </si>
  <si>
    <t xml:space="preserve">603 - Ndryshim gjendje inventari</t>
  </si>
  <si>
    <t xml:space="preserve">613 - Qira</t>
  </si>
  <si>
    <t xml:space="preserve">624 - Publicitet, reklamë</t>
  </si>
  <si>
    <t xml:space="preserve">625 - Transferime, udhëtime, dieta</t>
  </si>
  <si>
    <t xml:space="preserve">627 - Shpenzime transporti</t>
  </si>
  <si>
    <t xml:space="preserve">641 - Pagat dhe shpërblimet e personelit</t>
  </si>
  <si>
    <t xml:space="preserve">644 - Sigurimet shoqërore dhe shëndetësore</t>
  </si>
  <si>
    <t xml:space="preserve">654 - Shpenzime për pritje dhe përfaqësime</t>
  </si>
  <si>
    <t xml:space="preserve">657 - Gjoba dhe dëmshpërblime</t>
  </si>
  <si>
    <t xml:space="preserve">658 - Shpenzime të tjera</t>
  </si>
  <si>
    <t xml:space="preserve">667 - Shpenzime për interesa</t>
  </si>
  <si>
    <t xml:space="preserve">669 - Humbje nga këmbimet dhe përkthimet valutore</t>
  </si>
  <si>
    <t xml:space="preserve">681 - Amortizime të aktiveve afatgjata</t>
  </si>
  <si>
    <t xml:space="preserve">701 - Shitje e produkteve të gatshme</t>
  </si>
  <si>
    <t xml:space="preserve">704 - Shitje punime dhe shërbime</t>
  </si>
  <si>
    <t xml:space="preserve">767 - Të ardhura nga interesat</t>
  </si>
  <si>
    <t xml:space="preserve">768 - Të ardhura të tjera financiare</t>
  </si>
  <si>
    <t xml:space="preserve">4456 - Shteti - TVSH e zbritshme</t>
  </si>
  <si>
    <t xml:space="preserve">4457 - Shteti - TVSH e pagueshme</t>
  </si>
  <si>
    <t xml:space="preserve">Nr. veprimesh</t>
  </si>
  <si>
    <t xml:space="preserve">Lëvizje Neto</t>
  </si>
  <si>
    <t xml:space="preserve">Anë</t>
  </si>
  <si>
    <t xml:space="preserve">SortKey</t>
  </si>
  <si>
    <t xml:space="preserve">CodeKey</t>
  </si>
  <si>
    <t xml:space="preserve">DebitSeq</t>
  </si>
  <si>
    <t xml:space="preserve">CreditSeq</t>
  </si>
  <si>
    <t xml:space="preserve">DebitKey</t>
  </si>
  <si>
    <t xml:space="preserve">CreditKey</t>
  </si>
  <si>
    <t xml:space="preserve">MoveSeq</t>
  </si>
  <si>
    <t xml:space="preserve">MoveKey</t>
  </si>
  <si>
    <t xml:space="preserve">Lejohet</t>
  </si>
  <si>
    <t xml:space="preserve">D-FINITY | KARTELA E LLOGARISË ME SALDO PROGRESIVE</t>
  </si>
  <si>
    <t xml:space="preserve">Emri</t>
  </si>
  <si>
    <t xml:space="preserve">ID</t>
  </si>
  <si>
    <t xml:space="preserve">Index</t>
  </si>
  <si>
    <t xml:space="preserve">102 - Kapitali i nënshkruar i papaguar</t>
  </si>
  <si>
    <t xml:space="preserve">104 - Prime të lidhura me kapitalin</t>
  </si>
  <si>
    <t xml:space="preserve">105 - Rezerva nga rivlerësimi</t>
  </si>
  <si>
    <t xml:space="preserve">107 - Rezerva të tjera</t>
  </si>
  <si>
    <t xml:space="preserve">121 - Rezultati i ushtrimit — viti aktual</t>
  </si>
  <si>
    <t xml:space="preserve">201 - Emri i mirë</t>
  </si>
  <si>
    <t xml:space="preserve">203 - Shpenzime zhvillimi</t>
  </si>
  <si>
    <t xml:space="preserve">205 - Koncesione, patenta, licenca</t>
  </si>
  <si>
    <t xml:space="preserve">208 - Të tjera AAM jomateriale</t>
  </si>
  <si>
    <t xml:space="preserve">231 - AAM materiale në proces</t>
  </si>
  <si>
    <t xml:space="preserve">232 - AAM jomateriale në proces</t>
  </si>
  <si>
    <t xml:space="preserve">28 - Amortizimi i akumuluar i AAM</t>
  </si>
  <si>
    <t xml:space="preserve">281 - Amortizimi i AA materiale</t>
  </si>
  <si>
    <t xml:space="preserve">29 - Zhvlerësimi i aktiveve afatgjata</t>
  </si>
  <si>
    <t xml:space="preserve">290 - Zhvlerësim i AA jomateriale</t>
  </si>
  <si>
    <t xml:space="preserve">291 - Zhvlerësim i AA materiale</t>
  </si>
  <si>
    <t xml:space="preserve">312 - Materiale të tjera</t>
  </si>
  <si>
    <t xml:space="preserve">321 - Objekte inventari</t>
  </si>
  <si>
    <t xml:space="preserve">326 - Ambalazh i kthyeshëm</t>
  </si>
  <si>
    <t xml:space="preserve">332 - Punime në proces</t>
  </si>
  <si>
    <t xml:space="preserve">342 - Produkte të gatshme</t>
  </si>
  <si>
    <t xml:space="preserve">351 - Mallra për shitje</t>
  </si>
  <si>
    <t xml:space="preserve">371 - Materiale të para në rrugë</t>
  </si>
  <si>
    <t xml:space="preserve">372 - Materiale të tjera në rrugë</t>
  </si>
  <si>
    <t xml:space="preserve">374 - Produkte të gatshme në rrugë</t>
  </si>
  <si>
    <t xml:space="preserve">375 - Mallra në rrugë</t>
  </si>
  <si>
    <t xml:space="preserve">391 - Zhvlerësim i materialeve të para</t>
  </si>
  <si>
    <t xml:space="preserve">394 - Zhvlerësim i produkteve të gatshme</t>
  </si>
  <si>
    <t xml:space="preserve">395 - Zhvlerësim i mallrave për shitje</t>
  </si>
  <si>
    <t xml:space="preserve">403 - Premtim pagesa të pagueshme</t>
  </si>
  <si>
    <t xml:space="preserve">404 - Furnitorë për aktive afatgjata</t>
  </si>
  <si>
    <t xml:space="preserve">408 - Furnitorë për fatura të pambërritura</t>
  </si>
  <si>
    <t xml:space="preserve">409 - Parapagime të marra</t>
  </si>
  <si>
    <t xml:space="preserve">413 - Premtim pagesa të arkëtueshme</t>
  </si>
  <si>
    <t xml:space="preserve">414 - Klientë për aktive afatgjata</t>
  </si>
  <si>
    <t xml:space="preserve">418 - Parapagime të dhëna</t>
  </si>
  <si>
    <t xml:space="preserve">423 - Paradhënie për punonjësit</t>
  </si>
  <si>
    <t xml:space="preserve">437 - Organizma të tjera shoqërore</t>
  </si>
  <si>
    <t xml:space="preserve">441 - Akciza</t>
  </si>
  <si>
    <t xml:space="preserve">442 - Tatimi mbi të ardhurat personale</t>
  </si>
  <si>
    <t xml:space="preserve">443 - Tatime të tjera për punonjësit</t>
  </si>
  <si>
    <t xml:space="preserve">444 - Tatim mbi fitimin</t>
  </si>
  <si>
    <t xml:space="preserve">4458 - Shteti - TVSH për t’u rregulluar</t>
  </si>
  <si>
    <t xml:space="preserve">446 - Tatime të tjera ndaj shtetit</t>
  </si>
  <si>
    <t xml:space="preserve">4461 - Detyrime për taksë doganore/TVSH në doganë</t>
  </si>
  <si>
    <t xml:space="preserve">447 - Të tjera tatime për t’u paguar/për t’u kthyer</t>
  </si>
  <si>
    <t xml:space="preserve">4471 - Tatim qiraje në burim</t>
  </si>
  <si>
    <t xml:space="preserve">448 - Tatime të shtyra</t>
  </si>
  <si>
    <t xml:space="preserve">451 - Llogari rrjedhëse me pronarët</t>
  </si>
  <si>
    <t xml:space="preserve">455 - Të drejta/detyrime ndaj ortakëve</t>
  </si>
  <si>
    <t xml:space="preserve">456 - Të drejta ndaj pronarëve për kapitalin e nënshkruar</t>
  </si>
  <si>
    <t xml:space="preserve">457 - Dividentë për t’u paguar</t>
  </si>
  <si>
    <t xml:space="preserve">461 - Huamarrje afatshkurtra</t>
  </si>
  <si>
    <t xml:space="preserve">468 - Huamarrje afatgjata</t>
  </si>
  <si>
    <t xml:space="preserve">476 - Diferenca konvertimi aktive</t>
  </si>
  <si>
    <t xml:space="preserve">477 - Diferenca konvertimi pasive</t>
  </si>
  <si>
    <t xml:space="preserve">481 - Shpenzime të llogaritura</t>
  </si>
  <si>
    <t xml:space="preserve">486 - Shpenzime të periudhave të ardhme</t>
  </si>
  <si>
    <t xml:space="preserve">487 - Të ardhura të llogaritura</t>
  </si>
  <si>
    <t xml:space="preserve">488 - Të ardhura të periudhave të ardhme</t>
  </si>
  <si>
    <t xml:space="preserve">491 - Provizione për faturat e klientëve</t>
  </si>
  <si>
    <t xml:space="preserve">495 - Provizione për fatura për arkëtim</t>
  </si>
  <si>
    <t xml:space="preserve">496 - Provizione për debitorë të ndryshëm</t>
  </si>
  <si>
    <t xml:space="preserve">511 - Vlera monetare në tranzit</t>
  </si>
  <si>
    <t xml:space="preserve">5121 - Vlera monetare në bankë - lek</t>
  </si>
  <si>
    <t xml:space="preserve">5124 - Vlera monetare në bankë - valutë</t>
  </si>
  <si>
    <t xml:space="preserve">519 - Overdraft / llogari bankare të zbuluara</t>
  </si>
  <si>
    <t xml:space="preserve">5311 - Arka në lek</t>
  </si>
  <si>
    <t xml:space="preserve">5314 - Arka në monedha të huaja</t>
  </si>
  <si>
    <t xml:space="preserve">581 - Xhirime të brendshme</t>
  </si>
  <si>
    <t xml:space="preserve">601 - Blerje / shpenzime të materialeve</t>
  </si>
  <si>
    <t xml:space="preserve">602 - Blerje / shpenzime të materialeve të tjera</t>
  </si>
  <si>
    <t xml:space="preserve">604 - Blerje energji, avull, ujë</t>
  </si>
  <si>
    <t xml:space="preserve">605 - Blerje / shpenzime mallra, shërbimesh</t>
  </si>
  <si>
    <t xml:space="preserve">606 - Blerje ambalazhi</t>
  </si>
  <si>
    <t xml:space="preserve">607 - Blerje tek të tretë / kosto shitje</t>
  </si>
  <si>
    <t xml:space="preserve">608 - Blerje / shpenzime të tjera</t>
  </si>
  <si>
    <t xml:space="preserve">609 - Zbritje financiare nga furnitori</t>
  </si>
  <si>
    <t xml:space="preserve">611 - Trajtime të përgjithshme</t>
  </si>
  <si>
    <t xml:space="preserve">615 - Mirëmbajtje dhe riparime</t>
  </si>
  <si>
    <t xml:space="preserve">616 - Sigurime</t>
  </si>
  <si>
    <t xml:space="preserve">617 - Kërkime dhe studime</t>
  </si>
  <si>
    <t xml:space="preserve">618 - Të tjera shërbime nga të tretët</t>
  </si>
  <si>
    <t xml:space="preserve">621 - Personel jashtë ndërmarrjes</t>
  </si>
  <si>
    <t xml:space="preserve">622 - Komisione ndërmjetësimi dhe honorare</t>
  </si>
  <si>
    <t xml:space="preserve">623 - Shpenzime për koncesione, patenta, licenca</t>
  </si>
  <si>
    <t xml:space="preserve">626 - Shpenzime postare dhe telekomunikimi</t>
  </si>
  <si>
    <t xml:space="preserve">6271 - Transport për blerje</t>
  </si>
  <si>
    <t xml:space="preserve">6272 - Transport për shitje</t>
  </si>
  <si>
    <t xml:space="preserve">628 - Shpenzime për shërbimet bankare</t>
  </si>
  <si>
    <t xml:space="preserve">631 - Tatim mbi qarkullimin dhe akciza</t>
  </si>
  <si>
    <t xml:space="preserve">632 - Taksa, tarifa doganore</t>
  </si>
  <si>
    <t xml:space="preserve">633 - Akciza</t>
  </si>
  <si>
    <t xml:space="preserve">634 - Taksa dhe tarifa vendore</t>
  </si>
  <si>
    <t xml:space="preserve">638 - Tatime të tjera</t>
  </si>
  <si>
    <t xml:space="preserve">645 - Kontributet dhe kuota të tjera për personelin</t>
  </si>
  <si>
    <t xml:space="preserve">648 - Shpenzime të tjera për personelin</t>
  </si>
  <si>
    <t xml:space="preserve">652 - Vlera kontabël e AAGJ të shitura</t>
  </si>
  <si>
    <t xml:space="preserve">656 - Humbje nga mosarkëtimi i kërkesave/të drejtave</t>
  </si>
  <si>
    <t xml:space="preserve">661 - Shpenzime financiare nga shoqëritë e kontrolluara</t>
  </si>
  <si>
    <t xml:space="preserve">662 - Shpenzime financiare nga shoqëritë e lidhura</t>
  </si>
  <si>
    <t xml:space="preserve">668 - Shpenzime financiare të tjera</t>
  </si>
  <si>
    <t xml:space="preserve">672 - Vlera kontabël e aktiveve afatgjata të shitura</t>
  </si>
  <si>
    <t xml:space="preserve">677 - Humbje nga gabime të lejuara në ushtrimet</t>
  </si>
  <si>
    <t xml:space="preserve">6812 - Shpenzime amortizimi për ndërtesat</t>
  </si>
  <si>
    <t xml:space="preserve">6813 - Shpenzime amortizimi për instalime/makineri/pajisje</t>
  </si>
  <si>
    <t xml:space="preserve">6815 - Shpenzime amortizimi për mjete transporti</t>
  </si>
  <si>
    <t xml:space="preserve">686 - Provizione për zhvlerësimin e aktiveve financiare</t>
  </si>
  <si>
    <t xml:space="preserve">687 - Shpenzime të tjera nga rivlerësimi</t>
  </si>
  <si>
    <t xml:space="preserve">694 - Tatime mbi fitimet</t>
  </si>
  <si>
    <t xml:space="preserve">702 - Shitje e produkteve të ndërmjetme</t>
  </si>
  <si>
    <t xml:space="preserve">703 - Shitje e nënprodukteve</t>
  </si>
  <si>
    <t xml:space="preserve">705 - Shitje mallrash</t>
  </si>
  <si>
    <t xml:space="preserve">706 - Të ardhura nga komisionet bankare</t>
  </si>
  <si>
    <t xml:space="preserve">707 - Shitje materiale dhe furnitura</t>
  </si>
  <si>
    <t xml:space="preserve">708 - Të ardhura nga shitje të tjera</t>
  </si>
  <si>
    <t xml:space="preserve">713 - Ndryshim gjendje prodhim në proces</t>
  </si>
  <si>
    <t xml:space="preserve">714 - Ndryshim gjendje produkti</t>
  </si>
  <si>
    <t xml:space="preserve">721 - Prodhimi i AA jomateriale</t>
  </si>
  <si>
    <t xml:space="preserve">722 - Prodhimi i AA materiale</t>
  </si>
  <si>
    <t xml:space="preserve">731 - Të ardhura nga grantet</t>
  </si>
  <si>
    <t xml:space="preserve">752 - Të ardhura nga shitja e AAGJ</t>
  </si>
  <si>
    <t xml:space="preserve">754 - Dhurata e ndihma të marra</t>
  </si>
  <si>
    <t xml:space="preserve">757 - Penalitete dhe gjoba të arkëtuara</t>
  </si>
  <si>
    <t xml:space="preserve">758 - Të ndryshme</t>
  </si>
  <si>
    <t xml:space="preserve">761 - Të ardhura financiare nga shoqëritë e kontrolluara</t>
  </si>
  <si>
    <t xml:space="preserve">762 - Të ardhura financiare nga shoqëritë e lidhura</t>
  </si>
  <si>
    <t xml:space="preserve">763 - Të ardhura nga dividentët</t>
  </si>
  <si>
    <t xml:space="preserve">764 - Fitime nga rivlerësimi i letrave me vlerë</t>
  </si>
  <si>
    <t xml:space="preserve">765 - Fitime nga shitja e letrave me vlerë</t>
  </si>
  <si>
    <t xml:space="preserve">769 - Fitim nga këmbimet valutore</t>
  </si>
  <si>
    <t xml:space="preserve">771 - Të ardhura nga shitja e AAGJ</t>
  </si>
  <si>
    <t xml:space="preserve">772 - Dëmshpërblime të tjera</t>
  </si>
  <si>
    <t xml:space="preserve">781 - Rimarrje lidhur me veprimtarinë e shfrytëzimit</t>
  </si>
  <si>
    <t xml:space="preserve">786 - Rimarrje provizionesh për aktivet financiare</t>
  </si>
  <si>
    <t xml:space="preserve">891 - Transferim i shpenzimeve në rezultat</t>
  </si>
  <si>
    <t xml:space="preserve">892 - Transferim i të ardhurave në rezultat</t>
  </si>
  <si>
    <t xml:space="preserve">901 - Qendra kostoje - Administratë</t>
  </si>
  <si>
    <t xml:space="preserve">902 - Qendra kostoje - Prodhim/Shërbim</t>
  </si>
  <si>
    <t xml:space="preserve">911 - Projekt/kontratë 1</t>
  </si>
  <si>
    <t xml:space="preserve">HAPËSIRË PËR LLOGARI TË REJA - Shto llogari të reja poshtë duke plotësuar kodin, emrin, klasën, tipin, balancën normale, Lejohet në Ditar = TRUE dhe Map Bilanc/PASH.</t>
  </si>
  <si>
    <t xml:space="preserve">Rreshti Bilanc</t>
  </si>
  <si>
    <t xml:space="preserve">Llogaritë / Pattern</t>
  </si>
  <si>
    <t xml:space="preserve">511*,512*,531*</t>
  </si>
  <si>
    <t xml:space="preserve">Arka, banka, mjete në tranzit</t>
  </si>
  <si>
    <t xml:space="preserve">411*,413*,414*</t>
  </si>
  <si>
    <t xml:space="preserve">Klientë dhe të drejta tregtare</t>
  </si>
  <si>
    <t xml:space="preserve">418*,423*,4456*,456*,476*,486*,487*</t>
  </si>
  <si>
    <t xml:space="preserve">Parapagime, TVSH e zbritshme, debitorë të tjerë</t>
  </si>
  <si>
    <t xml:space="preserve">Inventarë</t>
  </si>
  <si>
    <t xml:space="preserve">31*,32*,33*,34*,35*</t>
  </si>
  <si>
    <t xml:space="preserve">Inventarë sipas SKK 15</t>
  </si>
  <si>
    <t xml:space="preserve">AA financiare</t>
  </si>
  <si>
    <t xml:space="preserve">25*,26*,27*</t>
  </si>
  <si>
    <t xml:space="preserve">Depozita, huadhënie afatgjata, instrumente financiare</t>
  </si>
  <si>
    <t xml:space="preserve">AA jomateriale bruto</t>
  </si>
  <si>
    <t xml:space="preserve">201*,203*,205*,208*</t>
  </si>
  <si>
    <t xml:space="preserve">Kosto historike</t>
  </si>
  <si>
    <t xml:space="preserve">Amortizim/Zhvlerësim AAJM</t>
  </si>
  <si>
    <t xml:space="preserve">280*,290*</t>
  </si>
  <si>
    <t xml:space="preserve">Zbritet nga AAJM</t>
  </si>
  <si>
    <t xml:space="preserve">211*,212*</t>
  </si>
  <si>
    <t xml:space="preserve">AAM</t>
  </si>
  <si>
    <t xml:space="preserve">213*</t>
  </si>
  <si>
    <t xml:space="preserve">215*,218*</t>
  </si>
  <si>
    <t xml:space="preserve">Mjete transporti, pajisje zyre/informatike</t>
  </si>
  <si>
    <t xml:space="preserve">AAM në proces</t>
  </si>
  <si>
    <t xml:space="preserve">231*,232*</t>
  </si>
  <si>
    <t xml:space="preserve">Aktive në proces</t>
  </si>
  <si>
    <t xml:space="preserve">Amortizim/Zhvlerësim AAM</t>
  </si>
  <si>
    <t xml:space="preserve">281*,291*</t>
  </si>
  <si>
    <t xml:space="preserve">Zbritet nga AAM</t>
  </si>
  <si>
    <t xml:space="preserve">Tituj huamarrje afatshkurtra</t>
  </si>
  <si>
    <t xml:space="preserve">461*,519*</t>
  </si>
  <si>
    <t xml:space="preserve">Hua/overdraft afatshkurtër</t>
  </si>
  <si>
    <t xml:space="preserve">401*,403*,404*,408*</t>
  </si>
  <si>
    <t xml:space="preserve">Furnitorë</t>
  </si>
  <si>
    <t xml:space="preserve">421*,431*,437*,438*</t>
  </si>
  <si>
    <t xml:space="preserve">Paga dhe sigurime</t>
  </si>
  <si>
    <t xml:space="preserve">441*,442*,443*,444*,4457*,4458*,446*,447*,448*,449*</t>
  </si>
  <si>
    <t xml:space="preserve">Parapagime të arkëtuara</t>
  </si>
  <si>
    <t xml:space="preserve">409*,488*</t>
  </si>
  <si>
    <t xml:space="preserve">Parapagime/të ardhura të ardhshme</t>
  </si>
  <si>
    <t xml:space="preserve">Të tjera afatshkurtra</t>
  </si>
  <si>
    <t xml:space="preserve">455*,457*,477*,481*</t>
  </si>
  <si>
    <t xml:space="preserve">Kreditorë dhe llogari të tjera</t>
  </si>
  <si>
    <t xml:space="preserve">Detyrime afatgjata</t>
  </si>
  <si>
    <t xml:space="preserve">Tituj huamarrje afatgjata</t>
  </si>
  <si>
    <t xml:space="preserve">468*</t>
  </si>
  <si>
    <t xml:space="preserve">Hua afatgjata</t>
  </si>
  <si>
    <t xml:space="preserve">Të tjera afatgjata</t>
  </si>
  <si>
    <t xml:space="preserve">47*</t>
  </si>
  <si>
    <t xml:space="preserve">Kreditorë të tjerë afatgjatë</t>
  </si>
  <si>
    <t xml:space="preserve">Kapitali dhe fitimi/humbja e pashpërndarë</t>
  </si>
  <si>
    <t xml:space="preserve">101*,102*,104*,105*,106*,107*,108*</t>
  </si>
  <si>
    <t xml:space="preserve">Kapitali, rezervat dhe rezultati i akumuluar; pa 121</t>
  </si>
  <si>
    <t xml:space="preserve">Fitimi/Humbja e vitit financiar</t>
  </si>
  <si>
    <t xml:space="preserve">121*</t>
  </si>
  <si>
    <t xml:space="preserve">Merret nga BILANCI_PROVE pas postimit të mbylljes vjetore</t>
  </si>
  <si>
    <t xml:space="preserve">Aktive/Detyrime afatshkurtra</t>
  </si>
  <si>
    <t xml:space="preserve">Llogaria rrjedhëse me pronarët</t>
  </si>
  <si>
    <t xml:space="preserve">451*</t>
  </si>
  <si>
    <t xml:space="preserve">Paraqitet te të drejtat/detyrimet</t>
  </si>
  <si>
    <t xml:space="preserve">Nuk zbritet përsëri nga kapitali; shmang numërimin e dyfishtë</t>
  </si>
  <si>
    <t xml:space="preserve">D-FINITY | SISTEMI I DIZAJNIT (v1)</t>
  </si>
  <si>
    <t xml:space="preserve">NGJYRAT</t>
  </si>
  <si>
    <t xml:space="preserve">Primare (Navy)</t>
  </si>
  <si>
    <t xml:space="preserve">#1D2342</t>
  </si>
  <si>
    <t xml:space="preserve">Aksent (Ar)</t>
  </si>
  <si>
    <t xml:space="preserve">#D4A94A</t>
  </si>
  <si>
    <t xml:space="preserve">Sfond</t>
  </si>
  <si>
    <t xml:space="preserve">#FCFCFC</t>
  </si>
  <si>
    <t xml:space="preserve">E bardhë (tekst mbi navy)</t>
  </si>
  <si>
    <t xml:space="preserve">#FFFFFF</t>
  </si>
  <si>
    <t xml:space="preserve">Sukses (jeshile)</t>
  </si>
  <si>
    <t xml:space="preserve">#2E7D5B</t>
  </si>
  <si>
    <t xml:space="preserve">Gabim (kuqe)</t>
  </si>
  <si>
    <t xml:space="preserve">#B3413E</t>
  </si>
  <si>
    <t xml:space="preserve">Tekst dytësor (gri)</t>
  </si>
  <si>
    <t xml:space="preserve">#5B6472</t>
  </si>
  <si>
    <t xml:space="preserve">TIPOGRAFIA</t>
  </si>
  <si>
    <t xml:space="preserve">Fonti i vetëm</t>
  </si>
  <si>
    <t xml:space="preserve">Calibri (Regular + Bold)</t>
  </si>
  <si>
    <t xml:space="preserve">Titull faqeje</t>
  </si>
  <si>
    <t xml:space="preserve">20pt Bold, e bardhë mbi Navy</t>
  </si>
  <si>
    <t xml:space="preserve">Titull seksioni</t>
  </si>
  <si>
    <t xml:space="preserve">11-12pt Bold, e bardhë mbi Teal (#0F766E)</t>
  </si>
  <si>
    <t xml:space="preserve">Kryerresht tabele</t>
  </si>
  <si>
    <t xml:space="preserve">10.5pt Bold, Navy mbi blu të lehtë</t>
  </si>
  <si>
    <t xml:space="preserve">Tekst standard</t>
  </si>
  <si>
    <t xml:space="preserve">10-11pt Regular, Navy</t>
  </si>
  <si>
    <t xml:space="preserve">Tekst ndihmës</t>
  </si>
  <si>
    <t xml:space="preserve">9-10pt Italic, gri</t>
  </si>
  <si>
    <t xml:space="preserve">RREGULLA</t>
  </si>
  <si>
    <t xml:space="preserve">Rregulli #1</t>
  </si>
  <si>
    <t xml:space="preserve">Nëse një kontabilist s'e kupton brenda 5 sekondash, thjeshtoje.</t>
  </si>
  <si>
    <t xml:space="preserve">Rregulli #2</t>
  </si>
  <si>
    <t xml:space="preserve">Një logo, e vogël, jo e përsëritur në çdo qelizë.</t>
  </si>
  <si>
    <t xml:space="preserve">Rregulli #3</t>
  </si>
  <si>
    <t xml:space="preserve">Motori i kontabilitetit nuk preket kurrë.</t>
  </si>
  <si>
    <t xml:space="preserve">Rregulli #4</t>
  </si>
  <si>
    <t xml:space="preserve">Vetëm gjuha shqipe në çdo element të dukshëm për klientin.</t>
  </si>
  <si>
    <t xml:space="preserve">VERSIONI I DOKUMENTIT</t>
  </si>
  <si>
    <t xml:space="preserve">Përditësuar: 03/07/2026 — Faza 1</t>
  </si>
  <si>
    <t xml:space="preserve">RECOMMENDATIONS — Shënime nga Rishikimi i Produktit</t>
  </si>
  <si>
    <t xml:space="preserve">Këto janë vëzhgime — asnjë prej tyre nuk është zbatuar në motorin e kontabilitetit. Kërkojnë vendimin tuaj.</t>
  </si>
  <si>
    <t xml:space="preserve">Zona</t>
  </si>
  <si>
    <t xml:space="preserve">Vëzhgimi / Rekomandimi</t>
  </si>
  <si>
    <t xml:space="preserve">Prioritet</t>
  </si>
  <si>
    <t xml:space="preserve">DASHBOARD — TVSH</t>
  </si>
  <si>
    <t xml:space="preserve">Qeliza origjinale B11 përmban tekstin "Shiko KODE_TVSH", por asnjë sheet me emrin KODE_TVSH nuk ekziston në workbook. Rekomandoj ose të krijohet ai sheet, ose të përditësohet teksti për të treguar tek BILANCI_PROVE (llogaritë 4456/4457) si burim aktual i TVSH-së. Nuk e kam ndryshuar vetë, pasi prek referencat.</t>
  </si>
  <si>
    <t xml:space="preserve">MESATARE</t>
  </si>
  <si>
    <t xml:space="preserve">AUDIT_BILANC</t>
  </si>
  <si>
    <t xml:space="preserve">(Rregulluar) Diferenca e testimit prej 800 është hequr; AUDIT_BILANC tani lexon direkt nga të dhënat reale të workbook-ut.</t>
  </si>
  <si>
    <t xml:space="preserve">E LARTË</t>
  </si>
  <si>
    <t xml:space="preserve">Rikalkulimi i formulave</t>
  </si>
  <si>
    <t xml:space="preserve">Disa qeliza formule nuk kishin vlerë të ruajtur ("cached") kur u analizua workbook-u fillimisht — kjo mund të shfaqet si bosh derisa Excel të rikalkulojë. Rekomandoj çelje + rikalkulim + ruajtje (Ctrl+Alt+F9 pastaj Save) përpara çdo shpërndarjeje.</t>
  </si>
  <si>
    <t xml:space="preserve">Emrat e sheet-eve teknike</t>
  </si>
  <si>
    <t xml:space="preserve">Sheet-et LIBRI_I_MADH_STATIC, LEDGER_ENGINE, _AUTO_LLOGARI etj. janë të fshehura tashmë (mirë). Për shpërndarje komerciale afatgjatë, rekomandoj kalimin në "very hidden" (vetëm i hapshëm nga zhvilluesi), jo thjesht "hidden", pasi hidden i thjeshtë hiqet me një klikim të djathtë nga çdo përdorues.</t>
  </si>
  <si>
    <t xml:space="preserve">Të dhënat demo</t>
  </si>
  <si>
    <t xml:space="preserve">Të dhënat aktuale në DITARI janë të dhëna shembulli realiste. Rekomandoj një version "bosh" për klientët e rinj dhe një version "demo" të etiketuar qartë për prezantime shitjeje.</t>
  </si>
  <si>
    <t xml:space="preserve">E ULËT</t>
  </si>
  <si>
    <t xml:space="preserve">Fjalëkalimi i mbrojtjes</t>
  </si>
  <si>
    <t xml:space="preserve">Të gjitha sheet-et dhe struktura e workbook-ut janë mbrojtur me të njëjtin fjalëkalim. NUK është ruajtur brenda skedarit nga arsye sigurie — e keni marrë drejtpërdrejt nga Claude në bisedë. Rekomandoj ta ndryshoni përpara shpërndarjes komerciale (Review → Protect Sheet/Workbook).</t>
  </si>
  <si>
    <t xml:space="preserve">VBA opsionale</t>
  </si>
  <si>
    <t xml:space="preserve">Kam përgatitur një modul VBA (modDFinityUX.bas) vetëm për eksperiencë përdorimi (hapje te Dashboard, rifreskim, eksport PDF, shfaqje/fshehje sheet-esh teknike). Nuk e kam ngjitur automatikisht te workbook-u pasi kërkon Excel desktop për ta importuar dhe ruajtur si .xlsm — një skedar binar i krijuar verbërisht pa Excel do të ishte rrezik për dëmtim të skedarit.</t>
  </si>
  <si>
    <t xml:space="preserve">Versioni</t>
  </si>
  <si>
    <t xml:space="preserve">D-Finity Accounting Pro — Version 1.0</t>
  </si>
  <si>
    <t xml:space="preserve">Pasqyrat financiare</t>
  </si>
  <si>
    <t xml:space="preserve">Në këtë version: sipas SKK 15 për mikronjësitë</t>
  </si>
  <si>
    <t xml:space="preserve">Zhvilluesi</t>
  </si>
  <si>
    <t xml:space="preserve">D-Finity</t>
  </si>
  <si>
    <t xml:space="preserve">Data e këtij botimi</t>
  </si>
  <si>
    <t xml:space="preserve">04/07/2026</t>
  </si>
  <si>
    <t xml:space="preserve">Product ID</t>
  </si>
  <si>
    <t xml:space="preserve">DFAP-A5DE9617</t>
  </si>
  <si>
    <t xml:space="preserve">Build</t>
  </si>
  <si>
    <t xml:space="preserve">v1.0-20260704</t>
  </si>
  <si>
    <t xml:space="preserve">Të drejtat e autorit</t>
  </si>
  <si>
    <t xml:space="preserve">© D-Finity. Të gjitha të drejtat e rezervuara. Ky workbook dhe motori i tij llogaritës janë pronë intelektuale e D-Finity.</t>
  </si>
  <si>
    <t xml:space="preserve">Licenca</t>
  </si>
  <si>
    <t xml:space="preserve">Përdorimi i këtij workbook-u rregullohet nga kushtet e licencimit të D-Finity, të komunikuara në momentin e blerjes.</t>
  </si>
  <si>
    <t xml:space="preserve">Mbështetja</t>
  </si>
  <si>
    <t xml:space="preserve">info.dfinity@gmail.com  ·  Instagram: @dfinity.accounting</t>
  </si>
  <si>
    <t xml:space="preserve">Vizioni</t>
  </si>
  <si>
    <t xml:space="preserve">D-Finity Accounting Pro V1 është themeli i një platforme ERP të plotë. Versionet e ardhshme do të shtojnë module si Shitjet, Blerjet, Banka, Arka, Inventari dhe Aktivet Afatgjata, duke ruajtur të njëjtin sistem dizajni dhe eksperiencë përdorimi.</t>
  </si>
  <si>
    <t xml:space="preserve">  ARKITEKTURA E VIZIONIT — MODULET E BIZNESIT (V2+)</t>
  </si>
  <si>
    <t xml:space="preserve">Ky sheet dokumenton vizionin — nuk implementon module tani. Motori aktual (DITARI → LIBRI_I_MADH → BILANCI_PROVE → PASH → BILANCI) mbetet zemra e sistemit, e paprekur.</t>
  </si>
  <si>
    <t xml:space="preserve">  PARIMI ARKITEKTONIK</t>
  </si>
  <si>
    <t xml:space="preserve">Përdoruesi i zakonshëm nuk shkruan kurrë direkt te DITARI. Ai punon te moduli i biznesit (Shitje, Blerje, Bankë...).</t>
  </si>
  <si>
    <t xml:space="preserve">Kontabilisti me eksperiencë mund të vazhdojë direkt te DITARI, si sot.</t>
  </si>
  <si>
    <t xml:space="preserve">Çdo modul biznesi prodhon rreshta gati për postim, saktësisht si POSTIM_NE_DITAR sot. Kjo strukturë tashmë ekziston dhe është pika e duhur e integrimit.</t>
  </si>
  <si>
    <t xml:space="preserve">Nuk kërkon rindërtim të motorit ekzistues.</t>
  </si>
  <si>
    <t xml:space="preserve">Postimi kalon gjithmonë: Modul Biznesi → POSTIM_NE_DITAR → DITARI → LIBRI_I_MADH → BILANCI_PROVE → PASH → BILANCI → MBYLLJA.</t>
  </si>
  <si>
    <t xml:space="preserve">  MODULET E PLANIFIKUARA (JO TANI)</t>
  </si>
  <si>
    <t xml:space="preserve">Ditari i Shitjeve</t>
  </si>
  <si>
    <t xml:space="preserve">Datë, Klient, Nr. Faturë, Vlerë, TVSH, Mënyra e pagesës → sugjeron Dt Klient/Arkë/Bankë, Kt 701–706, Kt 4427 (TVSH).</t>
  </si>
  <si>
    <t xml:space="preserve">Modul i ardhshëm</t>
  </si>
  <si>
    <t xml:space="preserve">Ditari i Blerjeve</t>
  </si>
  <si>
    <t xml:space="preserve">Datë, Furnitor, Nr. Faturë, Vlerë, TVSH → sugjeron Dt 6XX/2XX, Dt 4426 (TVSH), Kt Furnitor.</t>
  </si>
  <si>
    <t xml:space="preserve">Banka</t>
  </si>
  <si>
    <t xml:space="preserve">Importon/regjistron lëvizjet bankare → rakordim me Librin e Madh (llogaria 512).</t>
  </si>
  <si>
    <t xml:space="preserve">Arka</t>
  </si>
  <si>
    <t xml:space="preserve">Arkëtime/pagesa cash → rakordim me llogarinë 531.</t>
  </si>
  <si>
    <t xml:space="preserve">Inventari</t>
  </si>
  <si>
    <t xml:space="preserve">Hyrje/dalje stoku → lidhet me KMSH (603) dhe llogaritë e mallrave.</t>
  </si>
  <si>
    <t xml:space="preserve">Aktivet Afatgjata</t>
  </si>
  <si>
    <t xml:space="preserve">Regjistër aktivesh → gjeneron automatikisht veprimin e amortizimit vjetor (lidhet me VEPRIMET_RREGULLUESE).</t>
  </si>
  <si>
    <t xml:space="preserve">  FILOZOFIA</t>
  </si>
  <si>
    <t xml:space="preserve">Parimi qendror</t>
  </si>
  <si>
    <t xml:space="preserve">Software-i mendon si kontabilist. Përdoruesi mendon vetëm për transaksionin e biznesit. Sa më pak njohuri kontabël të kërkohet, aq më i vlefshëm bëhet produkti.</t>
  </si>
  <si>
    <t xml:space="preserve">Vizioni afatgjatë</t>
  </si>
  <si>
    <t xml:space="preserve">D-Finity fillon si motor kontabël në Excel dhe evoluon gradualisht drejt një mini-ERP (dhe më vonë Web), pa ndryshuar kurrë filozofinë ose motorin bazë.</t>
  </si>
  <si>
    <t xml:space="preserve">TË DHËNA KRAHASUESE – VITI PARAARDHËS</t>
  </si>
  <si>
    <t xml:space="preserve">Plotësoni vetëm kolonën e verdhë një herë. Vlerat shfaqen automatikisht në PASH dhe Bilanc.</t>
  </si>
  <si>
    <t xml:space="preserve">PASH – zëri</t>
  </si>
  <si>
    <t xml:space="preserve">Vlera e vitit paraardhës</t>
  </si>
  <si>
    <t xml:space="preserve">Shpenzimet e sigurimeve shoqërore dhe shëndetësore</t>
  </si>
  <si>
    <t xml:space="preserve">Të ardhurat dhe shpenzimet nga interesi</t>
  </si>
  <si>
    <t xml:space="preserve">Fitimet (humbjet) nga kursi i këmbimit</t>
  </si>
  <si>
    <t xml:space="preserve">BILANCI – zëri</t>
  </si>
  <si>
    <t xml:space="preserve">Instrumente të tjera financiare</t>
  </si>
  <si>
    <t xml:space="preserve">Totali i të drejtave të arkëtueshme dhe investimeve</t>
  </si>
  <si>
    <t xml:space="preserve">Lëndë të para dhe materiale të konsumueshme</t>
  </si>
  <si>
    <t xml:space="preserve">Prodhim në proces dhe gjysëm produkte</t>
  </si>
  <si>
    <t xml:space="preserve">Parapagesa për inventarë</t>
  </si>
  <si>
    <t xml:space="preserve">Totali i inventarëve</t>
  </si>
  <si>
    <t xml:space="preserve">Amortizim/Zhvlerësim i akumuluar (-)</t>
  </si>
  <si>
    <t xml:space="preserve">Totali i AAM me kosto të amortizuar</t>
  </si>
  <si>
    <t xml:space="preserve">Patenta, licenca, të drejta të tjera të ngjashme</t>
  </si>
  <si>
    <t xml:space="preserve">Amortizim/Zhvlerësim i akumuluar AAJM (-)</t>
  </si>
  <si>
    <t xml:space="preserve">Totali i AAJM me kosto të amortizuar</t>
  </si>
  <si>
    <t xml:space="preserve">Parapagimet e arkëtuara</t>
  </si>
  <si>
    <t xml:space="preserve">1. Kapitali i pronarit</t>
  </si>
  <si>
    <t xml:space="preserve">3. Tërheqjet e pronarit / dividendë (-)</t>
  </si>
  <si>
    <t xml:space="preserve">D-FINITY | KONTROLLI FINAL I MBYLLJES</t>
  </si>
  <si>
    <t xml:space="preserve">PASS do të thotë: Ditari dhe Bilanci rakordohen, mbyllja nuk është e pjesshme dhe rezultati 121 përputhet me PASH.</t>
  </si>
  <si>
    <t xml:space="preserve">Rezultati</t>
  </si>
  <si>
    <t xml:space="preserve">Ku korrigjohet</t>
  </si>
  <si>
    <t xml:space="preserve">Ditari Debi = Kredi</t>
  </si>
  <si>
    <t xml:space="preserve">BILANCI_PROVE</t>
  </si>
  <si>
    <t xml:space="preserve">Bilanci SKK 15</t>
  </si>
  <si>
    <t xml:space="preserve">BILANCI_MIKRO_FINAL</t>
  </si>
  <si>
    <t xml:space="preserve">Veprimet rregulluese</t>
  </si>
  <si>
    <t xml:space="preserve">Moduli i veprimeve rregulluese</t>
  </si>
  <si>
    <t xml:space="preserve">Gjendja e mbylljes</t>
  </si>
  <si>
    <t xml:space="preserve">MBYLLJA_6_7_AUTO — zgjidh PO</t>
  </si>
  <si>
    <t xml:space="preserve">Klasa 7</t>
  </si>
  <si>
    <t xml:space="preserve">DITARI — ID MB-CL7</t>
  </si>
  <si>
    <t xml:space="preserve">Klasa 6</t>
  </si>
  <si>
    <t xml:space="preserve">DITARI — ID MB-CL6</t>
  </si>
  <si>
    <t xml:space="preserve">PASH kundrejt motorit</t>
  </si>
  <si>
    <t xml:space="preserve">PASH_MIKRO_FINAL</t>
  </si>
  <si>
    <t xml:space="preserve">121 kundrejt PASH / transferimit</t>
  </si>
  <si>
    <t xml:space="preserve">Llogaria 121 / PASH</t>
  </si>
  <si>
    <t xml:space="preserve">Mbyllje e pjesshme</t>
  </si>
  <si>
    <t xml:space="preserve">Hiq postimin e pjesshëm dhe riposto të dy klasat</t>
  </si>
  <si>
    <t xml:space="preserve">Roli i llogarive 108 dhe 451</t>
  </si>
  <si>
    <t xml:space="preserve">PLANI_LLOGARIVE dhe regjistrimet e pronarit te 451</t>
  </si>
  <si>
    <t xml:space="preserve">STATUSI FINAL</t>
  </si>
  <si>
    <t xml:space="preserve">102 = kundër-kapital me natyrë debitore. 121 = rezultati i vitit aktual. 108 = Fitim/Humbje e pashpërndarë. 451 = llogaria rrjedhëse me pronarët. 109 = jo-aktiv.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</si>
</sst>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_(* #,##0.00_);_(* \(#,##0.00\);_(* \-??_);_(@_)"/>
    <numFmt numFmtId="166" formatCode="_(* #,##0_);_(* \(#,##0\);_(* \-_);_(@_)"/>
    <numFmt numFmtId="167" formatCode="_(\$* #,##0.00_);_(\$* \(#,##0.00\);_(\$* \-??_);_(@_)"/>
    <numFmt numFmtId="168" formatCode="_(\$* #,##0_);_(\$* \(#,##0\);_(\$* \-_);_(@_)"/>
    <numFmt numFmtId="169" formatCode="0%"/>
    <numFmt numFmtId="170" formatCode="0"/>
    <numFmt numFmtId="171" formatCode="General"/>
    <numFmt numFmtId="172" formatCode="#,##0.00"/>
    <numFmt numFmtId="173" formatCode="dd/mm/yyyy"/>
    <numFmt numFmtId="174" formatCode="#,##0.00;[RED]\(#,##0.00\);\-"/>
    <numFmt numFmtId="175" formatCode="#,##0_);[RED]\(#,##0\)"/>
    <numFmt numFmtId="176" formatCode="#,##0;[RED]\(#,##0\);\-"/>
    <numFmt numFmtId="177" formatCode="0.00"/>
    <numFmt numFmtId="178" formatCode="#,##0.00;\(#,##0.00\);\-"/>
    <numFmt numFmtId="179" formatCode="#,##0"/>
    <numFmt numFmtId="180" formatCode="#,##0;\(#,##0\);\-"/>
    <numFmt numFmtId="181" formatCode="@"/>
    <numFmt numFmtId="182" formatCode="0.0%"/>
    <numFmt numFmtId="183" formatCode="[=0]&quot;✓  OK&quot;;[RED]&quot;!  GABIM &quot;0"/>
    <numFmt numFmtId="184" formatCode="yyyy\-mm\-dd\ h:mm:ss"/>
  </numFmts>
  <fonts count="1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rgb="FF1D2342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i val="true"/>
      <sz val="18"/>
      <color rgb="FFFFFFFF"/>
      <name val="Calibri"/>
      <family val="0"/>
      <charset val="1"/>
    </font>
    <font>
      <b val="true"/>
      <sz val="10"/>
      <color rgb="FF6B7280"/>
      <name val="Calibri"/>
      <family val="0"/>
      <charset val="1"/>
    </font>
    <font>
      <b val="true"/>
      <sz val="9"/>
      <color rgb="FF6B7280"/>
      <name val="Calibri"/>
      <family val="0"/>
      <charset val="1"/>
    </font>
    <font>
      <b val="true"/>
      <sz val="11"/>
      <color rgb="FF1D2342"/>
      <name val="Calibri"/>
      <family val="0"/>
      <charset val="1"/>
    </font>
    <font>
      <b val="true"/>
      <sz val="12"/>
      <color rgb="FF1D2342"/>
      <name val="Calibri"/>
      <family val="0"/>
      <charset val="1"/>
    </font>
    <font>
      <sz val="9"/>
      <color rgb="FF6B7280"/>
      <name val="Calibri"/>
      <family val="0"/>
      <charset val="1"/>
    </font>
    <font>
      <b val="true"/>
      <sz val="9"/>
      <color rgb="FF0F766E"/>
      <name val="Calibri"/>
      <family val="0"/>
      <charset val="1"/>
    </font>
    <font>
      <b val="true"/>
      <sz val="9"/>
      <color rgb="FF2F6FED"/>
      <name val="Calibri"/>
      <family val="0"/>
      <charset val="1"/>
    </font>
    <font>
      <b val="true"/>
      <sz val="9"/>
      <color rgb="FF7C5CBF"/>
      <name val="Calibri"/>
      <family val="0"/>
      <charset val="1"/>
    </font>
    <font>
      <b val="true"/>
      <sz val="9"/>
      <color rgb="FF1D2342"/>
      <name val="Calibri"/>
      <family val="0"/>
      <charset val="1"/>
    </font>
    <font>
      <b val="true"/>
      <sz val="14"/>
      <color rgb="FF1D2342"/>
      <name val="Calibri"/>
      <family val="0"/>
      <charset val="1"/>
    </font>
    <font>
      <sz val="11"/>
      <color rgb="FF2A2F3A"/>
      <name val="Calibri"/>
      <family val="0"/>
      <charset val="1"/>
    </font>
    <font>
      <sz val="10.5"/>
      <color rgb="FF2A2F3A"/>
      <name val="Calibri"/>
      <family val="0"/>
      <charset val="1"/>
    </font>
    <font>
      <i val="true"/>
      <sz val="9.5"/>
      <color rgb="FF6B7280"/>
      <name val="Calibri"/>
      <family val="0"/>
      <charset val="1"/>
    </font>
    <font>
      <sz val="9"/>
      <color rgb="FF1D2342"/>
      <name val="Calibri"/>
      <family val="0"/>
      <charset val="1"/>
    </font>
    <font>
      <i val="true"/>
      <sz val="8"/>
      <color rgb="FF6B7280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1"/>
      <color rgb="FF1F2937"/>
      <name val="Cambria"/>
      <family val="0"/>
      <charset val="1"/>
    </font>
    <font>
      <b val="true"/>
      <sz val="12"/>
      <color rgb="FFFFFFFF"/>
      <name val="Cambria"/>
      <family val="0"/>
      <charset val="1"/>
    </font>
    <font>
      <b val="true"/>
      <sz val="11"/>
      <color rgb="FF1F2937"/>
      <name val="Cambria"/>
      <family val="0"/>
      <charset val="1"/>
    </font>
    <font>
      <sz val="10"/>
      <color rgb="FF000000"/>
      <name val="Cambria"/>
      <family val="0"/>
      <charset val="1"/>
    </font>
    <font>
      <b val="true"/>
      <sz val="10"/>
      <color rgb="FF92400E"/>
      <name val="Cambria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9"/>
      <color rgb="FF6B7280"/>
      <name val="Calibri"/>
      <family val="0"/>
      <charset val="1"/>
    </font>
    <font>
      <b val="true"/>
      <sz val="10"/>
      <color rgb="FF1D2342"/>
      <name val="Calibri"/>
      <family val="0"/>
      <charset val="1"/>
    </font>
    <font>
      <sz val="9"/>
      <color rgb="FF333333"/>
      <name val="Calibri"/>
      <family val="0"/>
      <charset val="1"/>
    </font>
    <font>
      <b val="true"/>
      <sz val="9"/>
      <color rgb="FFD64545"/>
      <name val="Calibri"/>
      <family val="0"/>
      <charset val="1"/>
    </font>
    <font>
      <sz val="11"/>
      <color theme="1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b val="true"/>
      <sz val="8"/>
      <color rgb="FF6B7280"/>
      <name val="Calibri"/>
      <family val="0"/>
      <charset val="1"/>
    </font>
    <font>
      <b val="true"/>
      <sz val="13"/>
      <color rgb="FF1D2342"/>
      <name val="Calibri"/>
      <family val="0"/>
      <charset val="1"/>
    </font>
    <font>
      <b val="true"/>
      <sz val="13"/>
      <color rgb="FF6B7280"/>
      <name val="Calibri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0"/>
      <color rgb="FF111827"/>
      <name val="Calibri"/>
      <family val="0"/>
      <charset val="1"/>
    </font>
    <font>
      <sz val="10"/>
      <color rgb="FF111827"/>
      <name val="Calibri"/>
      <family val="0"/>
      <charset val="1"/>
    </font>
    <font>
      <b val="true"/>
      <sz val="9"/>
      <color rgb="FF5B6475"/>
      <name val="Calibri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0"/>
      <color rgb="FF0D2542"/>
      <name val="Calibri"/>
      <family val="0"/>
      <charset val="1"/>
    </font>
    <font>
      <sz val="10"/>
      <color rgb="FF0000FF"/>
      <name val="Calibri"/>
      <family val="0"/>
      <charset val="1"/>
    </font>
    <font>
      <sz val="10"/>
      <color rgb="FF000000"/>
      <name val="Calibri"/>
      <family val="0"/>
      <charset val="1"/>
    </font>
    <font>
      <sz val="9"/>
      <color rgb="FF273043"/>
      <name val="Aptos"/>
      <family val="0"/>
      <charset val="1"/>
    </font>
    <font>
      <i val="true"/>
      <sz val="11"/>
      <color rgb="FF666666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3"/>
      <color rgb="FFFFFFFF"/>
      <name val="Cambria"/>
      <family val="0"/>
      <charset val="1"/>
    </font>
    <font>
      <sz val="11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name val="Calibri"/>
      <family val="0"/>
      <charset val="1"/>
    </font>
    <font>
      <b val="true"/>
      <i val="true"/>
      <sz val="10"/>
      <name val="Calibri"/>
      <family val="0"/>
      <charset val="1"/>
    </font>
    <font>
      <i val="true"/>
      <sz val="10"/>
      <name val="Calibri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4"/>
      <color rgb="FFFFFFFF"/>
      <name val="Cambria"/>
      <family val="0"/>
      <charset val="1"/>
    </font>
    <font>
      <b val="true"/>
      <sz val="11"/>
      <color rgb="FF17365D"/>
      <name val="Cambria"/>
      <family val="0"/>
      <charset val="1"/>
    </font>
    <font>
      <b val="true"/>
      <sz val="16"/>
      <color rgb="FF17365D"/>
      <name val="Cambria"/>
      <family val="0"/>
      <charset val="1"/>
    </font>
    <font>
      <i val="true"/>
      <sz val="9"/>
      <color rgb="FF666666"/>
      <name val="Cambria"/>
      <family val="0"/>
      <charset val="1"/>
    </font>
    <font>
      <sz val="11"/>
      <name val="Cambria"/>
      <family val="0"/>
      <charset val="1"/>
    </font>
    <font>
      <b val="true"/>
      <sz val="9"/>
      <name val="Cambria"/>
      <family val="0"/>
      <charset val="1"/>
    </font>
    <font>
      <b val="true"/>
      <sz val="13"/>
      <name val="Cambria"/>
      <family val="0"/>
      <charset val="1"/>
    </font>
    <font>
      <i val="true"/>
      <sz val="9"/>
      <name val="Cambria"/>
      <family val="0"/>
      <charset val="1"/>
    </font>
    <font>
      <b val="true"/>
      <sz val="11"/>
      <color rgb="FF1F1F1F"/>
      <name val="Cambria"/>
      <family val="0"/>
      <charset val="1"/>
    </font>
    <font>
      <b val="true"/>
      <sz val="12"/>
      <name val="Cambria"/>
      <family val="0"/>
      <charset val="1"/>
    </font>
    <font>
      <b val="true"/>
      <sz val="11"/>
      <color rgb="FF9C6500"/>
      <name val="Cambria"/>
      <family val="0"/>
      <charset val="1"/>
    </font>
    <font>
      <b val="true"/>
      <sz val="15"/>
      <color rgb="FFFFFFFF"/>
      <name val="Calibri"/>
      <family val="0"/>
      <charset val="1"/>
    </font>
    <font>
      <i val="true"/>
      <sz val="9"/>
      <color rgb="FF5B6475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Calibri"/>
      <family val="0"/>
      <charset val="1"/>
    </font>
    <font>
      <i val="true"/>
      <sz val="9"/>
      <color rgb="FF5B6475"/>
      <name val="Cambria"/>
      <family val="0"/>
      <charset val="1"/>
    </font>
    <font>
      <b val="true"/>
      <sz val="11"/>
      <color rgb="FF1F4E78"/>
      <name val="Cambria"/>
      <family val="0"/>
      <charset val="1"/>
    </font>
    <font>
      <b val="true"/>
      <sz val="11"/>
      <color rgb="FF006100"/>
      <name val="Cambria"/>
      <family val="0"/>
      <charset val="1"/>
    </font>
    <font>
      <b val="true"/>
      <sz val="19"/>
      <color rgb="FF1D2342"/>
      <name val="Calibri"/>
      <family val="0"/>
      <charset val="1"/>
    </font>
    <font>
      <b val="true"/>
      <sz val="8"/>
      <color rgb="FF6E7695"/>
      <name val="Calibri"/>
      <family val="0"/>
      <charset val="1"/>
    </font>
    <font>
      <b val="true"/>
      <sz val="11"/>
      <color rgb="FFD4A94A"/>
      <name val="Calibri"/>
      <family val="0"/>
      <charset val="1"/>
    </font>
    <font>
      <sz val="10"/>
      <color rgb="FFB8BEDA"/>
      <name val="Calibri"/>
      <family val="0"/>
      <charset val="1"/>
    </font>
    <font>
      <b val="true"/>
      <sz val="17"/>
      <color rgb="FF1D2342"/>
      <name val="Calibri"/>
      <family val="0"/>
      <charset val="1"/>
    </font>
    <font>
      <b val="true"/>
      <sz val="24"/>
      <color rgb="FF1D2342"/>
      <name val="Calibri"/>
      <family val="0"/>
      <charset val="1"/>
    </font>
    <font>
      <i val="true"/>
      <sz val="10"/>
      <color rgb="FF6B7280"/>
      <name val="Calibri"/>
      <family val="0"/>
      <charset val="1"/>
    </font>
    <font>
      <sz val="9"/>
      <color rgb="FF6E7695"/>
      <name val="Calibri"/>
      <family val="0"/>
      <charset val="1"/>
    </font>
    <font>
      <b val="true"/>
      <sz val="15"/>
      <color rgb="FF1D2342"/>
      <name val="Calibri"/>
      <family val="0"/>
      <charset val="1"/>
    </font>
    <font>
      <i val="true"/>
      <sz val="8"/>
      <color rgb="FFB08A2E"/>
      <name val="Calibri"/>
      <family val="0"/>
      <charset val="1"/>
    </font>
    <font>
      <sz val="8"/>
      <color rgb="FF565D78"/>
      <name val="Calibri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1F4E78"/>
      <name val="Arial"/>
      <family val="0"/>
      <charset val="1"/>
    </font>
    <font>
      <b val="true"/>
      <i val="true"/>
      <sz val="9"/>
      <color rgb="FFD64545"/>
      <name val="Calibri"/>
      <family val="0"/>
      <charset val="1"/>
    </font>
    <font>
      <b val="true"/>
      <sz val="10"/>
      <color rgb="FF92400E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D2342"/>
      <name val="Arial"/>
      <family val="0"/>
      <charset val="1"/>
    </font>
    <font>
      <b val="true"/>
      <sz val="12"/>
      <color rgb="FF1D2342"/>
      <name val="Arial"/>
      <family val="0"/>
      <charset val="1"/>
    </font>
    <font>
      <b val="true"/>
      <sz val="13"/>
      <color rgb="FFFFFFFF"/>
      <name val="Calibri"/>
      <family val="0"/>
      <charset val="1"/>
    </font>
    <font>
      <i val="true"/>
      <sz val="11"/>
      <name val="Cambria"/>
      <family val="0"/>
      <charset val="1"/>
    </font>
    <font>
      <b val="true"/>
      <sz val="16"/>
      <color rgb="FFFFFFFF"/>
      <name val="Calibri"/>
      <family val="0"/>
      <charset val="1"/>
    </font>
    <font>
      <sz val="10"/>
      <color rgb="FF1D2342"/>
      <name val="Calibri"/>
      <family val="0"/>
      <charset val="1"/>
    </font>
    <font>
      <i val="true"/>
      <sz val="10"/>
      <color rgb="FF5B6472"/>
      <name val="Calibri"/>
      <family val="0"/>
      <charset val="1"/>
    </font>
    <font>
      <b val="true"/>
      <sz val="10"/>
      <color rgb="FFB3413E"/>
      <name val="Calibri"/>
      <family val="0"/>
      <charset val="1"/>
    </font>
    <font>
      <b val="true"/>
      <sz val="10"/>
      <color rgb="FF5B6472"/>
      <name val="Calibri"/>
      <family val="0"/>
      <charset val="1"/>
    </font>
    <font>
      <i val="true"/>
      <sz val="9"/>
      <color rgb="FF5B6472"/>
      <name val="Calibri"/>
      <family val="0"/>
      <charset val="1"/>
    </font>
    <font>
      <i val="true"/>
      <sz val="10"/>
      <color rgb="FF2F4858"/>
      <name val="Arial"/>
      <family val="0"/>
      <charset val="1"/>
    </font>
    <font>
      <i val="true"/>
      <sz val="10"/>
      <color rgb="FF334155"/>
      <name val="Arial"/>
      <family val="0"/>
      <charset val="1"/>
    </font>
  </fonts>
  <fills count="40">
    <fill>
      <patternFill patternType="none"/>
    </fill>
    <fill>
      <patternFill patternType="gray125"/>
    </fill>
    <fill>
      <patternFill patternType="darkGray">
        <fgColor rgb="FF1D2342"/>
        <bgColor rgb="FF1D233F"/>
      </patternFill>
    </fill>
    <fill>
      <patternFill patternType="solid">
        <fgColor rgb="FFDBA846"/>
        <bgColor rgb="FFD4A94A"/>
      </patternFill>
    </fill>
    <fill>
      <patternFill patternType="solid">
        <fgColor rgb="FF0F8C6E"/>
        <bgColor rgb="FF1184C0"/>
      </patternFill>
    </fill>
    <fill>
      <patternFill patternType="darkGray">
        <fgColor rgb="FFF8FAFC"/>
        <bgColor rgb="FFF6F7FA"/>
      </patternFill>
    </fill>
    <fill>
      <patternFill patternType="solid">
        <fgColor rgb="FFF7F7F9"/>
        <bgColor rgb="FFF6F7FA"/>
      </patternFill>
    </fill>
    <fill>
      <patternFill patternType="solid">
        <fgColor rgb="FF1184C0"/>
        <bgColor rgb="FF0F8C6E"/>
      </patternFill>
    </fill>
    <fill>
      <patternFill patternType="darkGray">
        <fgColor rgb="FF717099"/>
        <bgColor rgb="FF6B7280"/>
      </patternFill>
    </fill>
    <fill>
      <patternFill patternType="solid">
        <fgColor rgb="FFD4A94A"/>
        <bgColor rgb="FFDBA846"/>
      </patternFill>
    </fill>
    <fill>
      <patternFill patternType="solid">
        <fgColor rgb="FFD9EAF7"/>
        <bgColor rgb="FFDDEBF7"/>
      </patternFill>
    </fill>
    <fill>
      <patternFill patternType="solid">
        <fgColor rgb="FFF6F7FA"/>
        <bgColor rgb="FFF7F7F9"/>
      </patternFill>
    </fill>
    <fill>
      <patternFill patternType="solid">
        <fgColor rgb="FFFFFFFF"/>
        <bgColor rgb="FFF8FAFC"/>
      </patternFill>
    </fill>
    <fill>
      <patternFill patternType="solid">
        <fgColor rgb="FF1F4E77"/>
        <bgColor rgb="FF1F4E78"/>
      </patternFill>
    </fill>
    <fill>
      <patternFill patternType="solid">
        <fgColor rgb="FFFEF3C7"/>
        <bgColor rgb="FFFFF2CC"/>
      </patternFill>
    </fill>
    <fill>
      <patternFill patternType="solid">
        <fgColor rgb="FFFFF2CC"/>
        <bgColor rgb="FFFEF3C7"/>
      </patternFill>
    </fill>
    <fill>
      <patternFill patternType="solid">
        <fgColor rgb="FFE2F0D9"/>
        <bgColor rgb="FFE6E8EC"/>
      </patternFill>
    </fill>
    <fill>
      <patternFill patternType="darkGray">
        <fgColor rgb="FFFFF3EC"/>
        <bgColor rgb="FFFDECEC"/>
      </patternFill>
    </fill>
    <fill>
      <patternFill patternType="mediumGray">
        <fgColor rgb="FFF2F2F2"/>
        <bgColor rgb="FFF3F4F6"/>
      </patternFill>
    </fill>
    <fill>
      <patternFill patternType="solid">
        <fgColor rgb="FF18365D"/>
        <bgColor rgb="FF16355D"/>
      </patternFill>
    </fill>
    <fill>
      <patternFill patternType="solid">
        <fgColor rgb="FFF3F4F6"/>
        <bgColor rgb="FFF2F2F2"/>
      </patternFill>
    </fill>
    <fill>
      <patternFill patternType="solid">
        <fgColor rgb="FF4E94DD"/>
        <bgColor rgb="FF1184C0"/>
      </patternFill>
    </fill>
    <fill>
      <patternFill patternType="solid">
        <fgColor rgb="FF1D2342"/>
        <bgColor rgb="FF1D233F"/>
      </patternFill>
    </fill>
    <fill>
      <patternFill patternType="solid">
        <fgColor rgb="FFEAF2F8"/>
        <bgColor rgb="FFEAF3F8"/>
      </patternFill>
    </fill>
    <fill>
      <patternFill patternType="solid">
        <fgColor rgb="FFDDEBF7"/>
        <bgColor rgb="FFD9EAF7"/>
      </patternFill>
    </fill>
    <fill>
      <patternFill patternType="solid">
        <fgColor rgb="FFE7E6E6"/>
        <bgColor rgb="FFE5E7EB"/>
      </patternFill>
    </fill>
    <fill>
      <patternFill patternType="solid">
        <fgColor rgb="FFEEF2F8"/>
        <bgColor rgb="FFEAF2F8"/>
      </patternFill>
    </fill>
    <fill>
      <patternFill patternType="solid">
        <fgColor rgb="FFF2F2F2"/>
        <bgColor rgb="FFF3F4F6"/>
      </patternFill>
    </fill>
    <fill>
      <patternFill patternType="solid">
        <fgColor rgb="FFEAF3F8"/>
        <bgColor rgb="FFEAF2F8"/>
      </patternFill>
    </fill>
    <fill>
      <patternFill patternType="solid">
        <fgColor rgb="FF9B0107"/>
        <bgColor rgb="FFC63F21"/>
      </patternFill>
    </fill>
    <fill>
      <patternFill patternType="solid">
        <fgColor rgb="FFFCE4D6"/>
        <bgColor rgb="FFFEE2E2"/>
      </patternFill>
    </fill>
    <fill>
      <patternFill patternType="solid">
        <fgColor rgb="FFF8FAFC"/>
        <bgColor rgb="FFF7F7F9"/>
      </patternFill>
    </fill>
    <fill>
      <patternFill patternType="solid">
        <fgColor rgb="FFC6E0B4"/>
        <bgColor rgb="FFC6EFCE"/>
      </patternFill>
    </fill>
    <fill>
      <patternFill patternType="solid">
        <fgColor rgb="FF0D2542"/>
        <bgColor rgb="FF1D2342"/>
      </patternFill>
    </fill>
    <fill>
      <patternFill patternType="solid">
        <fgColor rgb="FFC6EFCE"/>
        <bgColor rgb="FFC6E0B4"/>
      </patternFill>
    </fill>
    <fill>
      <patternFill patternType="darkGray">
        <fgColor rgb="FFAA7907"/>
        <bgColor rgb="FFD4A94A"/>
      </patternFill>
    </fill>
    <fill>
      <patternFill patternType="darkGray">
        <fgColor rgb="FF131924"/>
        <bgColor rgb="FF1D233F"/>
      </patternFill>
    </fill>
    <fill>
      <patternFill patternType="solid">
        <fgColor rgb="FFE6E8EC"/>
        <bgColor rgb="FFE6E8EE"/>
      </patternFill>
    </fill>
    <fill>
      <patternFill patternType="solid">
        <fgColor rgb="FF16355D"/>
        <bgColor rgb="FF18365D"/>
      </patternFill>
    </fill>
    <fill>
      <patternFill patternType="mediumGray">
        <fgColor rgb="FF0F8C6E"/>
        <bgColor rgb="FF1184C0"/>
      </patternFill>
    </fill>
  </fills>
  <borders count="40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6E8EC"/>
      </bottom>
      <diagonal/>
    </border>
    <border diagonalUp="false" diagonalDown="false">
      <left/>
      <right/>
      <top style="thin">
        <color rgb="FFE6E8EC"/>
      </top>
      <bottom/>
      <diagonal/>
    </border>
    <border diagonalUp="false" diagonalDown="false">
      <left style="medium">
        <color rgb="FF2F4557"/>
      </left>
      <right style="medium">
        <color rgb="FF2F4557"/>
      </right>
      <top style="medium">
        <color rgb="FF2F4557"/>
      </top>
      <bottom style="medium">
        <color rgb="FF2F4557"/>
      </bottom>
      <diagonal/>
    </border>
    <border diagonalUp="false" diagonalDown="false">
      <left style="thin">
        <color rgb="FFC6CBD9"/>
      </left>
      <right style="thin">
        <color rgb="FFC6CBD9"/>
      </right>
      <top style="thin">
        <color rgb="FFC6CBD9"/>
      </top>
      <bottom style="thin">
        <color rgb="FFC6CBD9"/>
      </bottom>
      <diagonal/>
    </border>
    <border diagonalUp="false" diagonalDown="false">
      <left style="thin">
        <color rgb="FFC6CBD9"/>
      </left>
      <right/>
      <top style="thin">
        <color rgb="FFC6CBD9"/>
      </top>
      <bottom style="thin">
        <color rgb="FFC6CBD9"/>
      </bottom>
      <diagonal/>
    </border>
    <border diagonalUp="false" diagonalDown="false">
      <left/>
      <right/>
      <top/>
      <bottom style="hair">
        <color rgb="FFF2F2F2"/>
      </bottom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medium">
        <color rgb="FF1D2342"/>
      </left>
      <right style="medium">
        <color rgb="FF1D2342"/>
      </right>
      <top style="medium">
        <color rgb="FF1D2342"/>
      </top>
      <bottom style="medium">
        <color rgb="FF1D2342"/>
      </bottom>
      <diagonal/>
    </border>
    <border diagonalUp="false" diagonalDown="false"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  <border diagonalUp="false" diagonalDown="false">
      <left/>
      <right/>
      <top/>
      <bottom style="thin">
        <color rgb="FFD9E2F3"/>
      </bottom>
      <diagonal/>
    </border>
    <border diagonalUp="false" diagonalDown="false">
      <left/>
      <right style="thin">
        <color rgb="FFE6E8EE"/>
      </right>
      <top/>
      <bottom style="thin">
        <color rgb="FFE6E8EE"/>
      </bottom>
      <diagonal/>
    </border>
    <border diagonalUp="false" diagonalDown="false">
      <left style="thin">
        <color rgb="FFE6E8EE"/>
      </left>
      <right style="thin">
        <color rgb="FFE6E8EE"/>
      </right>
      <top/>
      <bottom style="thin">
        <color rgb="FFE6E8EE"/>
      </bottom>
      <diagonal/>
    </border>
    <border diagonalUp="false" diagonalDown="false">
      <left style="thin">
        <color rgb="FFE6E8EE"/>
      </left>
      <right/>
      <top/>
      <bottom style="thin">
        <color rgb="FFE6E8EE"/>
      </bottom>
      <diagonal/>
    </border>
    <border diagonalUp="false" diagonalDown="false">
      <left/>
      <right style="thin">
        <color rgb="FFE6E8EE"/>
      </right>
      <top style="thin">
        <color rgb="FFE6E8EE"/>
      </top>
      <bottom style="thin">
        <color rgb="FFE6E8EE"/>
      </bottom>
      <diagonal/>
    </border>
    <border diagonalUp="false" diagonalDown="false">
      <left style="thin">
        <color rgb="FFE6E8EE"/>
      </left>
      <right style="thin">
        <color rgb="FFE6E8EE"/>
      </right>
      <top style="thin">
        <color rgb="FFE6E8EE"/>
      </top>
      <bottom style="thin">
        <color rgb="FFE6E8EE"/>
      </bottom>
      <diagonal/>
    </border>
    <border diagonalUp="false" diagonalDown="false">
      <left style="thin">
        <color rgb="FFE6E8EE"/>
      </left>
      <right/>
      <top style="thin">
        <color rgb="FFE6E8EE"/>
      </top>
      <bottom style="thin">
        <color rgb="FFE6E8EE"/>
      </bottom>
      <diagonal/>
    </border>
    <border diagonalUp="false" diagonalDown="false">
      <left/>
      <right style="thin">
        <color rgb="FFE6E8EE"/>
      </right>
      <top style="thin">
        <color rgb="FFE6E8EE"/>
      </top>
      <bottom style="thin">
        <color rgb="FFD9E2F3"/>
      </bottom>
      <diagonal/>
    </border>
    <border diagonalUp="false" diagonalDown="false">
      <left style="thin">
        <color rgb="FFE6E8EE"/>
      </left>
      <right style="thin">
        <color rgb="FFE6E8EE"/>
      </right>
      <top style="thin">
        <color rgb="FFE6E8EE"/>
      </top>
      <bottom style="thin">
        <color rgb="FFD9E2F3"/>
      </bottom>
      <diagonal/>
    </border>
    <border diagonalUp="false" diagonalDown="false">
      <left style="thin">
        <color rgb="FFE6E8EE"/>
      </left>
      <right/>
      <top style="thin">
        <color rgb="FFE6E8EE"/>
      </top>
      <bottom style="thin">
        <color rgb="FFD9E2F3"/>
      </bottom>
      <diagonal/>
    </border>
    <border diagonalUp="false" diagonalDown="false"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 diagonalUp="false" diagonalDown="false">
      <left style="thin">
        <color rgb="FFB5B5B7"/>
      </left>
      <right style="thin">
        <color rgb="FFB5B5B7"/>
      </right>
      <top style="thin">
        <color rgb="FFB5B5B7"/>
      </top>
      <bottom style="thin">
        <color rgb="FFB5B5B7"/>
      </bottom>
      <diagonal/>
    </border>
    <border diagonalUp="false" diagonalDown="false">
      <left/>
      <right/>
      <top style="thin">
        <color rgb="FFD9D9D9"/>
      </top>
      <bottom style="thin">
        <color rgb="FFD9D9D9"/>
      </bottom>
      <diagonal/>
    </border>
    <border diagonalUp="false" diagonalDown="false">
      <left/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E2F3"/>
      </left>
      <right/>
      <top style="thin">
        <color rgb="FFD9E2F3"/>
      </top>
      <bottom style="thin">
        <color rgb="FFD9E2F3"/>
      </bottom>
      <diagonal/>
    </border>
    <border diagonalUp="false" diagonalDown="false">
      <left style="thin">
        <color rgb="FFD9E2F3"/>
      </left>
      <right/>
      <top style="thin">
        <color rgb="FFD9E2F3"/>
      </top>
      <bottom/>
      <diagonal/>
    </border>
    <border diagonalUp="false" diagonalDown="false">
      <left/>
      <right style="thin">
        <color rgb="FFD0D7DE"/>
      </right>
      <top/>
      <bottom/>
      <diagonal/>
    </border>
    <border diagonalUp="false" diagonalDown="false">
      <left style="thin">
        <color rgb="FFBFBFD6"/>
      </left>
      <right style="thin">
        <color rgb="FFBFBFD6"/>
      </right>
      <top style="thin">
        <color rgb="FFBFBFD6"/>
      </top>
      <bottom style="thin">
        <color rgb="FFBFBFD6"/>
      </bottom>
      <diagonal/>
    </border>
    <border diagonalUp="false" diagonalDown="false">
      <left style="thin">
        <color rgb="FFBFBFD6"/>
      </left>
      <right style="thin">
        <color rgb="FFBFBFD6"/>
      </right>
      <top style="medium">
        <color rgb="FF5E6470"/>
      </top>
      <bottom style="medium">
        <color rgb="FF5E6470"/>
      </bottom>
      <diagonal/>
    </border>
    <border diagonalUp="false" diagonalDown="false">
      <left/>
      <right/>
      <top/>
      <bottom style="thin">
        <color rgb="FF131924"/>
      </bottom>
      <diagonal/>
    </border>
    <border diagonalUp="false" diagonalDown="false">
      <left/>
      <right style="thin">
        <color rgb="FFE5E7EB"/>
      </right>
      <top/>
      <bottom style="thin">
        <color rgb="FFE5E7EB"/>
      </bottom>
      <diagonal/>
    </border>
    <border diagonalUp="false" diagonalDown="false">
      <left style="thin">
        <color rgb="FFE5E7EB"/>
      </left>
      <right style="thin">
        <color rgb="FFE5E7EB"/>
      </right>
      <top/>
      <bottom style="thin">
        <color rgb="FFE5E7EB"/>
      </bottom>
      <diagonal/>
    </border>
    <border diagonalUp="false" diagonalDown="false">
      <left style="thin">
        <color rgb="FFE5E7EB"/>
      </left>
      <right/>
      <top/>
      <bottom style="thin">
        <color rgb="FFE5E7EB"/>
      </bottom>
      <diagonal/>
    </border>
    <border diagonalUp="false" diagonalDown="false">
      <left/>
      <right style="thin">
        <color rgb="FFE5E7EB"/>
      </right>
      <top style="thin">
        <color rgb="FFE5E7EB"/>
      </top>
      <bottom style="thin">
        <color rgb="FFE5E7EB"/>
      </bottom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 diagonalUp="false" diagonalDown="false">
      <left style="thin">
        <color rgb="FFE5E7EB"/>
      </left>
      <right/>
      <top style="thin">
        <color rgb="FFE5E7EB"/>
      </top>
      <bottom style="thin">
        <color rgb="FFE5E7EB"/>
      </bottom>
      <diagonal/>
    </border>
    <border diagonalUp="false" diagonalDown="false">
      <left/>
      <right style="thin">
        <color rgb="FFE5E7EB"/>
      </right>
      <top style="thin">
        <color rgb="FFE5E7EB"/>
      </top>
      <bottom/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/>
      <diagonal/>
    </border>
    <border diagonalUp="false" diagonalDown="false">
      <left style="thin">
        <color rgb="FFE5E7EB"/>
      </left>
      <right/>
      <top style="thin">
        <color rgb="FFE5E7EB"/>
      </top>
      <bottom/>
      <diagonal/>
    </border>
    <border diagonalUp="false" diagonalDown="false">
      <left style="thin">
        <color rgb="FFDBA846"/>
      </left>
      <right style="thin">
        <color rgb="FFDBA846"/>
      </right>
      <top style="thin">
        <color rgb="FFDBA846"/>
      </top>
      <bottom style="thin">
        <color rgb="FFDBA846"/>
      </bottom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true" applyAlignment="true" applyProtection="true">
      <alignment horizontal="left" vertical="center" textRotation="0" wrapText="false" indent="4" shrinkToFit="false"/>
      <protection locked="true" hidden="false"/>
    </xf>
    <xf numFmtId="164" fontId="12" fillId="6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6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6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6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6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6" fillId="4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1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11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8" fillId="12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6" fillId="1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9" fillId="14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8" fillId="15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8" fillId="16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0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4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2" fillId="6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2" fillId="6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3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6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8" fillId="12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31" fillId="6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70" fontId="38" fillId="12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9" fontId="38" fillId="12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39" fillId="18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0" fillId="1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30" fillId="19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71" fontId="4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42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42" fillId="2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1" fillId="1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1" fillId="1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3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21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0" fillId="2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9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30" fillId="23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72" fontId="44" fillId="23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44" fillId="23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45" fillId="2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1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40" fillId="13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0" fillId="13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4" fontId="40" fillId="13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5" fontId="40" fillId="13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4" fontId="40" fillId="13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0" fillId="13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6" fillId="1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46" fillId="24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6" fillId="24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7" fillId="25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46" fillId="24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2" fontId="47" fillId="24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4" fontId="46" fillId="24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5" fontId="46" fillId="24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4" fontId="47" fillId="25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4" fontId="47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4" fontId="46" fillId="10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7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6" fillId="10" borderId="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6" fontId="47" fillId="25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6" fontId="47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7" fontId="47" fillId="25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3" fontId="46" fillId="24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6" fillId="24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46" fillId="24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47" fillId="24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4" fontId="46" fillId="24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5" fontId="46" fillId="24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3" fontId="35" fillId="24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5" fillId="24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5" fillId="25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35" fillId="24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3" fontId="48" fillId="26" borderId="1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8" fillId="26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48" fillId="26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48" fillId="26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8" fillId="26" borderId="1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3" fontId="48" fillId="26" borderId="1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8" fillId="26" borderId="1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48" fillId="26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2" fontId="48" fillId="26" borderId="1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8" fillId="26" borderId="1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8" fillId="26" borderId="1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8" fillId="26" borderId="1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8" fillId="26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26" borderId="1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8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8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8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23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0" fillId="27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8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16" borderId="2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3" fontId="4" fillId="28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1" fillId="8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1" fillId="29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0" fillId="1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4" fillId="0" borderId="20" xfId="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64" fontId="4" fillId="0" borderId="20" xfId="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72" fontId="4" fillId="0" borderId="20" xfId="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74" fontId="4" fillId="0" borderId="20" xfId="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75" fontId="4" fillId="0" borderId="20" xfId="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64" fontId="30" fillId="13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53" fillId="10" borderId="2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54" fillId="1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25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52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53" fillId="16" borderId="2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55" fillId="15" borderId="2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5" fillId="16" borderId="2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6" fillId="25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7" fillId="0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9" fillId="1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60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0" fillId="3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0" fillId="3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1" fontId="50" fillId="30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61" fillId="1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1" borderId="2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4" fillId="31" borderId="21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4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4" fillId="0" borderId="21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58" fillId="27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3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2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3" fillId="1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1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8" fontId="64" fillId="10" borderId="2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5" fillId="1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0" fillId="13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19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8" fontId="4" fillId="16" borderId="2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4" fillId="27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7" borderId="2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7" borderId="2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50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0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8" fontId="50" fillId="32" borderId="2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50" fillId="27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0" fillId="27" borderId="2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50" fillId="27" borderId="2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0" fillId="13" borderId="2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0" fillId="19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15" borderId="2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8" fontId="4" fillId="15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6" fillId="13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7" fillId="1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7" fillId="1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7" fillId="15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7" fillId="3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68" fillId="10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68" fillId="16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68" fillId="15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8" fillId="30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9" fillId="27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0" fillId="1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0" fillId="1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6" fillId="1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1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9" fontId="66" fillId="16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9" fontId="66" fillId="15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6" fillId="15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15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15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0" fillId="1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40" fillId="13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0" fillId="1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21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6" fillId="12" borderId="7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66" fillId="12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9" fontId="66" fillId="12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6" fillId="15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6" fillId="16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79" fontId="50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1" fontId="50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2" fillId="27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0" fillId="21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0" fillId="21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2" fillId="0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2" fillId="27" borderId="2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2" fillId="15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9" fontId="52" fillId="15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2" fillId="15" borderId="2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2" fillId="0" borderId="2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40" fillId="21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9" fontId="52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1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6" fillId="1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7" fillId="3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27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9" fontId="52" fillId="15" borderId="2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52" fillId="27" borderId="2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26" fillId="13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0" fillId="1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27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6" fillId="16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66" fillId="27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80" fontId="66" fillId="16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66" fillId="15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50" fillId="27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80" fontId="50" fillId="16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50" fillId="15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6" fillId="15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80" fontId="66" fillId="15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80" fontId="50" fillId="15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50" fillId="16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71" fillId="16" borderId="2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3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1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9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0" fillId="10" borderId="2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3" fontId="4" fillId="16" borderId="20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4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1" fontId="4" fillId="16" borderId="20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72" fillId="15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8" fontId="4" fillId="16" borderId="20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26" fillId="19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0" fillId="13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0" fillId="13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0" fillId="1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4" fillId="16" borderId="2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3" fontId="4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4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78" fontId="4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78" fontId="4" fillId="0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6" fillId="19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3" fontId="4" fillId="0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1" fillId="33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1" fillId="4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1" fillId="4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6" fontId="4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7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3" fillId="1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0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4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7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0" fillId="13" borderId="2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7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6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80" fontId="75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75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16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80" fontId="50" fillId="16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80" fontId="7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0" fillId="16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9" fillId="0" borderId="2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0" fillId="1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7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1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0" fillId="13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0" fillId="13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80" fontId="66" fillId="13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8" fillId="10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80" fontId="78" fillId="10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6" fillId="0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80" fontId="66" fillId="0" borderId="2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50" fillId="0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80" fontId="66" fillId="0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9" fillId="0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0" fillId="25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80" fontId="50" fillId="25" borderId="2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50" fillId="16" borderId="2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80" fontId="50" fillId="16" borderId="2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80" fontId="78" fillId="10" borderId="2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50" fillId="16" borderId="2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80" fontId="50" fillId="16" borderId="28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80" fontId="6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6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80" fontId="66" fillId="13" borderId="2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81" fontId="66" fillId="0" borderId="2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81" fontId="79" fillId="34" borderId="2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49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0" fillId="1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0" fontId="4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80" fontId="4" fillId="15" borderId="2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6" borderId="2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1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80" fontId="4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5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0" fontId="4" fillId="15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0" fontId="3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82" fontId="3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5" fontId="3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5" fontId="3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0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2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1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2" fillId="0" borderId="29" xfId="0" applyFont="true" applyBorder="true" applyAlignment="true" applyProtection="true">
      <alignment horizontal="left" vertical="center" textRotation="0" wrapText="false" indent="3" shrinkToFit="false"/>
      <protection locked="true" hidden="false"/>
    </xf>
    <xf numFmtId="164" fontId="3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83" fillId="0" borderId="29" xfId="0" applyFont="true" applyBorder="true" applyAlignment="true" applyProtection="true">
      <alignment horizontal="left" vertical="center" textRotation="0" wrapText="false" indent="3" shrinkToFit="false"/>
      <protection locked="true" hidden="false"/>
    </xf>
    <xf numFmtId="164" fontId="37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3" fillId="0" borderId="2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3" fillId="2" borderId="0" xfId="0" applyFont="true" applyBorder="true" applyAlignment="true" applyProtection="true">
      <alignment horizontal="left" vertical="center" textRotation="0" wrapText="false" indent="3" shrinkToFit="false"/>
      <protection locked="true" hidden="false"/>
    </xf>
    <xf numFmtId="164" fontId="37" fillId="5" borderId="0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76" fontId="84" fillId="5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6" fontId="85" fillId="5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86" fillId="5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11" borderId="0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87" fillId="2" borderId="0" xfId="0" applyFont="true" applyBorder="true" applyAlignment="true" applyProtection="true">
      <alignment horizontal="left" vertical="center" textRotation="0" wrapText="false" indent="3" shrinkToFit="false"/>
      <protection locked="true" hidden="false"/>
    </xf>
    <xf numFmtId="176" fontId="88" fillId="11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83" fontId="88" fillId="11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89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0" borderId="0" xf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90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1" fillId="1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1" fillId="21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0" fillId="27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6" fontId="4" fillId="16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2" fillId="1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6" fontId="4" fillId="15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4" fillId="15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6" fontId="4" fillId="15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4" fillId="16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1" fillId="13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1" fillId="13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6" fontId="4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4" fillId="16" borderId="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94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4" fillId="14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95" fillId="3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1" fillId="4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9" fillId="0" borderId="3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4" fillId="0" borderId="3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3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3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9" fillId="0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4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3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9" fillId="0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4" fillId="0" borderId="3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3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0" borderId="3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6" fillId="1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1" fillId="1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2" fillId="2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52" fillId="16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2" fillId="1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80" fontId="52" fillId="16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80" fontId="52" fillId="15" borderId="2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1" fillId="36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52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2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2" fillId="20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80" fontId="52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80" fontId="52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2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2" fillId="15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2" fillId="15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80" fontId="60" fillId="2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80" fontId="60" fillId="16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80" fontId="60" fillId="20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2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7" fillId="2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8" fillId="6" borderId="3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9" fillId="3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0" fillId="24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78" fontId="4" fillId="0" borderId="2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4" fillId="15" borderId="2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4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4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9" fontId="4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4" fillId="16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9" fontId="52" fillId="0" borderId="2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61" fillId="1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0" fillId="1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0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1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0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3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2" fontId="24" fillId="13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3" fontId="46" fillId="10" borderId="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2" fontId="46" fillId="10" borderId="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2" fontId="47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4" fontId="47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2" fillId="1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1" fillId="28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0" fillId="13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84" fontId="4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4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37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50" fillId="37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3" fontId="4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4" fontId="4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4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2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5" fontId="4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71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4" fillId="28" borderId="2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3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0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6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0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3" fillId="0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4" fillId="0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6" fillId="38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8" fillId="2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1" fillId="3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1" fillId="3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6" fontId="4" fillId="15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1" fillId="39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91" fillId="3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9" fillId="2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5" fillId="3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5" fillId="33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94" fillId="14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1" xfId="20"/>
    <cellStyle name="Comma 2" xfId="21"/>
    <cellStyle name="Comma 3" xfId="22"/>
    <cellStyle name="Comma [0] 2" xfId="23"/>
    <cellStyle name="Comma [0] 3" xfId="24"/>
    <cellStyle name="Comma [0] 4" xfId="25"/>
    <cellStyle name="Currency 3" xfId="26"/>
    <cellStyle name="Currency 4" xfId="27"/>
    <cellStyle name="Currency 5" xfId="28"/>
    <cellStyle name="Currency [0] 4" xfId="29"/>
    <cellStyle name="Currency [0] 5" xfId="30"/>
    <cellStyle name="Currency [0] 6" xfId="31"/>
    <cellStyle name="Normal 5" xfId="32"/>
    <cellStyle name="Normal 6" xfId="33"/>
    <cellStyle name="Normal 7" xfId="34"/>
    <cellStyle name="Percent 6" xfId="35"/>
    <cellStyle name="Percent 7" xfId="36"/>
    <cellStyle name="Percent 8" xfId="37"/>
  </cellStyles>
  <dxfs count="24">
    <dxf>
      <font>
        <b val="1"/>
        <color rgb="FFFFFFFF"/>
      </font>
      <fill>
        <patternFill>
          <bgColor rgb="FF1F4E78"/>
        </patternFill>
      </fill>
    </dxf>
    <dxf>
      <font>
        <b val="1"/>
        <color rgb="FF17365D"/>
      </font>
      <fill>
        <patternFill>
          <bgColor rgb="FFD9EAF7"/>
        </patternFill>
      </fill>
    </dxf>
    <dxf>
      <font>
        <b val="1"/>
        <color rgb="FF1F4E78"/>
      </font>
      <fill>
        <patternFill>
          <bgColor rgb="FFEAF2F8"/>
        </patternFill>
      </fill>
    </dxf>
    <dxf>
      <fill>
        <patternFill>
          <bgColor rgb="FFFFFFFF"/>
        </patternFill>
      </fill>
    </dxf>
    <dxf>
      <font>
        <b val="1"/>
        <color rgb="FF006100"/>
      </font>
      <fill>
        <patternFill>
          <bgColor rgb="FFC6EFCE"/>
        </patternFill>
      </fill>
    </dxf>
    <dxf>
      <font>
        <b val="1"/>
        <color rgb="FF9C0006"/>
      </font>
      <fill>
        <patternFill>
          <bgColor rgb="FFFFC7CE"/>
        </patternFill>
      </fill>
    </dxf>
    <dxf>
      <font>
        <b val="1"/>
        <color rgb="FF006100"/>
      </font>
      <fill>
        <patternFill>
          <bgColor rgb="FFC6E0B4"/>
        </patternFill>
      </fill>
    </dxf>
    <dxf>
      <font>
        <b val="1"/>
        <color rgb="FF9C0006"/>
      </font>
      <fill>
        <patternFill>
          <bgColor rgb="FFF4CCCC"/>
        </patternFill>
      </fill>
    </dxf>
    <dxf>
      <font>
        <color rgb="FF006100"/>
      </font>
      <fill>
        <patternFill>
          <bgColor rgb="FFC6E0B4"/>
        </patternFill>
      </fill>
    </dxf>
    <dxf>
      <font>
        <color rgb="FF9C0006"/>
      </font>
      <fill>
        <patternFill>
          <bgColor rgb="FFF4CCC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ont>
        <b val="1"/>
        <color rgb="FFFFFFFF"/>
      </font>
      <fill>
        <patternFill>
          <bgColor rgb="FFC0392B"/>
        </patternFill>
      </fill>
    </dxf>
    <dxf>
      <font>
        <b val="1"/>
        <color rgb="FF1D2342"/>
      </font>
      <fill>
        <patternFill>
          <bgColor rgb="FFD4A94A"/>
        </patternFill>
      </fill>
    </dxf>
    <dxf>
      <font>
        <b val="1"/>
        <color rgb="FFFFFFFF"/>
      </font>
      <fill>
        <patternFill>
          <bgColor rgb="FF1D2342"/>
        </patternFill>
      </fill>
    </dxf>
    <dxf>
      <font>
        <b val="1"/>
        <color rgb="FF006100"/>
      </font>
      <fill>
        <patternFill>
          <bgColor rgb="FFD9EAD3"/>
        </patternFill>
      </fill>
    </dxf>
    <dxf>
      <font>
        <b val="1"/>
        <color rgb="FF9C6500"/>
      </font>
      <fill>
        <patternFill>
          <bgColor rgb="FFFFF2CC"/>
        </patternFill>
      </fill>
    </dxf>
    <dxf>
      <font>
        <name val="Calibri"/>
        <charset val="1"/>
        <family val="0"/>
        <b val="1"/>
        <color rgb="FF1F9D6B"/>
        <sz val="13"/>
      </font>
      <fill>
        <patternFill>
          <bgColor rgb="FFE9F8F1"/>
        </patternFill>
      </fill>
    </dxf>
    <dxf>
      <font>
        <name val="Calibri"/>
        <charset val="1"/>
        <family val="0"/>
        <b val="1"/>
        <color rgb="FFD64545"/>
        <sz val="13"/>
      </font>
      <fill>
        <patternFill>
          <bgColor rgb="FFFDECEC"/>
        </patternFill>
      </fill>
    </dxf>
    <dxf>
      <fill>
        <patternFill>
          <bgColor rgb="FFEAF7F0"/>
        </patternFill>
      </fill>
    </dxf>
    <dxf>
      <fill>
        <patternFill>
          <bgColor rgb="FFFDEDED"/>
        </patternFill>
      </fill>
    </dxf>
    <dxf>
      <fill>
        <patternFill>
          <bgColor rgb="FFFFF6E5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166534"/>
      </font>
      <fill>
        <patternFill>
          <bgColor rgb="FFDCFCE7"/>
        </patternFill>
      </fill>
    </dxf>
  </dxfs>
  <colors>
    <indexedColors>
      <rgbColor rgb="FF000000"/>
      <rgbColor rgb="FFFFFFFF"/>
      <rgbColor rgb="FFFFF3EC"/>
      <rgbColor rgb="FFEAF3F8"/>
      <rgbColor rgb="FF0000FF"/>
      <rgbColor rgb="FFE2F0D9"/>
      <rgbColor rgb="FFF2F2F2"/>
      <rgbColor rgb="FFE5E7EB"/>
      <rgbColor rgb="FF9B0107"/>
      <rgbColor rgb="FF016203"/>
      <rgbColor rgb="FF131924"/>
      <rgbColor rgb="FFAA7907"/>
      <rgbColor rgb="FFEAF2F8"/>
      <rgbColor rgb="FF0F8C6E"/>
      <rgbColor rgb="FFBFBFD6"/>
      <rgbColor rgb="FF6B7280"/>
      <rgbColor rgb="FFC6E0B4"/>
      <rgbColor rgb="FF2F4557"/>
      <rgbColor rgb="FFFEF3C7"/>
      <rgbColor rgb="FFE8FBF0"/>
      <rgbColor rgb="FFF6F7FA"/>
      <rgbColor rgb="FFD4A94A"/>
      <rgbColor rgb="FF1F4E78"/>
      <rgbColor rgb="FFC6CBD9"/>
      <rgbColor rgb="FF1F4E77"/>
      <rgbColor rgb="FFEEF2F8"/>
      <rgbColor rgb="FFFEE2E2"/>
      <rgbColor rgb="FFE6E8EE"/>
      <rgbColor rgb="FFF3F4F6"/>
      <rgbColor rgb="FFF7F7F9"/>
      <rgbColor rgb="FF1184C0"/>
      <rgbColor rgb="FFF8FAFC"/>
      <rgbColor rgb="FFE6E8EC"/>
      <rgbColor rgb="FFD9EAF7"/>
      <rgbColor rgb="FFC6EFCE"/>
      <rgbColor rgb="FFFFF2CC"/>
      <rgbColor rgb="FFD0D7DE"/>
      <rgbColor rgb="FFFFC7CE"/>
      <rgbColor rgb="FFD9D9D9"/>
      <rgbColor rgb="FFF4CCCC"/>
      <rgbColor rgb="FF4E94DD"/>
      <rgbColor rgb="FFDDEBF7"/>
      <rgbColor rgb="FFD9E2F3"/>
      <rgbColor rgb="FFFCE4D6"/>
      <rgbColor rgb="FFDBA846"/>
      <rgbColor rgb="FFE7E6E6"/>
      <rgbColor rgb="FF717099"/>
      <rgbColor rgb="FFB5B5B7"/>
      <rgbColor rgb="FF16355D"/>
      <rgbColor rgb="FF5E6470"/>
      <rgbColor rgb="FF0D2542"/>
      <rgbColor rgb="FF1D2342"/>
      <rgbColor rgb="FFC63F21"/>
      <rgbColor rgb="FFFDECEC"/>
      <rgbColor rgb="FF18365D"/>
      <rgbColor rgb="FF1D23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5.png"/><Relationship Id="rId9" Type="http://schemas.openxmlformats.org/officeDocument/2006/relationships/image" Target="../media/image8.png"/><Relationship Id="rId10" Type="http://schemas.openxmlformats.org/officeDocument/2006/relationships/image" Target="../media/image9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9.png"/><Relationship Id="rId4" Type="http://schemas.openxmlformats.org/officeDocument/2006/relationships/image" Target="../media/image9.png"/><Relationship Id="rId5" Type="http://schemas.openxmlformats.org/officeDocument/2006/relationships/image" Target="../media/image5.png"/><Relationship Id="rId6" Type="http://schemas.openxmlformats.org/officeDocument/2006/relationships/image" Target="../media/image3.png"/><Relationship Id="rId7" Type="http://schemas.openxmlformats.org/officeDocument/2006/relationships/image" Target="../media/image6.png"/><Relationship Id="rId8" Type="http://schemas.openxmlformats.org/officeDocument/2006/relationships/image" Target="../media/image8.png"/><Relationship Id="rId9" Type="http://schemas.openxmlformats.org/officeDocument/2006/relationships/image" Target="../media/image2.png"/><Relationship Id="rId10" Type="http://schemas.openxmlformats.org/officeDocument/2006/relationships/image" Target="../media/image4.png"/><Relationship Id="rId11" Type="http://schemas.openxmlformats.org/officeDocument/2006/relationships/image" Target="../media/image7.png"/><Relationship Id="rId12" Type="http://schemas.openxmlformats.org/officeDocument/2006/relationships/image" Target="../media/image10.png"/><Relationship Id="rId13" Type="http://schemas.openxmlformats.org/officeDocument/2006/relationships/image" Target="../media/image11.png"/><Relationship Id="rId14" Type="http://schemas.openxmlformats.org/officeDocument/2006/relationships/image" Target="../media/image12.png"/><Relationship Id="rId15" Type="http://schemas.openxmlformats.org/officeDocument/2006/relationships/image" Target="../media/image13.png"/><Relationship Id="rId16" Type="http://schemas.openxmlformats.org/officeDocument/2006/relationships/image" Target="../media/image14.png"/><Relationship Id="rId17" Type="http://schemas.openxmlformats.org/officeDocument/2006/relationships/image" Target="../media/image14.png"/><Relationship Id="rId18" Type="http://schemas.openxmlformats.org/officeDocument/2006/relationships/image" Target="../media/image15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28440</xdr:colOff>
      <xdr:row>0</xdr:row>
      <xdr:rowOff>47520</xdr:rowOff>
    </xdr:from>
    <xdr:to>
      <xdr:col>1</xdr:col>
      <xdr:colOff>127440</xdr:colOff>
      <xdr:row>0</xdr:row>
      <xdr:rowOff>268560</xdr:rowOff>
    </xdr:to>
    <xdr:pic>
      <xdr:nvPicPr>
        <xdr:cNvPr id="0" name="/xl/media/image.png" descr=""/>
        <xdr:cNvPicPr/>
      </xdr:nvPicPr>
      <xdr:blipFill>
        <a:blip r:embed="rId1"/>
        <a:stretch/>
      </xdr:blipFill>
      <xdr:spPr>
        <a:xfrm>
          <a:off x="28440" y="47520"/>
          <a:ext cx="240120" cy="221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19080</xdr:colOff>
      <xdr:row>8</xdr:row>
      <xdr:rowOff>9360</xdr:rowOff>
    </xdr:from>
    <xdr:to>
      <xdr:col>1</xdr:col>
      <xdr:colOff>222480</xdr:colOff>
      <xdr:row>8</xdr:row>
      <xdr:rowOff>212760</xdr:rowOff>
    </xdr:to>
    <xdr:pic>
      <xdr:nvPicPr>
        <xdr:cNvPr id="1" name="Image 2" descr="Picture"/>
        <xdr:cNvPicPr/>
      </xdr:nvPicPr>
      <xdr:blipFill>
        <a:blip r:embed="rId2"/>
        <a:stretch/>
      </xdr:blipFill>
      <xdr:spPr>
        <a:xfrm>
          <a:off x="160200" y="1714320"/>
          <a:ext cx="203400" cy="20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19080</xdr:colOff>
      <xdr:row>8</xdr:row>
      <xdr:rowOff>9360</xdr:rowOff>
    </xdr:from>
    <xdr:to>
      <xdr:col>6</xdr:col>
      <xdr:colOff>222480</xdr:colOff>
      <xdr:row>8</xdr:row>
      <xdr:rowOff>212760</xdr:rowOff>
    </xdr:to>
    <xdr:pic>
      <xdr:nvPicPr>
        <xdr:cNvPr id="2" name="Image 3" descr="Picture"/>
        <xdr:cNvPicPr/>
      </xdr:nvPicPr>
      <xdr:blipFill>
        <a:blip r:embed="rId3"/>
        <a:stretch/>
      </xdr:blipFill>
      <xdr:spPr>
        <a:xfrm>
          <a:off x="4036680" y="1714320"/>
          <a:ext cx="203400" cy="20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19080</xdr:colOff>
      <xdr:row>8</xdr:row>
      <xdr:rowOff>9360</xdr:rowOff>
    </xdr:from>
    <xdr:to>
      <xdr:col>11</xdr:col>
      <xdr:colOff>222480</xdr:colOff>
      <xdr:row>8</xdr:row>
      <xdr:rowOff>212760</xdr:rowOff>
    </xdr:to>
    <xdr:pic>
      <xdr:nvPicPr>
        <xdr:cNvPr id="3" name="Image 4" descr="Picture"/>
        <xdr:cNvPicPr/>
      </xdr:nvPicPr>
      <xdr:blipFill>
        <a:blip r:embed="rId4"/>
        <a:stretch/>
      </xdr:blipFill>
      <xdr:spPr>
        <a:xfrm>
          <a:off x="7913520" y="1714320"/>
          <a:ext cx="203400" cy="20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19080</xdr:colOff>
      <xdr:row>14</xdr:row>
      <xdr:rowOff>9360</xdr:rowOff>
    </xdr:from>
    <xdr:to>
      <xdr:col>1</xdr:col>
      <xdr:colOff>222480</xdr:colOff>
      <xdr:row>14</xdr:row>
      <xdr:rowOff>212760</xdr:rowOff>
    </xdr:to>
    <xdr:pic>
      <xdr:nvPicPr>
        <xdr:cNvPr id="4" name="Image 5" descr="Picture"/>
        <xdr:cNvPicPr/>
      </xdr:nvPicPr>
      <xdr:blipFill>
        <a:blip r:embed="rId5"/>
        <a:stretch/>
      </xdr:blipFill>
      <xdr:spPr>
        <a:xfrm>
          <a:off x="160200" y="2895480"/>
          <a:ext cx="203400" cy="20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19080</xdr:colOff>
      <xdr:row>14</xdr:row>
      <xdr:rowOff>9360</xdr:rowOff>
    </xdr:from>
    <xdr:to>
      <xdr:col>6</xdr:col>
      <xdr:colOff>222480</xdr:colOff>
      <xdr:row>14</xdr:row>
      <xdr:rowOff>212760</xdr:rowOff>
    </xdr:to>
    <xdr:pic>
      <xdr:nvPicPr>
        <xdr:cNvPr id="5" name="Image 6" descr="Picture"/>
        <xdr:cNvPicPr/>
      </xdr:nvPicPr>
      <xdr:blipFill>
        <a:blip r:embed="rId6"/>
        <a:stretch/>
      </xdr:blipFill>
      <xdr:spPr>
        <a:xfrm>
          <a:off x="4036680" y="2895480"/>
          <a:ext cx="203400" cy="20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19080</xdr:colOff>
      <xdr:row>14</xdr:row>
      <xdr:rowOff>9360</xdr:rowOff>
    </xdr:from>
    <xdr:to>
      <xdr:col>11</xdr:col>
      <xdr:colOff>222480</xdr:colOff>
      <xdr:row>14</xdr:row>
      <xdr:rowOff>212760</xdr:rowOff>
    </xdr:to>
    <xdr:pic>
      <xdr:nvPicPr>
        <xdr:cNvPr id="6" name="Image 7" descr="Picture"/>
        <xdr:cNvPicPr/>
      </xdr:nvPicPr>
      <xdr:blipFill>
        <a:blip r:embed="rId7"/>
        <a:stretch/>
      </xdr:blipFill>
      <xdr:spPr>
        <a:xfrm>
          <a:off x="7913520" y="2895480"/>
          <a:ext cx="203400" cy="20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19080</xdr:colOff>
      <xdr:row>20</xdr:row>
      <xdr:rowOff>9360</xdr:rowOff>
    </xdr:from>
    <xdr:to>
      <xdr:col>1</xdr:col>
      <xdr:colOff>222480</xdr:colOff>
      <xdr:row>20</xdr:row>
      <xdr:rowOff>212760</xdr:rowOff>
    </xdr:to>
    <xdr:pic>
      <xdr:nvPicPr>
        <xdr:cNvPr id="7" name="Image 8" descr="Picture"/>
        <xdr:cNvPicPr/>
      </xdr:nvPicPr>
      <xdr:blipFill>
        <a:blip r:embed="rId8"/>
        <a:stretch/>
      </xdr:blipFill>
      <xdr:spPr>
        <a:xfrm>
          <a:off x="160200" y="4076640"/>
          <a:ext cx="203400" cy="20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19080</xdr:colOff>
      <xdr:row>20</xdr:row>
      <xdr:rowOff>9360</xdr:rowOff>
    </xdr:from>
    <xdr:to>
      <xdr:col>6</xdr:col>
      <xdr:colOff>222480</xdr:colOff>
      <xdr:row>20</xdr:row>
      <xdr:rowOff>212760</xdr:rowOff>
    </xdr:to>
    <xdr:pic>
      <xdr:nvPicPr>
        <xdr:cNvPr id="8" name="Image 9" descr="Picture"/>
        <xdr:cNvPicPr/>
      </xdr:nvPicPr>
      <xdr:blipFill>
        <a:blip r:embed="rId9"/>
        <a:stretch/>
      </xdr:blipFill>
      <xdr:spPr>
        <a:xfrm>
          <a:off x="4036680" y="4076640"/>
          <a:ext cx="203400" cy="20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19080</xdr:colOff>
      <xdr:row>20</xdr:row>
      <xdr:rowOff>9360</xdr:rowOff>
    </xdr:from>
    <xdr:to>
      <xdr:col>11</xdr:col>
      <xdr:colOff>222480</xdr:colOff>
      <xdr:row>20</xdr:row>
      <xdr:rowOff>212760</xdr:rowOff>
    </xdr:to>
    <xdr:pic>
      <xdr:nvPicPr>
        <xdr:cNvPr id="9" name="Image 10" descr="Picture"/>
        <xdr:cNvPicPr/>
      </xdr:nvPicPr>
      <xdr:blipFill>
        <a:blip r:embed="rId10"/>
        <a:stretch/>
      </xdr:blipFill>
      <xdr:spPr>
        <a:xfrm>
          <a:off x="7913520" y="4076640"/>
          <a:ext cx="203400" cy="203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269280</xdr:colOff>
      <xdr:row>0</xdr:row>
      <xdr:rowOff>269280</xdr:rowOff>
    </xdr:to>
    <xdr:pic>
      <xdr:nvPicPr>
        <xdr:cNvPr id="10" name="/xl/media/image10.png" descr=""/>
        <xdr:cNvPicPr/>
      </xdr:nvPicPr>
      <xdr:blipFill>
        <a:blip r:embed="rId1"/>
        <a:stretch/>
      </xdr:blipFill>
      <xdr:spPr>
        <a:xfrm>
          <a:off x="0" y="0"/>
          <a:ext cx="269280" cy="269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254160</xdr:colOff>
      <xdr:row>0</xdr:row>
      <xdr:rowOff>254160</xdr:rowOff>
    </xdr:to>
    <xdr:pic>
      <xdr:nvPicPr>
        <xdr:cNvPr id="11" name="/xl/media/image10.png" descr=""/>
        <xdr:cNvPicPr/>
      </xdr:nvPicPr>
      <xdr:blipFill>
        <a:blip r:embed="rId2"/>
        <a:stretch/>
      </xdr:blipFill>
      <xdr:spPr>
        <a:xfrm>
          <a:off x="0" y="0"/>
          <a:ext cx="254160" cy="254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269280</xdr:colOff>
      <xdr:row>0</xdr:row>
      <xdr:rowOff>269280</xdr:rowOff>
    </xdr:to>
    <xdr:pic>
      <xdr:nvPicPr>
        <xdr:cNvPr id="12" name="/xl/media/image11.png" descr=""/>
        <xdr:cNvPicPr/>
      </xdr:nvPicPr>
      <xdr:blipFill>
        <a:blip r:embed="rId1"/>
        <a:stretch/>
      </xdr:blipFill>
      <xdr:spPr>
        <a:xfrm>
          <a:off x="0" y="0"/>
          <a:ext cx="269280" cy="269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254160</xdr:colOff>
      <xdr:row>0</xdr:row>
      <xdr:rowOff>254160</xdr:rowOff>
    </xdr:to>
    <xdr:pic>
      <xdr:nvPicPr>
        <xdr:cNvPr id="13" name="/xl/media/image11.png" descr=""/>
        <xdr:cNvPicPr/>
      </xdr:nvPicPr>
      <xdr:blipFill>
        <a:blip r:embed="rId2"/>
        <a:stretch/>
      </xdr:blipFill>
      <xdr:spPr>
        <a:xfrm>
          <a:off x="0" y="0"/>
          <a:ext cx="254160" cy="254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28440</xdr:colOff>
      <xdr:row>0</xdr:row>
      <xdr:rowOff>47520</xdr:rowOff>
    </xdr:from>
    <xdr:to>
      <xdr:col>1</xdr:col>
      <xdr:colOff>127440</xdr:colOff>
      <xdr:row>1</xdr:row>
      <xdr:rowOff>68400</xdr:rowOff>
    </xdr:to>
    <xdr:pic>
      <xdr:nvPicPr>
        <xdr:cNvPr id="14" name="/xl/media/image12.png" descr=""/>
        <xdr:cNvPicPr/>
      </xdr:nvPicPr>
      <xdr:blipFill>
        <a:blip r:embed="rId1"/>
        <a:stretch/>
      </xdr:blipFill>
      <xdr:spPr>
        <a:xfrm>
          <a:off x="28440" y="47520"/>
          <a:ext cx="451440" cy="221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28440</xdr:colOff>
      <xdr:row>0</xdr:row>
      <xdr:rowOff>47520</xdr:rowOff>
    </xdr:from>
    <xdr:to>
      <xdr:col>2</xdr:col>
      <xdr:colOff>93600</xdr:colOff>
      <xdr:row>1</xdr:row>
      <xdr:rowOff>34200</xdr:rowOff>
    </xdr:to>
    <xdr:pic>
      <xdr:nvPicPr>
        <xdr:cNvPr id="15" name="/xl/media/image12.png" descr=""/>
        <xdr:cNvPicPr/>
      </xdr:nvPicPr>
      <xdr:blipFill>
        <a:blip r:embed="rId2"/>
        <a:stretch/>
      </xdr:blipFill>
      <xdr:spPr>
        <a:xfrm>
          <a:off x="380880" y="47520"/>
          <a:ext cx="417600" cy="186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19080</xdr:colOff>
      <xdr:row>4</xdr:row>
      <xdr:rowOff>19080</xdr:rowOff>
    </xdr:from>
    <xdr:to>
      <xdr:col>0</xdr:col>
      <xdr:colOff>203400</xdr:colOff>
      <xdr:row>4</xdr:row>
      <xdr:rowOff>203400</xdr:rowOff>
    </xdr:to>
    <xdr:pic>
      <xdr:nvPicPr>
        <xdr:cNvPr id="16" name="Image 3" descr="Picture"/>
        <xdr:cNvPicPr/>
      </xdr:nvPicPr>
      <xdr:blipFill>
        <a:blip r:embed="rId3"/>
        <a:stretch/>
      </xdr:blipFill>
      <xdr:spPr>
        <a:xfrm>
          <a:off x="19080" y="83808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19080</xdr:colOff>
      <xdr:row>5</xdr:row>
      <xdr:rowOff>19080</xdr:rowOff>
    </xdr:from>
    <xdr:to>
      <xdr:col>0</xdr:col>
      <xdr:colOff>203400</xdr:colOff>
      <xdr:row>5</xdr:row>
      <xdr:rowOff>203400</xdr:rowOff>
    </xdr:to>
    <xdr:pic>
      <xdr:nvPicPr>
        <xdr:cNvPr id="17" name="Image 4" descr="Picture"/>
        <xdr:cNvPicPr/>
      </xdr:nvPicPr>
      <xdr:blipFill>
        <a:blip r:embed="rId4"/>
        <a:stretch/>
      </xdr:blipFill>
      <xdr:spPr>
        <a:xfrm>
          <a:off x="19080" y="116208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19080</xdr:colOff>
      <xdr:row>6</xdr:row>
      <xdr:rowOff>19080</xdr:rowOff>
    </xdr:from>
    <xdr:to>
      <xdr:col>0</xdr:col>
      <xdr:colOff>203400</xdr:colOff>
      <xdr:row>6</xdr:row>
      <xdr:rowOff>203400</xdr:rowOff>
    </xdr:to>
    <xdr:pic>
      <xdr:nvPicPr>
        <xdr:cNvPr id="18" name="Image 5" descr="Picture"/>
        <xdr:cNvPicPr/>
      </xdr:nvPicPr>
      <xdr:blipFill>
        <a:blip r:embed="rId5"/>
        <a:stretch/>
      </xdr:blipFill>
      <xdr:spPr>
        <a:xfrm>
          <a:off x="19080" y="148608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19080</xdr:colOff>
      <xdr:row>7</xdr:row>
      <xdr:rowOff>19080</xdr:rowOff>
    </xdr:from>
    <xdr:to>
      <xdr:col>0</xdr:col>
      <xdr:colOff>203400</xdr:colOff>
      <xdr:row>7</xdr:row>
      <xdr:rowOff>203400</xdr:rowOff>
    </xdr:to>
    <xdr:pic>
      <xdr:nvPicPr>
        <xdr:cNvPr id="19" name="Image 6" descr="Picture"/>
        <xdr:cNvPicPr/>
      </xdr:nvPicPr>
      <xdr:blipFill>
        <a:blip r:embed="rId6"/>
        <a:stretch/>
      </xdr:blipFill>
      <xdr:spPr>
        <a:xfrm>
          <a:off x="19080" y="180972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19080</xdr:colOff>
      <xdr:row>8</xdr:row>
      <xdr:rowOff>19080</xdr:rowOff>
    </xdr:from>
    <xdr:to>
      <xdr:col>0</xdr:col>
      <xdr:colOff>203400</xdr:colOff>
      <xdr:row>8</xdr:row>
      <xdr:rowOff>203400</xdr:rowOff>
    </xdr:to>
    <xdr:pic>
      <xdr:nvPicPr>
        <xdr:cNvPr id="20" name="Image 7" descr="Picture"/>
        <xdr:cNvPicPr/>
      </xdr:nvPicPr>
      <xdr:blipFill>
        <a:blip r:embed="rId7"/>
        <a:stretch/>
      </xdr:blipFill>
      <xdr:spPr>
        <a:xfrm>
          <a:off x="19080" y="208584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19080</xdr:colOff>
      <xdr:row>10</xdr:row>
      <xdr:rowOff>19080</xdr:rowOff>
    </xdr:from>
    <xdr:to>
      <xdr:col>0</xdr:col>
      <xdr:colOff>203400</xdr:colOff>
      <xdr:row>10</xdr:row>
      <xdr:rowOff>203400</xdr:rowOff>
    </xdr:to>
    <xdr:pic>
      <xdr:nvPicPr>
        <xdr:cNvPr id="21" name="Image 8" descr="Picture"/>
        <xdr:cNvPicPr/>
      </xdr:nvPicPr>
      <xdr:blipFill>
        <a:blip r:embed="rId8"/>
        <a:stretch/>
      </xdr:blipFill>
      <xdr:spPr>
        <a:xfrm>
          <a:off x="19080" y="244800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19080</xdr:colOff>
      <xdr:row>12</xdr:row>
      <xdr:rowOff>19080</xdr:rowOff>
    </xdr:from>
    <xdr:to>
      <xdr:col>0</xdr:col>
      <xdr:colOff>203400</xdr:colOff>
      <xdr:row>12</xdr:row>
      <xdr:rowOff>203400</xdr:rowOff>
    </xdr:to>
    <xdr:pic>
      <xdr:nvPicPr>
        <xdr:cNvPr id="22" name="Image 9" descr="Picture"/>
        <xdr:cNvPicPr/>
      </xdr:nvPicPr>
      <xdr:blipFill>
        <a:blip r:embed="rId9"/>
        <a:stretch/>
      </xdr:blipFill>
      <xdr:spPr>
        <a:xfrm>
          <a:off x="19080" y="313380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19080</xdr:colOff>
      <xdr:row>13</xdr:row>
      <xdr:rowOff>19080</xdr:rowOff>
    </xdr:from>
    <xdr:to>
      <xdr:col>0</xdr:col>
      <xdr:colOff>203400</xdr:colOff>
      <xdr:row>13</xdr:row>
      <xdr:rowOff>203400</xdr:rowOff>
    </xdr:to>
    <xdr:pic>
      <xdr:nvPicPr>
        <xdr:cNvPr id="23" name="Image 10" descr="Picture"/>
        <xdr:cNvPicPr/>
      </xdr:nvPicPr>
      <xdr:blipFill>
        <a:blip r:embed="rId10"/>
        <a:stretch/>
      </xdr:blipFill>
      <xdr:spPr>
        <a:xfrm>
          <a:off x="19080" y="345744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19080</xdr:colOff>
      <xdr:row>17</xdr:row>
      <xdr:rowOff>19080</xdr:rowOff>
    </xdr:from>
    <xdr:to>
      <xdr:col>0</xdr:col>
      <xdr:colOff>203400</xdr:colOff>
      <xdr:row>17</xdr:row>
      <xdr:rowOff>203400</xdr:rowOff>
    </xdr:to>
    <xdr:pic>
      <xdr:nvPicPr>
        <xdr:cNvPr id="24" name="Image 11" descr="Picture"/>
        <xdr:cNvPicPr/>
      </xdr:nvPicPr>
      <xdr:blipFill>
        <a:blip r:embed="rId11"/>
        <a:stretch/>
      </xdr:blipFill>
      <xdr:spPr>
        <a:xfrm>
          <a:off x="19080" y="441000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19080</xdr:colOff>
      <xdr:row>10</xdr:row>
      <xdr:rowOff>19080</xdr:rowOff>
    </xdr:from>
    <xdr:to>
      <xdr:col>5</xdr:col>
      <xdr:colOff>203400</xdr:colOff>
      <xdr:row>10</xdr:row>
      <xdr:rowOff>203400</xdr:rowOff>
    </xdr:to>
    <xdr:pic>
      <xdr:nvPicPr>
        <xdr:cNvPr id="25" name="Image 12" descr="Picture"/>
        <xdr:cNvPicPr/>
      </xdr:nvPicPr>
      <xdr:blipFill>
        <a:blip r:embed="rId12"/>
        <a:stretch/>
      </xdr:blipFill>
      <xdr:spPr>
        <a:xfrm>
          <a:off x="3049920" y="244800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19080</xdr:colOff>
      <xdr:row>10</xdr:row>
      <xdr:rowOff>19080</xdr:rowOff>
    </xdr:from>
    <xdr:to>
      <xdr:col>7</xdr:col>
      <xdr:colOff>203400</xdr:colOff>
      <xdr:row>10</xdr:row>
      <xdr:rowOff>203400</xdr:rowOff>
    </xdr:to>
    <xdr:pic>
      <xdr:nvPicPr>
        <xdr:cNvPr id="26" name="Image 13" descr="Picture"/>
        <xdr:cNvPicPr/>
      </xdr:nvPicPr>
      <xdr:blipFill>
        <a:blip r:embed="rId13"/>
        <a:stretch/>
      </xdr:blipFill>
      <xdr:spPr>
        <a:xfrm>
          <a:off x="4600440" y="244800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19080</xdr:colOff>
      <xdr:row>10</xdr:row>
      <xdr:rowOff>19080</xdr:rowOff>
    </xdr:from>
    <xdr:to>
      <xdr:col>11</xdr:col>
      <xdr:colOff>203400</xdr:colOff>
      <xdr:row>10</xdr:row>
      <xdr:rowOff>203400</xdr:rowOff>
    </xdr:to>
    <xdr:pic>
      <xdr:nvPicPr>
        <xdr:cNvPr id="27" name="Image 14" descr="Picture"/>
        <xdr:cNvPicPr/>
      </xdr:nvPicPr>
      <xdr:blipFill>
        <a:blip r:embed="rId14"/>
        <a:stretch/>
      </xdr:blipFill>
      <xdr:spPr>
        <a:xfrm>
          <a:off x="8336160" y="244800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19080</xdr:colOff>
      <xdr:row>10</xdr:row>
      <xdr:rowOff>19080</xdr:rowOff>
    </xdr:from>
    <xdr:to>
      <xdr:col>11</xdr:col>
      <xdr:colOff>203400</xdr:colOff>
      <xdr:row>10</xdr:row>
      <xdr:rowOff>203400</xdr:rowOff>
    </xdr:to>
    <xdr:pic>
      <xdr:nvPicPr>
        <xdr:cNvPr id="28" name="Image 15" descr="Picture"/>
        <xdr:cNvPicPr/>
      </xdr:nvPicPr>
      <xdr:blipFill>
        <a:blip r:embed="rId15"/>
        <a:stretch/>
      </xdr:blipFill>
      <xdr:spPr>
        <a:xfrm>
          <a:off x="8336160" y="2448000"/>
          <a:ext cx="184320" cy="184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19080</xdr:colOff>
      <xdr:row>16</xdr:row>
      <xdr:rowOff>19080</xdr:rowOff>
    </xdr:from>
    <xdr:to>
      <xdr:col>5</xdr:col>
      <xdr:colOff>184320</xdr:colOff>
      <xdr:row>16</xdr:row>
      <xdr:rowOff>184320</xdr:rowOff>
    </xdr:to>
    <xdr:pic>
      <xdr:nvPicPr>
        <xdr:cNvPr id="29" name="Image 16" descr="Picture"/>
        <xdr:cNvPicPr/>
      </xdr:nvPicPr>
      <xdr:blipFill>
        <a:blip r:embed="rId16"/>
        <a:stretch/>
      </xdr:blipFill>
      <xdr:spPr>
        <a:xfrm>
          <a:off x="3049920" y="4133880"/>
          <a:ext cx="165240" cy="16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19080</xdr:colOff>
      <xdr:row>16</xdr:row>
      <xdr:rowOff>19080</xdr:rowOff>
    </xdr:from>
    <xdr:to>
      <xdr:col>8</xdr:col>
      <xdr:colOff>184320</xdr:colOff>
      <xdr:row>16</xdr:row>
      <xdr:rowOff>184320</xdr:rowOff>
    </xdr:to>
    <xdr:pic>
      <xdr:nvPicPr>
        <xdr:cNvPr id="30" name="Image 17" descr="Picture"/>
        <xdr:cNvPicPr/>
      </xdr:nvPicPr>
      <xdr:blipFill>
        <a:blip r:embed="rId17"/>
        <a:stretch/>
      </xdr:blipFill>
      <xdr:spPr>
        <a:xfrm>
          <a:off x="5375880" y="4133880"/>
          <a:ext cx="165240" cy="16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19080</xdr:colOff>
      <xdr:row>16</xdr:row>
      <xdr:rowOff>19080</xdr:rowOff>
    </xdr:from>
    <xdr:to>
      <xdr:col>11</xdr:col>
      <xdr:colOff>184320</xdr:colOff>
      <xdr:row>16</xdr:row>
      <xdr:rowOff>184320</xdr:rowOff>
    </xdr:to>
    <xdr:pic>
      <xdr:nvPicPr>
        <xdr:cNvPr id="31" name="Image 18" descr="Picture"/>
        <xdr:cNvPicPr/>
      </xdr:nvPicPr>
      <xdr:blipFill>
        <a:blip r:embed="rId18"/>
        <a:stretch/>
      </xdr:blipFill>
      <xdr:spPr>
        <a:xfrm>
          <a:off x="8336160" y="4133880"/>
          <a:ext cx="165240" cy="165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1107360</xdr:colOff>
      <xdr:row>1</xdr:row>
      <xdr:rowOff>2520</xdr:rowOff>
    </xdr:to>
    <xdr:pic>
      <xdr:nvPicPr>
        <xdr:cNvPr id="32" name="/xl/media/image27.png" descr=""/>
        <xdr:cNvPicPr/>
      </xdr:nvPicPr>
      <xdr:blipFill>
        <a:blip r:embed="rId1"/>
        <a:stretch/>
      </xdr:blipFill>
      <xdr:spPr>
        <a:xfrm>
          <a:off x="0" y="0"/>
          <a:ext cx="1107360" cy="307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254160</xdr:colOff>
      <xdr:row>0</xdr:row>
      <xdr:rowOff>254160</xdr:rowOff>
    </xdr:to>
    <xdr:pic>
      <xdr:nvPicPr>
        <xdr:cNvPr id="33" name="/xl/media/image28.png" descr=""/>
        <xdr:cNvPicPr/>
      </xdr:nvPicPr>
      <xdr:blipFill>
        <a:blip r:embed="rId2"/>
        <a:stretch/>
      </xdr:blipFill>
      <xdr:spPr>
        <a:xfrm>
          <a:off x="0" y="0"/>
          <a:ext cx="254160" cy="254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.dfinity@gmail.com?subject=K&#235;rkes&#235;%20p&#235;r%20versionin%20e%20plot&#235;%20D&#8209;Finity&amp;body=P&#235;rsh&#235;ndetje%2C%20e%20provova%20versionin%20Demo%20dhe%20d&#235;shiroj%20informacion%20p&#235;r%20versionin%20e%20plot&#235;%20t&#235;%20D&#8209;Finity%20Accounting%20Pro." TargetMode="External"/><Relationship Id="rId2" Type="http://schemas.openxmlformats.org/officeDocument/2006/relationships/drawing" Target="../drawings/drawing1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0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mailto:info.dfinity@gmail.com?subject=K&#235;rkes&#235;%20p&#235;r%20versionin%20e%20plot&#235;%20D&#8209;Finity&amp;body=P&#235;rsh&#235;ndetje%2C%20e%20provova%20versionin%20Demo%20dhe%20d&#235;shiroj%20informacion%20p&#235;r%20versionin%20e%20plot&#235;%20t&#235;%20D&#8209;Finity%20Accounting%20Pro.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2"/>
    <col collapsed="false" customWidth="true" hidden="false" outlineLevel="0" max="15" min="2" style="1" width="11"/>
    <col collapsed="false" customWidth="true" hidden="false" outlineLevel="0" max="16" min="16" style="1" width="2"/>
  </cols>
  <sheetData>
    <row r="1" customFormat="false" ht="24" hidden="false" customHeight="true" outlineLevel="0" collapsed="false">
      <c r="A1" s="2"/>
      <c r="B1" s="3" t="s">
        <v>0</v>
      </c>
      <c r="C1" s="3"/>
      <c r="D1" s="3"/>
      <c r="E1" s="3"/>
      <c r="F1" s="4"/>
      <c r="G1" s="4"/>
      <c r="H1" s="4"/>
      <c r="I1" s="4"/>
      <c r="J1" s="4"/>
      <c r="K1" s="4"/>
      <c r="L1" s="5" t="s">
        <v>1</v>
      </c>
      <c r="M1" s="5"/>
      <c r="N1" s="5"/>
      <c r="O1" s="5"/>
      <c r="P1" s="6"/>
      <c r="Q1" s="6"/>
    </row>
    <row r="2" customFormat="false" ht="24" hidden="false" customHeight="true" outlineLevel="0" collapsed="false">
      <c r="A2" s="2"/>
      <c r="B2" s="3"/>
      <c r="C2" s="3"/>
      <c r="D2" s="3"/>
      <c r="E2" s="3"/>
      <c r="F2" s="2"/>
      <c r="G2" s="2"/>
      <c r="H2" s="2"/>
      <c r="I2" s="2"/>
      <c r="J2" s="2"/>
      <c r="K2" s="2"/>
      <c r="L2" s="5"/>
      <c r="M2" s="5"/>
      <c r="N2" s="5"/>
      <c r="O2" s="5"/>
      <c r="P2" s="6"/>
      <c r="Q2" s="6"/>
    </row>
    <row r="3" customFormat="false" ht="7.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customFormat="false" ht="21.75" hidden="false" customHeight="true" outlineLevel="0" collapsed="false">
      <c r="A4" s="6"/>
      <c r="B4" s="7" t="str">
        <f aca="false">CONCATENATE("Biznesi:  ",IFERROR(SETTINGS!B5,""))</f>
        <v>Biznesi:  </v>
      </c>
      <c r="C4" s="7"/>
      <c r="D4" s="7"/>
      <c r="E4" s="7"/>
      <c r="F4" s="6"/>
      <c r="G4" s="7" t="str">
        <f aca="false">CONCATENATE("Viti Fiskal:  ",IFERROR(SETTINGS!B9,""))</f>
        <v>Viti Fiskal:  2025</v>
      </c>
      <c r="H4" s="7"/>
      <c r="I4" s="7"/>
      <c r="J4" s="7"/>
      <c r="K4" s="6"/>
      <c r="L4" s="7" t="str">
        <f aca="false">IF(IFERROR(SETTINGS!B5,"")&lt;&gt;"","Statusi:  Gati ✓","Statusi:  Për t’u plotësuar")</f>
        <v>Statusi:  Për t’u plotësuar</v>
      </c>
      <c r="M4" s="7"/>
      <c r="N4" s="7"/>
      <c r="O4" s="7"/>
      <c r="P4" s="6"/>
      <c r="Q4" s="6"/>
    </row>
    <row r="5" customFormat="false" ht="6" hidden="false" customHeight="true" outlineLevel="0" collapsed="false">
      <c r="A5" s="6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6"/>
      <c r="Q5" s="6"/>
    </row>
    <row r="6" customFormat="false" ht="21.75" hidden="false" customHeight="true" outlineLevel="0" collapsed="false">
      <c r="A6" s="6"/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6"/>
      <c r="Q6" s="6"/>
    </row>
    <row r="7" customFormat="false" ht="25.5" hidden="false" customHeight="true" outlineLevel="0" collapsed="false">
      <c r="A7" s="6"/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6"/>
      <c r="Q7" s="6"/>
    </row>
    <row r="8" customFormat="false" ht="3.75" hidden="false" customHeight="true" outlineLevel="0" collapsed="false">
      <c r="A8" s="6"/>
      <c r="B8" s="11"/>
      <c r="C8" s="6"/>
      <c r="D8" s="6"/>
      <c r="E8" s="11"/>
      <c r="F8" s="6"/>
      <c r="G8" s="11"/>
      <c r="H8" s="6"/>
      <c r="I8" s="6"/>
      <c r="J8" s="11"/>
      <c r="K8" s="6"/>
      <c r="L8" s="11"/>
      <c r="M8" s="6"/>
      <c r="N8" s="6"/>
      <c r="O8" s="11"/>
      <c r="P8" s="6"/>
      <c r="Q8" s="6"/>
    </row>
    <row r="9" customFormat="false" ht="24" hidden="false" customHeight="true" outlineLevel="0" collapsed="false">
      <c r="A9" s="6"/>
      <c r="B9" s="12" t="s">
        <v>4</v>
      </c>
      <c r="C9" s="12"/>
      <c r="D9" s="12"/>
      <c r="E9" s="12"/>
      <c r="F9" s="6"/>
      <c r="G9" s="12" t="s">
        <v>5</v>
      </c>
      <c r="H9" s="12"/>
      <c r="I9" s="12"/>
      <c r="J9" s="12"/>
      <c r="K9" s="6"/>
      <c r="L9" s="12" t="s">
        <v>6</v>
      </c>
      <c r="M9" s="12"/>
      <c r="N9" s="12"/>
      <c r="O9" s="12"/>
      <c r="P9" s="6"/>
      <c r="Q9" s="6"/>
    </row>
    <row r="10" customFormat="false" ht="18" hidden="false" customHeight="true" outlineLevel="0" collapsed="false">
      <c r="A10" s="6"/>
      <c r="B10" s="13" t="s">
        <v>7</v>
      </c>
      <c r="C10" s="13"/>
      <c r="D10" s="13"/>
      <c r="E10" s="13"/>
      <c r="F10" s="6"/>
      <c r="G10" s="13" t="s">
        <v>8</v>
      </c>
      <c r="H10" s="13"/>
      <c r="I10" s="13"/>
      <c r="J10" s="13"/>
      <c r="K10" s="6"/>
      <c r="L10" s="13" t="s">
        <v>9</v>
      </c>
      <c r="M10" s="13"/>
      <c r="N10" s="13"/>
      <c r="O10" s="13"/>
      <c r="P10" s="6"/>
      <c r="Q10" s="6"/>
    </row>
    <row r="11" customFormat="false" ht="18" hidden="false" customHeight="true" outlineLevel="0" collapsed="false">
      <c r="A11" s="6"/>
      <c r="B11" s="13"/>
      <c r="C11" s="13"/>
      <c r="D11" s="13"/>
      <c r="E11" s="13"/>
      <c r="F11" s="6"/>
      <c r="G11" s="13"/>
      <c r="H11" s="13"/>
      <c r="I11" s="13"/>
      <c r="J11" s="13"/>
      <c r="K11" s="6"/>
      <c r="L11" s="13"/>
      <c r="M11" s="13"/>
      <c r="N11" s="13"/>
      <c r="O11" s="13"/>
      <c r="P11" s="6"/>
      <c r="Q11" s="6"/>
    </row>
    <row r="12" customFormat="false" ht="19.5" hidden="false" customHeight="true" outlineLevel="0" collapsed="false">
      <c r="A12" s="6"/>
      <c r="B12" s="14" t="s">
        <v>10</v>
      </c>
      <c r="C12" s="14"/>
      <c r="D12" s="14"/>
      <c r="E12" s="14"/>
      <c r="F12" s="6"/>
      <c r="G12" s="14" t="s">
        <v>10</v>
      </c>
      <c r="H12" s="14"/>
      <c r="I12" s="14"/>
      <c r="J12" s="14"/>
      <c r="K12" s="6"/>
      <c r="L12" s="14" t="s">
        <v>10</v>
      </c>
      <c r="M12" s="14"/>
      <c r="N12" s="14"/>
      <c r="O12" s="14"/>
      <c r="P12" s="6"/>
      <c r="Q12" s="6"/>
    </row>
    <row r="13" customFormat="false" ht="9.75" hidden="false" customHeight="true" outlineLevel="0" collapsed="false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customFormat="false" ht="3.75" hidden="false" customHeight="true" outlineLevel="0" collapsed="false">
      <c r="A14" s="6"/>
      <c r="B14" s="15"/>
      <c r="C14" s="6"/>
      <c r="D14" s="6"/>
      <c r="E14" s="15"/>
      <c r="F14" s="6"/>
      <c r="G14" s="15"/>
      <c r="H14" s="6"/>
      <c r="I14" s="6"/>
      <c r="J14" s="15"/>
      <c r="K14" s="6"/>
      <c r="L14" s="15"/>
      <c r="M14" s="6"/>
      <c r="N14" s="6"/>
      <c r="O14" s="15"/>
      <c r="P14" s="6"/>
      <c r="Q14" s="6"/>
    </row>
    <row r="15" customFormat="false" ht="24" hidden="false" customHeight="true" outlineLevel="0" collapsed="false">
      <c r="A15" s="6"/>
      <c r="B15" s="12" t="s">
        <v>11</v>
      </c>
      <c r="C15" s="12"/>
      <c r="D15" s="12"/>
      <c r="E15" s="12"/>
      <c r="F15" s="6"/>
      <c r="G15" s="12" t="s">
        <v>12</v>
      </c>
      <c r="H15" s="12"/>
      <c r="I15" s="12"/>
      <c r="J15" s="12"/>
      <c r="K15" s="6"/>
      <c r="L15" s="12" t="s">
        <v>13</v>
      </c>
      <c r="M15" s="12"/>
      <c r="N15" s="12"/>
      <c r="O15" s="12"/>
      <c r="P15" s="6"/>
      <c r="Q15" s="6"/>
    </row>
    <row r="16" customFormat="false" ht="18" hidden="false" customHeight="true" outlineLevel="0" collapsed="false">
      <c r="A16" s="6"/>
      <c r="B16" s="13" t="s">
        <v>14</v>
      </c>
      <c r="C16" s="13"/>
      <c r="D16" s="13"/>
      <c r="E16" s="13"/>
      <c r="F16" s="6"/>
      <c r="G16" s="13" t="s">
        <v>15</v>
      </c>
      <c r="H16" s="13"/>
      <c r="I16" s="13"/>
      <c r="J16" s="13"/>
      <c r="K16" s="6"/>
      <c r="L16" s="13" t="s">
        <v>16</v>
      </c>
      <c r="M16" s="13"/>
      <c r="N16" s="13"/>
      <c r="O16" s="13"/>
      <c r="P16" s="6"/>
      <c r="Q16" s="6"/>
    </row>
    <row r="17" customFormat="false" ht="18" hidden="false" customHeight="true" outlineLevel="0" collapsed="false">
      <c r="A17" s="6"/>
      <c r="B17" s="13"/>
      <c r="C17" s="13"/>
      <c r="D17" s="13"/>
      <c r="E17" s="13"/>
      <c r="F17" s="6"/>
      <c r="G17" s="13"/>
      <c r="H17" s="13"/>
      <c r="I17" s="13"/>
      <c r="J17" s="13"/>
      <c r="K17" s="6"/>
      <c r="L17" s="13"/>
      <c r="M17" s="13"/>
      <c r="N17" s="13"/>
      <c r="O17" s="13"/>
      <c r="P17" s="6"/>
      <c r="Q17" s="6"/>
    </row>
    <row r="18" customFormat="false" ht="19.5" hidden="false" customHeight="true" outlineLevel="0" collapsed="false">
      <c r="A18" s="6"/>
      <c r="B18" s="16" t="s">
        <v>10</v>
      </c>
      <c r="C18" s="16"/>
      <c r="D18" s="16"/>
      <c r="E18" s="16"/>
      <c r="F18" s="6"/>
      <c r="G18" s="16" t="s">
        <v>10</v>
      </c>
      <c r="H18" s="16"/>
      <c r="I18" s="16"/>
      <c r="J18" s="16"/>
      <c r="K18" s="6"/>
      <c r="L18" s="16" t="s">
        <v>10</v>
      </c>
      <c r="M18" s="16"/>
      <c r="N18" s="16"/>
      <c r="O18" s="16"/>
      <c r="P18" s="6"/>
      <c r="Q18" s="6"/>
    </row>
    <row r="19" customFormat="false" ht="9.75" hidden="false" customHeight="true" outlineLevel="0" collapsed="false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customFormat="false" ht="3.75" hidden="false" customHeight="true" outlineLevel="0" collapsed="false">
      <c r="A20" s="6"/>
      <c r="B20" s="15"/>
      <c r="C20" s="6"/>
      <c r="D20" s="6"/>
      <c r="E20" s="15"/>
      <c r="F20" s="6"/>
      <c r="G20" s="17"/>
      <c r="H20" s="6"/>
      <c r="I20" s="6"/>
      <c r="J20" s="17"/>
      <c r="K20" s="6"/>
      <c r="L20" s="2"/>
      <c r="M20" s="6"/>
      <c r="N20" s="6"/>
      <c r="O20" s="2"/>
      <c r="P20" s="6"/>
      <c r="Q20" s="6"/>
    </row>
    <row r="21" customFormat="false" ht="24" hidden="false" customHeight="true" outlineLevel="0" collapsed="false">
      <c r="A21" s="6"/>
      <c r="B21" s="12" t="s">
        <v>17</v>
      </c>
      <c r="C21" s="12"/>
      <c r="D21" s="12"/>
      <c r="E21" s="12"/>
      <c r="F21" s="6"/>
      <c r="G21" s="12" t="s">
        <v>18</v>
      </c>
      <c r="H21" s="12"/>
      <c r="I21" s="12"/>
      <c r="J21" s="12"/>
      <c r="K21" s="6"/>
      <c r="L21" s="12" t="s">
        <v>19</v>
      </c>
      <c r="M21" s="12"/>
      <c r="N21" s="12"/>
      <c r="O21" s="12"/>
      <c r="P21" s="6"/>
      <c r="Q21" s="6"/>
    </row>
    <row r="22" customFormat="false" ht="18" hidden="false" customHeight="true" outlineLevel="0" collapsed="false">
      <c r="A22" s="6"/>
      <c r="B22" s="13" t="s">
        <v>20</v>
      </c>
      <c r="C22" s="13"/>
      <c r="D22" s="13"/>
      <c r="E22" s="13"/>
      <c r="F22" s="6"/>
      <c r="G22" s="13" t="s">
        <v>21</v>
      </c>
      <c r="H22" s="13"/>
      <c r="I22" s="13"/>
      <c r="J22" s="13"/>
      <c r="K22" s="6"/>
      <c r="L22" s="13" t="s">
        <v>22</v>
      </c>
      <c r="M22" s="13"/>
      <c r="N22" s="13"/>
      <c r="O22" s="13"/>
      <c r="P22" s="6"/>
      <c r="Q22" s="6"/>
    </row>
    <row r="23" customFormat="false" ht="18" hidden="false" customHeight="true" outlineLevel="0" collapsed="false">
      <c r="A23" s="6"/>
      <c r="B23" s="13"/>
      <c r="C23" s="13"/>
      <c r="D23" s="13"/>
      <c r="E23" s="13"/>
      <c r="F23" s="6"/>
      <c r="G23" s="13"/>
      <c r="H23" s="13"/>
      <c r="I23" s="13"/>
      <c r="J23" s="13"/>
      <c r="K23" s="6"/>
      <c r="L23" s="13"/>
      <c r="M23" s="13"/>
      <c r="N23" s="13"/>
      <c r="O23" s="13"/>
      <c r="P23" s="6"/>
      <c r="Q23" s="6"/>
    </row>
    <row r="24" customFormat="false" ht="19.5" hidden="false" customHeight="true" outlineLevel="0" collapsed="false">
      <c r="A24" s="6"/>
      <c r="B24" s="16" t="s">
        <v>10</v>
      </c>
      <c r="C24" s="16"/>
      <c r="D24" s="16"/>
      <c r="E24" s="16"/>
      <c r="F24" s="6"/>
      <c r="G24" s="18" t="s">
        <v>10</v>
      </c>
      <c r="H24" s="18"/>
      <c r="I24" s="18"/>
      <c r="J24" s="18"/>
      <c r="K24" s="6"/>
      <c r="L24" s="19" t="s">
        <v>10</v>
      </c>
      <c r="M24" s="19"/>
      <c r="N24" s="19"/>
      <c r="O24" s="19"/>
      <c r="P24" s="6"/>
      <c r="Q24" s="6"/>
    </row>
    <row r="25" customFormat="false" ht="21.75" hidden="false" customHeight="true" outlineLevel="0" collapsed="false">
      <c r="A25" s="6"/>
      <c r="B25" s="20" t="s">
        <v>23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6"/>
      <c r="Q25" s="6"/>
    </row>
    <row r="26" customFormat="false" ht="18" hidden="false" customHeight="true" outlineLevel="0" collapsed="false">
      <c r="A26" s="6"/>
      <c r="B26" s="21" t="s">
        <v>24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6"/>
      <c r="Q26" s="6"/>
    </row>
    <row r="27" customFormat="false" ht="31.5" hidden="false" customHeight="true" outlineLevel="0" collapsed="false">
      <c r="A27" s="6"/>
      <c r="B27" s="22" t="s">
        <v>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6"/>
      <c r="Q27" s="6"/>
    </row>
    <row r="28" customFormat="false" ht="25.5" hidden="false" customHeight="true" outlineLevel="0" collapsed="false">
      <c r="A28" s="6"/>
      <c r="B28" s="23" t="s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6"/>
      <c r="Q28" s="6"/>
    </row>
    <row r="29" customFormat="false" ht="18" hidden="false" customHeight="true" outlineLevel="0" collapsed="false">
      <c r="A29" s="6"/>
      <c r="B29" s="24" t="s">
        <v>27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6"/>
      <c r="Q29" s="6"/>
    </row>
    <row r="30" customFormat="false" ht="18" hidden="false" customHeight="true" outlineLevel="0" collapsed="false">
      <c r="A30" s="6"/>
      <c r="B30" s="9" t="s">
        <v>28</v>
      </c>
      <c r="C30" s="9"/>
      <c r="D30" s="9"/>
      <c r="E30" s="9"/>
      <c r="F30" s="9"/>
      <c r="G30" s="9"/>
      <c r="H30" s="6"/>
      <c r="I30" s="9" t="s">
        <v>29</v>
      </c>
      <c r="J30" s="9"/>
      <c r="K30" s="9"/>
      <c r="L30" s="9"/>
      <c r="M30" s="9"/>
      <c r="N30" s="9"/>
      <c r="O30" s="9"/>
      <c r="P30" s="6"/>
      <c r="Q30" s="6"/>
    </row>
    <row r="31" customFormat="false" ht="25.5" hidden="false" customHeight="true" outlineLevel="0" collapsed="false">
      <c r="A31" s="6"/>
      <c r="B31" s="25" t="s">
        <v>30</v>
      </c>
      <c r="C31" s="25"/>
      <c r="D31" s="25"/>
      <c r="E31" s="25"/>
      <c r="F31" s="25"/>
      <c r="G31" s="25"/>
      <c r="H31" s="6"/>
      <c r="I31" s="25" t="s">
        <v>31</v>
      </c>
      <c r="J31" s="25"/>
      <c r="K31" s="25"/>
      <c r="L31" s="25"/>
      <c r="M31" s="25"/>
      <c r="N31" s="25"/>
      <c r="O31" s="25"/>
      <c r="P31" s="6"/>
      <c r="Q31" s="6"/>
    </row>
    <row r="32" customFormat="false" ht="25.5" hidden="false" customHeight="true" outlineLevel="0" collapsed="false">
      <c r="A32" s="6"/>
      <c r="B32" s="25" t="s">
        <v>32</v>
      </c>
      <c r="C32" s="25"/>
      <c r="D32" s="25"/>
      <c r="E32" s="25"/>
      <c r="F32" s="25"/>
      <c r="G32" s="25"/>
      <c r="H32" s="6"/>
      <c r="I32" s="25" t="s">
        <v>33</v>
      </c>
      <c r="J32" s="25"/>
      <c r="K32" s="25"/>
      <c r="L32" s="25"/>
      <c r="M32" s="25"/>
      <c r="N32" s="25"/>
      <c r="O32" s="25"/>
      <c r="P32" s="6"/>
      <c r="Q32" s="6"/>
    </row>
    <row r="33" customFormat="false" ht="25.5" hidden="false" customHeight="true" outlineLevel="0" collapsed="false">
      <c r="A33" s="6"/>
      <c r="B33" s="25" t="s">
        <v>34</v>
      </c>
      <c r="C33" s="25"/>
      <c r="D33" s="25"/>
      <c r="E33" s="25"/>
      <c r="F33" s="25"/>
      <c r="G33" s="25"/>
      <c r="H33" s="6"/>
      <c r="I33" s="25" t="s">
        <v>35</v>
      </c>
      <c r="J33" s="25"/>
      <c r="K33" s="25"/>
      <c r="L33" s="25"/>
      <c r="M33" s="25"/>
      <c r="N33" s="25"/>
      <c r="O33" s="25"/>
      <c r="P33" s="6"/>
      <c r="Q33" s="6"/>
    </row>
    <row r="34" customFormat="false" ht="25.5" hidden="false" customHeight="true" outlineLevel="0" collapsed="false">
      <c r="A34" s="6"/>
      <c r="B34" s="25" t="s">
        <v>36</v>
      </c>
      <c r="C34" s="25"/>
      <c r="D34" s="25"/>
      <c r="E34" s="25"/>
      <c r="F34" s="25"/>
      <c r="G34" s="25"/>
      <c r="H34" s="6"/>
      <c r="I34" s="25" t="s">
        <v>37</v>
      </c>
      <c r="J34" s="25"/>
      <c r="K34" s="25"/>
      <c r="L34" s="25"/>
      <c r="M34" s="25"/>
      <c r="N34" s="25"/>
      <c r="O34" s="25"/>
      <c r="P34" s="6"/>
      <c r="Q34" s="6"/>
    </row>
    <row r="35" customFormat="false" ht="18" hidden="false" customHeight="true" outlineLevel="0" collapsed="false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customFormat="false" ht="6" hidden="false" customHeight="true" outlineLevel="0" collapsed="false">
      <c r="A36" s="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6"/>
      <c r="Q36" s="6"/>
    </row>
    <row r="37" customFormat="false" ht="27.75" hidden="false" customHeight="true" outlineLevel="0" collapsed="false">
      <c r="A37" s="6"/>
      <c r="B37" s="27" t="s">
        <v>38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6"/>
      <c r="Q37" s="6"/>
    </row>
    <row r="38" customFormat="false" ht="18" hidden="false" customHeight="true" outlineLevel="0" collapsed="false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customFormat="false" ht="18" hidden="false" customHeight="true" outlineLevel="0" collapsed="false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customFormat="false" ht="18" hidden="false" customHeight="true" outlineLevel="0" collapsed="false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customFormat="false" ht="18" hidden="false" customHeight="true" outlineLevel="0" collapsed="false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customFormat="false" ht="18" hidden="false" customHeight="true" outlineLevel="0" collapsed="false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customFormat="false" ht="18" hidden="false" customHeight="true" outlineLevel="0" collapsed="false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customFormat="false" ht="18" hidden="false" customHeight="true" outlineLevel="0" collapsed="false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customFormat="false" ht="18" hidden="false" customHeight="true" outlineLevel="0" collapsed="false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customFormat="false" ht="18" hidden="false" customHeight="true" outlineLevel="0" collapsed="false"/>
    <row r="47" customFormat="false" ht="18" hidden="false" customHeight="true" outlineLevel="0" collapsed="false"/>
    <row r="48" customFormat="false" ht="18" hidden="false" customHeight="true" outlineLevel="0" collapsed="false"/>
    <row r="49" customFormat="false" ht="18" hidden="false" customHeight="true" outlineLevel="0" collapsed="false"/>
    <row r="50" customFormat="false" ht="18" hidden="false" customHeight="true" outlineLevel="0" collapsed="false"/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  <row r="60" customFormat="false" ht="18" hidden="false" customHeight="true" outlineLevel="0" collapsed="false"/>
    <row r="61" customFormat="false" ht="18" hidden="false" customHeight="true" outlineLevel="0" collapsed="false"/>
    <row r="62" customFormat="false" ht="18" hidden="false" customHeight="true" outlineLevel="0" collapsed="false"/>
    <row r="63" customFormat="false" ht="18" hidden="false" customHeight="true" outlineLevel="0" collapsed="false"/>
    <row r="64" customFormat="false" ht="18" hidden="false" customHeight="true" outlineLevel="0" collapsed="false"/>
    <row r="65" customFormat="false" ht="18" hidden="false" customHeight="true" outlineLevel="0" collapsed="false"/>
    <row r="66" customFormat="false" ht="18" hidden="false" customHeight="true" outlineLevel="0" collapsed="false"/>
    <row r="67" customFormat="false" ht="18" hidden="false" customHeight="true" outlineLevel="0" collapsed="false"/>
    <row r="68" customFormat="false" ht="18" hidden="false" customHeight="true" outlineLevel="0" collapsed="false"/>
    <row r="69" customFormat="false" ht="18" hidden="false" customHeight="true" outlineLevel="0" collapsed="false"/>
    <row r="70" customFormat="false" ht="18" hidden="false" customHeight="true" outlineLevel="0" collapsed="false"/>
    <row r="71" customFormat="false" ht="18" hidden="false" customHeight="true" outlineLevel="0" collapsed="false"/>
    <row r="72" customFormat="false" ht="18" hidden="false" customHeight="true" outlineLevel="0" collapsed="false"/>
    <row r="73" customFormat="false" ht="18" hidden="false" customHeight="true" outlineLevel="0" collapsed="false"/>
    <row r="74" customFormat="false" ht="18" hidden="false" customHeight="true" outlineLevel="0" collapsed="false"/>
    <row r="75" customFormat="false" ht="18" hidden="false" customHeight="true" outlineLevel="0" collapsed="false"/>
    <row r="76" customFormat="false" ht="18" hidden="false" customHeight="true" outlineLevel="0" collapsed="false"/>
    <row r="77" customFormat="false" ht="18" hidden="false" customHeight="true" outlineLevel="0" collapsed="false"/>
    <row r="78" customFormat="false" ht="18" hidden="false" customHeight="true" outlineLevel="0" collapsed="false"/>
    <row r="79" customFormat="false" ht="18" hidden="false" customHeight="true" outlineLevel="0" collapsed="false"/>
  </sheetData>
  <sheetProtection sheet="true" password="91db" formatCells="false" formatColumns="false" formatRows="false" sort="false" autoFilter="false"/>
  <mergeCells count="52">
    <mergeCell ref="B1:E2"/>
    <mergeCell ref="L1:O2"/>
    <mergeCell ref="B4:E4"/>
    <mergeCell ref="G4:J4"/>
    <mergeCell ref="L4:O4"/>
    <mergeCell ref="B5:O5"/>
    <mergeCell ref="B6:O6"/>
    <mergeCell ref="B7:O7"/>
    <mergeCell ref="B9:E9"/>
    <mergeCell ref="G9:J9"/>
    <mergeCell ref="L9:O9"/>
    <mergeCell ref="B10:E11"/>
    <mergeCell ref="G10:J11"/>
    <mergeCell ref="L10:O11"/>
    <mergeCell ref="B12:E12"/>
    <mergeCell ref="G12:J12"/>
    <mergeCell ref="L12:O12"/>
    <mergeCell ref="B15:E15"/>
    <mergeCell ref="G15:J15"/>
    <mergeCell ref="L15:O15"/>
    <mergeCell ref="B16:E17"/>
    <mergeCell ref="G16:J17"/>
    <mergeCell ref="L16:O17"/>
    <mergeCell ref="B18:E18"/>
    <mergeCell ref="G18:J18"/>
    <mergeCell ref="L18:O18"/>
    <mergeCell ref="B21:E21"/>
    <mergeCell ref="G21:J21"/>
    <mergeCell ref="L21:O21"/>
    <mergeCell ref="B22:E23"/>
    <mergeCell ref="G22:J23"/>
    <mergeCell ref="L22:O23"/>
    <mergeCell ref="B24:E24"/>
    <mergeCell ref="G24:J24"/>
    <mergeCell ref="L24:O24"/>
    <mergeCell ref="B25:O25"/>
    <mergeCell ref="B26:O26"/>
    <mergeCell ref="B27:O27"/>
    <mergeCell ref="B28:O28"/>
    <mergeCell ref="B29:O29"/>
    <mergeCell ref="B30:G30"/>
    <mergeCell ref="I30:O30"/>
    <mergeCell ref="B31:G31"/>
    <mergeCell ref="I31:O31"/>
    <mergeCell ref="B32:G32"/>
    <mergeCell ref="I32:O32"/>
    <mergeCell ref="B33:G33"/>
    <mergeCell ref="I33:O33"/>
    <mergeCell ref="B34:G34"/>
    <mergeCell ref="I34:O34"/>
    <mergeCell ref="B36:O36"/>
    <mergeCell ref="B37:O37"/>
  </mergeCells>
  <hyperlinks>
    <hyperlink ref="B6" location="SETTINGS!A1" display="NGA KU FILLON PUNA"/>
    <hyperlink ref="B9" location="'SETTINGS'!A1" display="Cilësimet"/>
    <hyperlink ref="G9" location="'PLANI_LLOGARIVE'!A1" display="Plani i Llogarive"/>
    <hyperlink ref="L9" location="'USER_MANUAL'!A1" display="Manuali i Përdorimit"/>
    <hyperlink ref="B10" location="'SETTINGS'!A1" display="Vendosni subjektin, vitin fiskal, monedhën dhe parametrat kryesorë."/>
    <hyperlink ref="B12" location="'SETTINGS'!A1" display="Hap  ›"/>
    <hyperlink ref="G12" location="'PLANI_LLOGARIVE'!A1" display="Hap  ›"/>
    <hyperlink ref="L12" location="'USER_MANUAL'!A1" display="Hap  ›"/>
    <hyperlink ref="B15" location="'DITARI'!A1" display="Ditari"/>
    <hyperlink ref="G15" location="'LIBRI_I_MADH'!A1" display="Kontrolli i Balancave"/>
    <hyperlink ref="L15" location="'VEPRIMET_RREGULLUESE'!A1" display="Veprimet Rregulluese"/>
    <hyperlink ref="B18" location="'DITARI'!A1" display="Hap  ›"/>
    <hyperlink ref="G18" location="'LIBRI_I_MADH'!A1" display="Hap  ›"/>
    <hyperlink ref="L18" location="'VEPRIMET_RREGULLUESE'!A1" display="Hap  ›"/>
    <hyperlink ref="B21" location="'POSTIM_NE_DITAR'!A1" display="Postimi në Ditar"/>
    <hyperlink ref="G21" location="'PASH_MIKRO_FINAL'!A1" display="Pasqyrat Financiare"/>
    <hyperlink ref="L21" location="'DASHBOARD'!A1" display="Paneli Kryesor"/>
    <hyperlink ref="B24" location="'POSTIM_NE_DITAR'!A1" display="Hap  ›"/>
    <hyperlink ref="G24" location="'PASH_MIKRO_FINAL'!A1" display="Hap  ›"/>
    <hyperlink ref="L24" location="'DASHBOARD'!A1" display="Hap  ›"/>
    <hyperlink ref="B28" r:id="rId1" display="✉  KËRKO VERSIONIN E PLOTË  —  info.dfinity@gmail.com   ·   Instagram: @dfinity.accounting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9"/>
    <col collapsed="false" customWidth="true" hidden="false" outlineLevel="0" max="3" min="3" style="1" width="14"/>
    <col collapsed="false" customWidth="true" hidden="false" outlineLevel="0" max="4" min="4" style="1" width="13"/>
    <col collapsed="false" customWidth="true" hidden="false" outlineLevel="0" max="5" min="5" style="1" width="32"/>
    <col collapsed="false" customWidth="true" hidden="false" outlineLevel="0" max="7" min="6" style="1" width="14"/>
    <col collapsed="false" customWidth="true" hidden="false" outlineLevel="0" max="8" min="8" style="1" width="20"/>
    <col collapsed="false" customWidth="true" hidden="false" outlineLevel="0" max="9" min="9" style="1" width="34"/>
    <col collapsed="false" customWidth="true" hidden="false" outlineLevel="0" max="11" min="11" style="1" width="26"/>
    <col collapsed="false" customWidth="true" hidden="false" outlineLevel="0" max="12" min="12" style="1" width="20"/>
    <col collapsed="false" customWidth="true" hidden="false" outlineLevel="0" max="14" min="14" style="1" width="16"/>
  </cols>
  <sheetData>
    <row r="1" customFormat="false" ht="24" hidden="false" customHeight="true" outlineLevel="0" collapsed="false">
      <c r="A1" s="275" t="s">
        <v>994</v>
      </c>
      <c r="B1" s="275"/>
      <c r="C1" s="275"/>
      <c r="D1" s="275"/>
      <c r="E1" s="275"/>
      <c r="F1" s="275"/>
      <c r="G1" s="275"/>
      <c r="H1" s="275"/>
      <c r="I1" s="275"/>
      <c r="K1" s="276" t="s">
        <v>995</v>
      </c>
      <c r="L1" s="277"/>
      <c r="N1" s="29" t="s">
        <v>19</v>
      </c>
    </row>
    <row r="2" customFormat="false" ht="15" hidden="false" customHeight="true" outlineLevel="0" collapsed="false">
      <c r="A2" s="278" t="s">
        <v>996</v>
      </c>
      <c r="B2" s="278"/>
      <c r="C2" s="278"/>
      <c r="D2" s="278"/>
      <c r="E2" s="278"/>
      <c r="F2" s="278"/>
      <c r="G2" s="278"/>
      <c r="H2" s="278"/>
      <c r="I2" s="278"/>
      <c r="K2" s="279" t="s">
        <v>997</v>
      </c>
      <c r="L2" s="280" t="n">
        <f aca="false">MBYLLJA_6_7_AUTO!$B$7</f>
        <v>46022</v>
      </c>
    </row>
    <row r="3" customFormat="false" ht="15" hidden="false" customHeight="true" outlineLevel="0" collapsed="false">
      <c r="A3" s="281"/>
      <c r="B3" s="281"/>
      <c r="C3" s="281"/>
      <c r="D3" s="281"/>
      <c r="E3" s="281"/>
      <c r="F3" s="281"/>
      <c r="G3" s="281"/>
      <c r="H3" s="281"/>
      <c r="I3" s="281"/>
      <c r="K3" s="279" t="s">
        <v>998</v>
      </c>
      <c r="L3" s="282" t="n">
        <f aca="false">COUNTIF($C$10:$C$79,"MB-REG-*")/2</f>
        <v>0</v>
      </c>
    </row>
    <row r="4" customFormat="false" ht="15" hidden="false" customHeight="true" outlineLevel="0" collapsed="false">
      <c r="A4" s="283" t="s">
        <v>999</v>
      </c>
      <c r="B4" s="283"/>
      <c r="C4" s="283"/>
      <c r="D4" s="283"/>
      <c r="E4" s="283"/>
      <c r="F4" s="283"/>
      <c r="G4" s="283"/>
      <c r="H4" s="283"/>
      <c r="I4" s="283"/>
      <c r="K4" s="279" t="s">
        <v>1000</v>
      </c>
      <c r="L4" s="284" t="n">
        <f aca="false">SUM($F$10:$F$79)</f>
        <v>0</v>
      </c>
    </row>
    <row r="5" customFormat="false" ht="15" hidden="false" customHeight="true" outlineLevel="0" collapsed="false">
      <c r="A5" s="285" t="s">
        <v>1001</v>
      </c>
      <c r="B5" s="285"/>
      <c r="C5" s="285"/>
      <c r="D5" s="285"/>
      <c r="E5" s="285"/>
      <c r="F5" s="285"/>
      <c r="G5" s="285"/>
      <c r="H5" s="285"/>
      <c r="I5" s="285"/>
      <c r="K5" s="279" t="s">
        <v>1002</v>
      </c>
      <c r="L5" s="284" t="n">
        <f aca="false">SUM($G$10:$G$79)</f>
        <v>0</v>
      </c>
    </row>
    <row r="6" customFormat="false" ht="15" hidden="false" customHeight="true" outlineLevel="0" collapsed="false">
      <c r="A6" s="286" t="s">
        <v>740</v>
      </c>
      <c r="B6" s="286" t="s">
        <v>741</v>
      </c>
      <c r="C6" s="286" t="s">
        <v>742</v>
      </c>
      <c r="D6" s="286" t="s">
        <v>743</v>
      </c>
      <c r="E6" s="287" t="s">
        <v>744</v>
      </c>
      <c r="F6" s="286" t="s">
        <v>212</v>
      </c>
      <c r="G6" s="286" t="s">
        <v>745</v>
      </c>
      <c r="H6" s="286" t="s">
        <v>746</v>
      </c>
      <c r="I6" s="286" t="s">
        <v>747</v>
      </c>
      <c r="K6" s="279" t="s">
        <v>1003</v>
      </c>
      <c r="L6" s="284" t="str">
        <f aca="false">IF(ABS(L4-L5)&lt;0.01,"OK","KONTROLL")</f>
        <v>OK</v>
      </c>
    </row>
    <row r="7" customFormat="false" ht="15" hidden="false" customHeight="true" outlineLevel="0" collapsed="false">
      <c r="A7" s="288"/>
      <c r="B7" s="288"/>
      <c r="C7" s="288"/>
      <c r="D7" s="288"/>
      <c r="E7" s="281"/>
      <c r="F7" s="288"/>
      <c r="G7" s="288"/>
      <c r="H7" s="288"/>
      <c r="I7" s="288"/>
      <c r="K7" s="279" t="s">
        <v>1004</v>
      </c>
      <c r="L7" s="284" t="str">
        <f aca="false">MBYLLJA_6_7_AUTO!$B$13</f>
        <v>GATI — ZGJIDH PO</v>
      </c>
    </row>
    <row r="8" customFormat="false" ht="15" hidden="false" customHeight="true" outlineLevel="0" collapsed="false">
      <c r="A8" s="288"/>
      <c r="B8" s="288"/>
      <c r="C8" s="288"/>
      <c r="D8" s="288"/>
      <c r="E8" s="281"/>
      <c r="F8" s="288"/>
      <c r="G8" s="288"/>
      <c r="H8" s="288"/>
      <c r="I8" s="288"/>
      <c r="K8" s="279" t="s">
        <v>1005</v>
      </c>
      <c r="L8" s="284" t="n">
        <f aca="false">SUM($F$86:$F$124)</f>
        <v>0</v>
      </c>
    </row>
    <row r="9" customFormat="false" ht="15" hidden="false" customHeight="true" outlineLevel="0" collapsed="false">
      <c r="A9" s="288"/>
      <c r="B9" s="288"/>
      <c r="C9" s="288"/>
      <c r="D9" s="288"/>
      <c r="E9" s="281"/>
      <c r="F9" s="288"/>
      <c r="G9" s="288"/>
      <c r="H9" s="288"/>
      <c r="I9" s="288"/>
      <c r="K9" s="289" t="s">
        <v>1006</v>
      </c>
      <c r="L9" s="290" t="n">
        <f aca="false">SUM($G$133:$G$195)</f>
        <v>0</v>
      </c>
    </row>
    <row r="10" customFormat="false" ht="15" hidden="false" customHeight="true" outlineLevel="0" collapsed="false">
      <c r="A10" s="291" t="str">
        <f aca="false">IF(AND(DITAR_MBYLLJE_AUTO!$H$4="GATI PËR POSTIM",DITAR_MBYLLJE_AUTO!$F$4&gt;0),MBYLLJA_6_7_AUTO!$B$7,"")</f>
        <v/>
      </c>
      <c r="B10" s="292" t="str">
        <f aca="false">IF(AND(DITAR_MBYLLJE_AUTO!$H$4="GATI PËR POSTIM",DITAR_MBYLLJE_AUTO!$F$4&gt;0),9001,"")</f>
        <v/>
      </c>
      <c r="C10" s="292" t="str">
        <f aca="false">IF(AND(DITAR_MBYLLJE_AUTO!$H$4="GATI PËR POSTIM",DITAR_MBYLLJE_AUTO!$F$4&gt;0),"MB-REG-"&amp;TEXT(1,"00"),"")</f>
        <v/>
      </c>
      <c r="D10" s="292" t="str">
        <f aca="false">IF(AND(DITAR_MBYLLJE_AUTO!$H$4="GATI PËR POSTIM",DITAR_MBYLLJE_AUTO!$F$4&gt;0),DITAR_MBYLLJE_AUTO!$D$4,"")</f>
        <v/>
      </c>
      <c r="E10" s="292" t="str">
        <f aca="false">IF(D10="","",IFERROR(VLOOKUP(D10,PLANI_LLOGARIVE!$A:$B,2,FALSE()),""))</f>
        <v/>
      </c>
      <c r="F10" s="293" t="str">
        <f aca="false">IF(AND(DITAR_MBYLLJE_AUTO!$H$4="GATI PËR POSTIM",DITAR_MBYLLJE_AUTO!$F$4&gt;0),DITAR_MBYLLJE_AUTO!$F$4,"")</f>
        <v/>
      </c>
      <c r="G10" s="294"/>
      <c r="H10" s="292" t="str">
        <f aca="false">IF(AND(DITAR_MBYLLJE_AUTO!$H$4="GATI PËR POSTIM",DITAR_MBYLLJE_AUTO!$F$4&gt;0),DITAR_MBYLLJE_AUTO!$B$4,"")</f>
        <v/>
      </c>
      <c r="I10" s="292" t="str">
        <f aca="false">IF(AND(DITAR_MBYLLJE_AUTO!$H$4="GATI PËR POSTIM",DITAR_MBYLLJE_AUTO!$F$4&gt;0),DITAR_MBYLLJE_AUTO!$C$4,"")</f>
        <v/>
      </c>
    </row>
    <row r="11" customFormat="false" ht="15" hidden="false" customHeight="true" outlineLevel="0" collapsed="false">
      <c r="A11" s="291" t="str">
        <f aca="false">IF(AND(DITAR_MBYLLJE_AUTO!$H$4="GATI PËR POSTIM",DITAR_MBYLLJE_AUTO!$F$4&gt;0),MBYLLJA_6_7_AUTO!$B$7,"")</f>
        <v/>
      </c>
      <c r="B11" s="292" t="str">
        <f aca="false">IF(AND(DITAR_MBYLLJE_AUTO!$H$4="GATI PËR POSTIM",DITAR_MBYLLJE_AUTO!$F$4&gt;0),9001,"")</f>
        <v/>
      </c>
      <c r="C11" s="292" t="str">
        <f aca="false">IF(AND(DITAR_MBYLLJE_AUTO!$H$4="GATI PËR POSTIM",DITAR_MBYLLJE_AUTO!$F$4&gt;0),"MB-REG-"&amp;TEXT(1,"00"),"")</f>
        <v/>
      </c>
      <c r="D11" s="292" t="str">
        <f aca="false">IF(AND(DITAR_MBYLLJE_AUTO!$H$4="GATI PËR POSTIM",DITAR_MBYLLJE_AUTO!$F$4&gt;0),DITAR_MBYLLJE_AUTO!$E$4,"")</f>
        <v/>
      </c>
      <c r="E11" s="292" t="str">
        <f aca="false">IF(D11="","",IFERROR(VLOOKUP(D11,PLANI_LLOGARIVE!$A:$B,2,FALSE()),""))</f>
        <v/>
      </c>
      <c r="F11" s="294"/>
      <c r="G11" s="293" t="str">
        <f aca="false">IF(AND(DITAR_MBYLLJE_AUTO!$H$4="GATI PËR POSTIM",DITAR_MBYLLJE_AUTO!$F$4&gt;0),DITAR_MBYLLJE_AUTO!$F$4,"")</f>
        <v/>
      </c>
      <c r="H11" s="292" t="str">
        <f aca="false">IF(AND(DITAR_MBYLLJE_AUTO!$H$4="GATI PËR POSTIM",DITAR_MBYLLJE_AUTO!$F$4&gt;0),DITAR_MBYLLJE_AUTO!$B$4,"")</f>
        <v/>
      </c>
      <c r="I11" s="292" t="str">
        <f aca="false">IF(AND(DITAR_MBYLLJE_AUTO!$H$4="GATI PËR POSTIM",DITAR_MBYLLJE_AUTO!$F$4&gt;0),DITAR_MBYLLJE_AUTO!$C$4,"")</f>
        <v/>
      </c>
    </row>
    <row r="12" customFormat="false" ht="15" hidden="false" customHeight="true" outlineLevel="0" collapsed="false">
      <c r="A12" s="291" t="str">
        <f aca="false">IF(AND(DITAR_MBYLLJE_AUTO!$H$5="GATI PËR POSTIM",DITAR_MBYLLJE_AUTO!$F$5&gt;0),MBYLLJA_6_7_AUTO!$B$7,"")</f>
        <v/>
      </c>
      <c r="B12" s="292" t="str">
        <f aca="false">IF(AND(DITAR_MBYLLJE_AUTO!$H$5="GATI PËR POSTIM",DITAR_MBYLLJE_AUTO!$F$5&gt;0),9002,"")</f>
        <v/>
      </c>
      <c r="C12" s="292" t="str">
        <f aca="false">IF(AND(DITAR_MBYLLJE_AUTO!$H$5="GATI PËR POSTIM",DITAR_MBYLLJE_AUTO!$F$5&gt;0),"MB-REG-"&amp;TEXT(2,"00"),"")</f>
        <v/>
      </c>
      <c r="D12" s="292" t="str">
        <f aca="false">IF(AND(DITAR_MBYLLJE_AUTO!$H$5="GATI PËR POSTIM",DITAR_MBYLLJE_AUTO!$F$5&gt;0),DITAR_MBYLLJE_AUTO!$D$5,"")</f>
        <v/>
      </c>
      <c r="E12" s="292" t="str">
        <f aca="false">IF(D12="","",IFERROR(VLOOKUP(D12,PLANI_LLOGARIVE!$A:$B,2,FALSE()),""))</f>
        <v/>
      </c>
      <c r="F12" s="293" t="str">
        <f aca="false">IF(AND(DITAR_MBYLLJE_AUTO!$H$5="GATI PËR POSTIM",DITAR_MBYLLJE_AUTO!$F$5&gt;0),DITAR_MBYLLJE_AUTO!$F$5,"")</f>
        <v/>
      </c>
      <c r="G12" s="294"/>
      <c r="H12" s="292" t="str">
        <f aca="false">IF(AND(DITAR_MBYLLJE_AUTO!$H$5="GATI PËR POSTIM",DITAR_MBYLLJE_AUTO!$F$5&gt;0),DITAR_MBYLLJE_AUTO!$B$5,"")</f>
        <v/>
      </c>
      <c r="I12" s="292" t="str">
        <f aca="false">IF(AND(DITAR_MBYLLJE_AUTO!$H$5="GATI PËR POSTIM",DITAR_MBYLLJE_AUTO!$F$5&gt;0),DITAR_MBYLLJE_AUTO!$C$5,"")</f>
        <v/>
      </c>
    </row>
    <row r="13" customFormat="false" ht="15" hidden="false" customHeight="true" outlineLevel="0" collapsed="false">
      <c r="A13" s="291" t="str">
        <f aca="false">IF(AND(DITAR_MBYLLJE_AUTO!$H$5="GATI PËR POSTIM",DITAR_MBYLLJE_AUTO!$F$5&gt;0),MBYLLJA_6_7_AUTO!$B$7,"")</f>
        <v/>
      </c>
      <c r="B13" s="292" t="str">
        <f aca="false">IF(AND(DITAR_MBYLLJE_AUTO!$H$5="GATI PËR POSTIM",DITAR_MBYLLJE_AUTO!$F$5&gt;0),9002,"")</f>
        <v/>
      </c>
      <c r="C13" s="292" t="str">
        <f aca="false">IF(AND(DITAR_MBYLLJE_AUTO!$H$5="GATI PËR POSTIM",DITAR_MBYLLJE_AUTO!$F$5&gt;0),"MB-REG-"&amp;TEXT(2,"00"),"")</f>
        <v/>
      </c>
      <c r="D13" s="292" t="str">
        <f aca="false">IF(AND(DITAR_MBYLLJE_AUTO!$H$5="GATI PËR POSTIM",DITAR_MBYLLJE_AUTO!$F$5&gt;0),DITAR_MBYLLJE_AUTO!$E$5,"")</f>
        <v/>
      </c>
      <c r="E13" s="292" t="str">
        <f aca="false">IF(D13="","",IFERROR(VLOOKUP(D13,PLANI_LLOGARIVE!$A:$B,2,FALSE()),""))</f>
        <v/>
      </c>
      <c r="F13" s="294"/>
      <c r="G13" s="293" t="str">
        <f aca="false">IF(AND(DITAR_MBYLLJE_AUTO!$H$5="GATI PËR POSTIM",DITAR_MBYLLJE_AUTO!$F$5&gt;0),DITAR_MBYLLJE_AUTO!$F$5,"")</f>
        <v/>
      </c>
      <c r="H13" s="292" t="str">
        <f aca="false">IF(AND(DITAR_MBYLLJE_AUTO!$H$5="GATI PËR POSTIM",DITAR_MBYLLJE_AUTO!$F$5&gt;0),DITAR_MBYLLJE_AUTO!$B$5,"")</f>
        <v/>
      </c>
      <c r="I13" s="292" t="str">
        <f aca="false">IF(AND(DITAR_MBYLLJE_AUTO!$H$5="GATI PËR POSTIM",DITAR_MBYLLJE_AUTO!$F$5&gt;0),DITAR_MBYLLJE_AUTO!$C$5,"")</f>
        <v/>
      </c>
    </row>
    <row r="14" customFormat="false" ht="15" hidden="false" customHeight="true" outlineLevel="0" collapsed="false">
      <c r="A14" s="291" t="str">
        <f aca="false">IF(AND(DITAR_MBYLLJE_AUTO!$H$6="GATI PËR POSTIM",DITAR_MBYLLJE_AUTO!$F$6&gt;0),MBYLLJA_6_7_AUTO!$B$7,"")</f>
        <v/>
      </c>
      <c r="B14" s="292" t="str">
        <f aca="false">IF(AND(DITAR_MBYLLJE_AUTO!$H$6="GATI PËR POSTIM",DITAR_MBYLLJE_AUTO!$F$6&gt;0),9003,"")</f>
        <v/>
      </c>
      <c r="C14" s="292" t="str">
        <f aca="false">IF(AND(DITAR_MBYLLJE_AUTO!$H$6="GATI PËR POSTIM",DITAR_MBYLLJE_AUTO!$F$6&gt;0),"MB-REG-"&amp;TEXT(3,"00"),"")</f>
        <v/>
      </c>
      <c r="D14" s="292" t="str">
        <f aca="false">IF(AND(DITAR_MBYLLJE_AUTO!$H$6="GATI PËR POSTIM",DITAR_MBYLLJE_AUTO!$F$6&gt;0),DITAR_MBYLLJE_AUTO!$D$6,"")</f>
        <v/>
      </c>
      <c r="E14" s="292" t="str">
        <f aca="false">IF(D14="","",IFERROR(VLOOKUP(D14,PLANI_LLOGARIVE!$A:$B,2,FALSE()),""))</f>
        <v/>
      </c>
      <c r="F14" s="293" t="str">
        <f aca="false">IF(AND(DITAR_MBYLLJE_AUTO!$H$6="GATI PËR POSTIM",DITAR_MBYLLJE_AUTO!$F$6&gt;0),DITAR_MBYLLJE_AUTO!$F$6,"")</f>
        <v/>
      </c>
      <c r="G14" s="294"/>
      <c r="H14" s="292" t="str">
        <f aca="false">IF(AND(DITAR_MBYLLJE_AUTO!$H$6="GATI PËR POSTIM",DITAR_MBYLLJE_AUTO!$F$6&gt;0),DITAR_MBYLLJE_AUTO!$B$6,"")</f>
        <v/>
      </c>
      <c r="I14" s="292" t="str">
        <f aca="false">IF(AND(DITAR_MBYLLJE_AUTO!$H$6="GATI PËR POSTIM",DITAR_MBYLLJE_AUTO!$F$6&gt;0),DITAR_MBYLLJE_AUTO!$C$6,"")</f>
        <v/>
      </c>
    </row>
    <row r="15" customFormat="false" ht="15" hidden="false" customHeight="true" outlineLevel="0" collapsed="false">
      <c r="A15" s="291" t="str">
        <f aca="false">IF(AND(DITAR_MBYLLJE_AUTO!$H$6="GATI PËR POSTIM",DITAR_MBYLLJE_AUTO!$F$6&gt;0),MBYLLJA_6_7_AUTO!$B$7,"")</f>
        <v/>
      </c>
      <c r="B15" s="292" t="str">
        <f aca="false">IF(AND(DITAR_MBYLLJE_AUTO!$H$6="GATI PËR POSTIM",DITAR_MBYLLJE_AUTO!$F$6&gt;0),9003,"")</f>
        <v/>
      </c>
      <c r="C15" s="292" t="str">
        <f aca="false">IF(AND(DITAR_MBYLLJE_AUTO!$H$6="GATI PËR POSTIM",DITAR_MBYLLJE_AUTO!$F$6&gt;0),"MB-REG-"&amp;TEXT(3,"00"),"")</f>
        <v/>
      </c>
      <c r="D15" s="292" t="str">
        <f aca="false">IF(AND(DITAR_MBYLLJE_AUTO!$H$6="GATI PËR POSTIM",DITAR_MBYLLJE_AUTO!$F$6&gt;0),DITAR_MBYLLJE_AUTO!$E$6,"")</f>
        <v/>
      </c>
      <c r="E15" s="292" t="str">
        <f aca="false">IF(D15="","",IFERROR(VLOOKUP(D15,PLANI_LLOGARIVE!$A:$B,2,FALSE()),""))</f>
        <v/>
      </c>
      <c r="F15" s="294"/>
      <c r="G15" s="293" t="str">
        <f aca="false">IF(AND(DITAR_MBYLLJE_AUTO!$H$6="GATI PËR POSTIM",DITAR_MBYLLJE_AUTO!$F$6&gt;0),DITAR_MBYLLJE_AUTO!$F$6,"")</f>
        <v/>
      </c>
      <c r="H15" s="292" t="str">
        <f aca="false">IF(AND(DITAR_MBYLLJE_AUTO!$H$6="GATI PËR POSTIM",DITAR_MBYLLJE_AUTO!$F$6&gt;0),DITAR_MBYLLJE_AUTO!$B$6,"")</f>
        <v/>
      </c>
      <c r="I15" s="292" t="str">
        <f aca="false">IF(AND(DITAR_MBYLLJE_AUTO!$H$6="GATI PËR POSTIM",DITAR_MBYLLJE_AUTO!$F$6&gt;0),DITAR_MBYLLJE_AUTO!$C$6,"")</f>
        <v/>
      </c>
    </row>
    <row r="16" customFormat="false" ht="15" hidden="false" customHeight="true" outlineLevel="0" collapsed="false">
      <c r="A16" s="291" t="str">
        <f aca="false">IF(AND(DITAR_MBYLLJE_AUTO!$H$7="GATI PËR POSTIM",DITAR_MBYLLJE_AUTO!$F$7&gt;0),MBYLLJA_6_7_AUTO!$B$7,"")</f>
        <v/>
      </c>
      <c r="B16" s="292" t="str">
        <f aca="false">IF(AND(DITAR_MBYLLJE_AUTO!$H$7="GATI PËR POSTIM",DITAR_MBYLLJE_AUTO!$F$7&gt;0),9004,"")</f>
        <v/>
      </c>
      <c r="C16" s="292" t="str">
        <f aca="false">IF(AND(DITAR_MBYLLJE_AUTO!$H$7="GATI PËR POSTIM",DITAR_MBYLLJE_AUTO!$F$7&gt;0),"MB-REG-"&amp;TEXT(4,"00"),"")</f>
        <v/>
      </c>
      <c r="D16" s="292" t="str">
        <f aca="false">IF(AND(DITAR_MBYLLJE_AUTO!$H$7="GATI PËR POSTIM",DITAR_MBYLLJE_AUTO!$F$7&gt;0),DITAR_MBYLLJE_AUTO!$D$7,"")</f>
        <v/>
      </c>
      <c r="E16" s="292" t="str">
        <f aca="false">IF(D16="","",IFERROR(VLOOKUP(D16,PLANI_LLOGARIVE!$A:$B,2,FALSE()),""))</f>
        <v/>
      </c>
      <c r="F16" s="293" t="str">
        <f aca="false">IF(AND(DITAR_MBYLLJE_AUTO!$H$7="GATI PËR POSTIM",DITAR_MBYLLJE_AUTO!$F$7&gt;0),DITAR_MBYLLJE_AUTO!$F$7,"")</f>
        <v/>
      </c>
      <c r="G16" s="294"/>
      <c r="H16" s="292" t="str">
        <f aca="false">IF(AND(DITAR_MBYLLJE_AUTO!$H$7="GATI PËR POSTIM",DITAR_MBYLLJE_AUTO!$F$7&gt;0),DITAR_MBYLLJE_AUTO!$B$7,"")</f>
        <v/>
      </c>
      <c r="I16" s="292" t="str">
        <f aca="false">IF(AND(DITAR_MBYLLJE_AUTO!$H$7="GATI PËR POSTIM",DITAR_MBYLLJE_AUTO!$F$7&gt;0),DITAR_MBYLLJE_AUTO!$C$7,"")</f>
        <v/>
      </c>
    </row>
    <row r="17" customFormat="false" ht="15" hidden="false" customHeight="true" outlineLevel="0" collapsed="false">
      <c r="A17" s="291" t="str">
        <f aca="false">IF(AND(DITAR_MBYLLJE_AUTO!$H$7="GATI PËR POSTIM",DITAR_MBYLLJE_AUTO!$F$7&gt;0),MBYLLJA_6_7_AUTO!$B$7,"")</f>
        <v/>
      </c>
      <c r="B17" s="292" t="str">
        <f aca="false">IF(AND(DITAR_MBYLLJE_AUTO!$H$7="GATI PËR POSTIM",DITAR_MBYLLJE_AUTO!$F$7&gt;0),9004,"")</f>
        <v/>
      </c>
      <c r="C17" s="292" t="str">
        <f aca="false">IF(AND(DITAR_MBYLLJE_AUTO!$H$7="GATI PËR POSTIM",DITAR_MBYLLJE_AUTO!$F$7&gt;0),"MB-REG-"&amp;TEXT(4,"00"),"")</f>
        <v/>
      </c>
      <c r="D17" s="292" t="str">
        <f aca="false">IF(AND(DITAR_MBYLLJE_AUTO!$H$7="GATI PËR POSTIM",DITAR_MBYLLJE_AUTO!$F$7&gt;0),DITAR_MBYLLJE_AUTO!$E$7,"")</f>
        <v/>
      </c>
      <c r="E17" s="292" t="str">
        <f aca="false">IF(D17="","",IFERROR(VLOOKUP(D17,PLANI_LLOGARIVE!$A:$B,2,FALSE()),""))</f>
        <v/>
      </c>
      <c r="F17" s="294"/>
      <c r="G17" s="293" t="str">
        <f aca="false">IF(AND(DITAR_MBYLLJE_AUTO!$H$7="GATI PËR POSTIM",DITAR_MBYLLJE_AUTO!$F$7&gt;0),DITAR_MBYLLJE_AUTO!$F$7,"")</f>
        <v/>
      </c>
      <c r="H17" s="292" t="str">
        <f aca="false">IF(AND(DITAR_MBYLLJE_AUTO!$H$7="GATI PËR POSTIM",DITAR_MBYLLJE_AUTO!$F$7&gt;0),DITAR_MBYLLJE_AUTO!$B$7,"")</f>
        <v/>
      </c>
      <c r="I17" s="292" t="str">
        <f aca="false">IF(AND(DITAR_MBYLLJE_AUTO!$H$7="GATI PËR POSTIM",DITAR_MBYLLJE_AUTO!$F$7&gt;0),DITAR_MBYLLJE_AUTO!$C$7,"")</f>
        <v/>
      </c>
    </row>
    <row r="18" customFormat="false" ht="15" hidden="false" customHeight="true" outlineLevel="0" collapsed="false">
      <c r="A18" s="291" t="str">
        <f aca="false">IF(AND(DITAR_MBYLLJE_AUTO!$H$8="GATI PËR POSTIM",DITAR_MBYLLJE_AUTO!$F$8&gt;0),MBYLLJA_6_7_AUTO!$B$7,"")</f>
        <v/>
      </c>
      <c r="B18" s="292" t="str">
        <f aca="false">IF(AND(DITAR_MBYLLJE_AUTO!$H$8="GATI PËR POSTIM",DITAR_MBYLLJE_AUTO!$F$8&gt;0),9005,"")</f>
        <v/>
      </c>
      <c r="C18" s="292" t="str">
        <f aca="false">IF(AND(DITAR_MBYLLJE_AUTO!$H$8="GATI PËR POSTIM",DITAR_MBYLLJE_AUTO!$F$8&gt;0),"MB-REG-"&amp;TEXT(5,"00"),"")</f>
        <v/>
      </c>
      <c r="D18" s="292" t="str">
        <f aca="false">IF(AND(DITAR_MBYLLJE_AUTO!$H$8="GATI PËR POSTIM",DITAR_MBYLLJE_AUTO!$F$8&gt;0),DITAR_MBYLLJE_AUTO!$D$8,"")</f>
        <v/>
      </c>
      <c r="E18" s="292" t="str">
        <f aca="false">IF(D18="","",IFERROR(VLOOKUP(D18,PLANI_LLOGARIVE!$A:$B,2,FALSE()),""))</f>
        <v/>
      </c>
      <c r="F18" s="293" t="str">
        <f aca="false">IF(AND(DITAR_MBYLLJE_AUTO!$H$8="GATI PËR POSTIM",DITAR_MBYLLJE_AUTO!$F$8&gt;0),DITAR_MBYLLJE_AUTO!$F$8,"")</f>
        <v/>
      </c>
      <c r="G18" s="294"/>
      <c r="H18" s="292" t="str">
        <f aca="false">IF(AND(DITAR_MBYLLJE_AUTO!$H$8="GATI PËR POSTIM",DITAR_MBYLLJE_AUTO!$F$8&gt;0),DITAR_MBYLLJE_AUTO!$B$8,"")</f>
        <v/>
      </c>
      <c r="I18" s="292" t="str">
        <f aca="false">IF(AND(DITAR_MBYLLJE_AUTO!$H$8="GATI PËR POSTIM",DITAR_MBYLLJE_AUTO!$F$8&gt;0),DITAR_MBYLLJE_AUTO!$C$8,"")</f>
        <v/>
      </c>
    </row>
    <row r="19" customFormat="false" ht="15" hidden="false" customHeight="true" outlineLevel="0" collapsed="false">
      <c r="A19" s="291" t="str">
        <f aca="false">IF(AND(DITAR_MBYLLJE_AUTO!$H$8="GATI PËR POSTIM",DITAR_MBYLLJE_AUTO!$F$8&gt;0),MBYLLJA_6_7_AUTO!$B$7,"")</f>
        <v/>
      </c>
      <c r="B19" s="292" t="str">
        <f aca="false">IF(AND(DITAR_MBYLLJE_AUTO!$H$8="GATI PËR POSTIM",DITAR_MBYLLJE_AUTO!$F$8&gt;0),9005,"")</f>
        <v/>
      </c>
      <c r="C19" s="292" t="str">
        <f aca="false">IF(AND(DITAR_MBYLLJE_AUTO!$H$8="GATI PËR POSTIM",DITAR_MBYLLJE_AUTO!$F$8&gt;0),"MB-REG-"&amp;TEXT(5,"00"),"")</f>
        <v/>
      </c>
      <c r="D19" s="292" t="str">
        <f aca="false">IF(AND(DITAR_MBYLLJE_AUTO!$H$8="GATI PËR POSTIM",DITAR_MBYLLJE_AUTO!$F$8&gt;0),DITAR_MBYLLJE_AUTO!$E$8,"")</f>
        <v/>
      </c>
      <c r="E19" s="292" t="str">
        <f aca="false">IF(D19="","",IFERROR(VLOOKUP(D19,PLANI_LLOGARIVE!$A:$B,2,FALSE()),""))</f>
        <v/>
      </c>
      <c r="F19" s="294"/>
      <c r="G19" s="293" t="str">
        <f aca="false">IF(AND(DITAR_MBYLLJE_AUTO!$H$8="GATI PËR POSTIM",DITAR_MBYLLJE_AUTO!$F$8&gt;0),DITAR_MBYLLJE_AUTO!$F$8,"")</f>
        <v/>
      </c>
      <c r="H19" s="292" t="str">
        <f aca="false">IF(AND(DITAR_MBYLLJE_AUTO!$H$8="GATI PËR POSTIM",DITAR_MBYLLJE_AUTO!$F$8&gt;0),DITAR_MBYLLJE_AUTO!$B$8,"")</f>
        <v/>
      </c>
      <c r="I19" s="292" t="str">
        <f aca="false">IF(AND(DITAR_MBYLLJE_AUTO!$H$8="GATI PËR POSTIM",DITAR_MBYLLJE_AUTO!$F$8&gt;0),DITAR_MBYLLJE_AUTO!$C$8,"")</f>
        <v/>
      </c>
    </row>
    <row r="20" customFormat="false" ht="15" hidden="false" customHeight="true" outlineLevel="0" collapsed="false">
      <c r="A20" s="291" t="str">
        <f aca="false">IF(AND(DITAR_MBYLLJE_AUTO!$H$9="GATI PËR POSTIM",DITAR_MBYLLJE_AUTO!$F$9&gt;0),MBYLLJA_6_7_AUTO!$B$7,"")</f>
        <v/>
      </c>
      <c r="B20" s="292" t="str">
        <f aca="false">IF(AND(DITAR_MBYLLJE_AUTO!$H$9="GATI PËR POSTIM",DITAR_MBYLLJE_AUTO!$F$9&gt;0),9006,"")</f>
        <v/>
      </c>
      <c r="C20" s="292" t="str">
        <f aca="false">IF(AND(DITAR_MBYLLJE_AUTO!$H$9="GATI PËR POSTIM",DITAR_MBYLLJE_AUTO!$F$9&gt;0),"MB-REG-"&amp;TEXT(6,"00"),"")</f>
        <v/>
      </c>
      <c r="D20" s="292" t="str">
        <f aca="false">IF(AND(DITAR_MBYLLJE_AUTO!$H$9="GATI PËR POSTIM",DITAR_MBYLLJE_AUTO!$F$9&gt;0),DITAR_MBYLLJE_AUTO!$D$9,"")</f>
        <v/>
      </c>
      <c r="E20" s="292" t="str">
        <f aca="false">IF(D20="","",IFERROR(VLOOKUP(D20,PLANI_LLOGARIVE!$A:$B,2,FALSE()),""))</f>
        <v/>
      </c>
      <c r="F20" s="293" t="str">
        <f aca="false">IF(AND(DITAR_MBYLLJE_AUTO!$H$9="GATI PËR POSTIM",DITAR_MBYLLJE_AUTO!$F$9&gt;0),DITAR_MBYLLJE_AUTO!$F$9,"")</f>
        <v/>
      </c>
      <c r="G20" s="294"/>
      <c r="H20" s="292" t="str">
        <f aca="false">IF(AND(DITAR_MBYLLJE_AUTO!$H$9="GATI PËR POSTIM",DITAR_MBYLLJE_AUTO!$F$9&gt;0),DITAR_MBYLLJE_AUTO!$B$9,"")</f>
        <v/>
      </c>
      <c r="I20" s="292" t="str">
        <f aca="false">IF(AND(DITAR_MBYLLJE_AUTO!$H$9="GATI PËR POSTIM",DITAR_MBYLLJE_AUTO!$F$9&gt;0),DITAR_MBYLLJE_AUTO!$C$9,"")</f>
        <v/>
      </c>
    </row>
    <row r="21" customFormat="false" ht="15" hidden="false" customHeight="true" outlineLevel="0" collapsed="false">
      <c r="A21" s="291" t="str">
        <f aca="false">IF(AND(DITAR_MBYLLJE_AUTO!$H$9="GATI PËR POSTIM",DITAR_MBYLLJE_AUTO!$F$9&gt;0),MBYLLJA_6_7_AUTO!$B$7,"")</f>
        <v/>
      </c>
      <c r="B21" s="292" t="str">
        <f aca="false">IF(AND(DITAR_MBYLLJE_AUTO!$H$9="GATI PËR POSTIM",DITAR_MBYLLJE_AUTO!$F$9&gt;0),9006,"")</f>
        <v/>
      </c>
      <c r="C21" s="292" t="str">
        <f aca="false">IF(AND(DITAR_MBYLLJE_AUTO!$H$9="GATI PËR POSTIM",DITAR_MBYLLJE_AUTO!$F$9&gt;0),"MB-REG-"&amp;TEXT(6,"00"),"")</f>
        <v/>
      </c>
      <c r="D21" s="292" t="str">
        <f aca="false">IF(AND(DITAR_MBYLLJE_AUTO!$H$9="GATI PËR POSTIM",DITAR_MBYLLJE_AUTO!$F$9&gt;0),DITAR_MBYLLJE_AUTO!$E$9,"")</f>
        <v/>
      </c>
      <c r="E21" s="292" t="str">
        <f aca="false">IF(D21="","",IFERROR(VLOOKUP(D21,PLANI_LLOGARIVE!$A:$B,2,FALSE()),""))</f>
        <v/>
      </c>
      <c r="F21" s="294"/>
      <c r="G21" s="293" t="str">
        <f aca="false">IF(AND(DITAR_MBYLLJE_AUTO!$H$9="GATI PËR POSTIM",DITAR_MBYLLJE_AUTO!$F$9&gt;0),DITAR_MBYLLJE_AUTO!$F$9,"")</f>
        <v/>
      </c>
      <c r="H21" s="292" t="str">
        <f aca="false">IF(AND(DITAR_MBYLLJE_AUTO!$H$9="GATI PËR POSTIM",DITAR_MBYLLJE_AUTO!$F$9&gt;0),DITAR_MBYLLJE_AUTO!$B$9,"")</f>
        <v/>
      </c>
      <c r="I21" s="292" t="str">
        <f aca="false">IF(AND(DITAR_MBYLLJE_AUTO!$H$9="GATI PËR POSTIM",DITAR_MBYLLJE_AUTO!$F$9&gt;0),DITAR_MBYLLJE_AUTO!$C$9,"")</f>
        <v/>
      </c>
    </row>
    <row r="22" customFormat="false" ht="15" hidden="false" customHeight="true" outlineLevel="0" collapsed="false">
      <c r="A22" s="291" t="str">
        <f aca="false">IF(AND(DITAR_MBYLLJE_AUTO!$H$10="GATI PËR POSTIM",DITAR_MBYLLJE_AUTO!$F$10&gt;0),MBYLLJA_6_7_AUTO!$B$7,"")</f>
        <v/>
      </c>
      <c r="B22" s="292" t="str">
        <f aca="false">IF(AND(DITAR_MBYLLJE_AUTO!$H$10="GATI PËR POSTIM",DITAR_MBYLLJE_AUTO!$F$10&gt;0),9007,"")</f>
        <v/>
      </c>
      <c r="C22" s="292" t="str">
        <f aca="false">IF(AND(DITAR_MBYLLJE_AUTO!$H$10="GATI PËR POSTIM",DITAR_MBYLLJE_AUTO!$F$10&gt;0),"MB-REG-"&amp;TEXT(7,"00"),"")</f>
        <v/>
      </c>
      <c r="D22" s="292" t="str">
        <f aca="false">IF(AND(DITAR_MBYLLJE_AUTO!$H$10="GATI PËR POSTIM",DITAR_MBYLLJE_AUTO!$F$10&gt;0),DITAR_MBYLLJE_AUTO!$D$10,"")</f>
        <v/>
      </c>
      <c r="E22" s="292" t="str">
        <f aca="false">IF(D22="","",IFERROR(VLOOKUP(D22,PLANI_LLOGARIVE!$A:$B,2,FALSE()),""))</f>
        <v/>
      </c>
      <c r="F22" s="293" t="str">
        <f aca="false">IF(AND(DITAR_MBYLLJE_AUTO!$H$10="GATI PËR POSTIM",DITAR_MBYLLJE_AUTO!$F$10&gt;0),DITAR_MBYLLJE_AUTO!$F$10,"")</f>
        <v/>
      </c>
      <c r="G22" s="294"/>
      <c r="H22" s="292" t="str">
        <f aca="false">IF(AND(DITAR_MBYLLJE_AUTO!$H$10="GATI PËR POSTIM",DITAR_MBYLLJE_AUTO!$F$10&gt;0),DITAR_MBYLLJE_AUTO!$B$10,"")</f>
        <v/>
      </c>
      <c r="I22" s="292" t="str">
        <f aca="false">IF(AND(DITAR_MBYLLJE_AUTO!$H$10="GATI PËR POSTIM",DITAR_MBYLLJE_AUTO!$F$10&gt;0),DITAR_MBYLLJE_AUTO!$C$10,"")</f>
        <v/>
      </c>
    </row>
    <row r="23" customFormat="false" ht="15" hidden="false" customHeight="true" outlineLevel="0" collapsed="false">
      <c r="A23" s="291" t="str">
        <f aca="false">IF(AND(DITAR_MBYLLJE_AUTO!$H$10="GATI PËR POSTIM",DITAR_MBYLLJE_AUTO!$F$10&gt;0),MBYLLJA_6_7_AUTO!$B$7,"")</f>
        <v/>
      </c>
      <c r="B23" s="292" t="str">
        <f aca="false">IF(AND(DITAR_MBYLLJE_AUTO!$H$10="GATI PËR POSTIM",DITAR_MBYLLJE_AUTO!$F$10&gt;0),9007,"")</f>
        <v/>
      </c>
      <c r="C23" s="292" t="str">
        <f aca="false">IF(AND(DITAR_MBYLLJE_AUTO!$H$10="GATI PËR POSTIM",DITAR_MBYLLJE_AUTO!$F$10&gt;0),"MB-REG-"&amp;TEXT(7,"00"),"")</f>
        <v/>
      </c>
      <c r="D23" s="292" t="str">
        <f aca="false">IF(AND(DITAR_MBYLLJE_AUTO!$H$10="GATI PËR POSTIM",DITAR_MBYLLJE_AUTO!$F$10&gt;0),DITAR_MBYLLJE_AUTO!$E$10,"")</f>
        <v/>
      </c>
      <c r="E23" s="292" t="str">
        <f aca="false">IF(D23="","",IFERROR(VLOOKUP(D23,PLANI_LLOGARIVE!$A:$B,2,FALSE()),""))</f>
        <v/>
      </c>
      <c r="F23" s="294"/>
      <c r="G23" s="293" t="str">
        <f aca="false">IF(AND(DITAR_MBYLLJE_AUTO!$H$10="GATI PËR POSTIM",DITAR_MBYLLJE_AUTO!$F$10&gt;0),DITAR_MBYLLJE_AUTO!$F$10,"")</f>
        <v/>
      </c>
      <c r="H23" s="292" t="str">
        <f aca="false">IF(AND(DITAR_MBYLLJE_AUTO!$H$10="GATI PËR POSTIM",DITAR_MBYLLJE_AUTO!$F$10&gt;0),DITAR_MBYLLJE_AUTO!$B$10,"")</f>
        <v/>
      </c>
      <c r="I23" s="292" t="str">
        <f aca="false">IF(AND(DITAR_MBYLLJE_AUTO!$H$10="GATI PËR POSTIM",DITAR_MBYLLJE_AUTO!$F$10&gt;0),DITAR_MBYLLJE_AUTO!$C$10,"")</f>
        <v/>
      </c>
    </row>
    <row r="24" customFormat="false" ht="15" hidden="false" customHeight="true" outlineLevel="0" collapsed="false">
      <c r="A24" s="291" t="str">
        <f aca="false">IF(AND(DITAR_MBYLLJE_AUTO!$H$11="GATI PËR POSTIM",DITAR_MBYLLJE_AUTO!$F$11&gt;0),MBYLLJA_6_7_AUTO!$B$7,"")</f>
        <v/>
      </c>
      <c r="B24" s="292" t="str">
        <f aca="false">IF(AND(DITAR_MBYLLJE_AUTO!$H$11="GATI PËR POSTIM",DITAR_MBYLLJE_AUTO!$F$11&gt;0),9008,"")</f>
        <v/>
      </c>
      <c r="C24" s="292" t="str">
        <f aca="false">IF(AND(DITAR_MBYLLJE_AUTO!$H$11="GATI PËR POSTIM",DITAR_MBYLLJE_AUTO!$F$11&gt;0),"MB-REG-"&amp;TEXT(8,"00"),"")</f>
        <v/>
      </c>
      <c r="D24" s="292" t="str">
        <f aca="false">IF(AND(DITAR_MBYLLJE_AUTO!$H$11="GATI PËR POSTIM",DITAR_MBYLLJE_AUTO!$F$11&gt;0),DITAR_MBYLLJE_AUTO!$D$11,"")</f>
        <v/>
      </c>
      <c r="E24" s="292" t="str">
        <f aca="false">IF(D24="","",IFERROR(VLOOKUP(D24,PLANI_LLOGARIVE!$A:$B,2,FALSE()),""))</f>
        <v/>
      </c>
      <c r="F24" s="293" t="str">
        <f aca="false">IF(AND(DITAR_MBYLLJE_AUTO!$H$11="GATI PËR POSTIM",DITAR_MBYLLJE_AUTO!$F$11&gt;0),DITAR_MBYLLJE_AUTO!$F$11,"")</f>
        <v/>
      </c>
      <c r="G24" s="294"/>
      <c r="H24" s="292" t="str">
        <f aca="false">IF(AND(DITAR_MBYLLJE_AUTO!$H$11="GATI PËR POSTIM",DITAR_MBYLLJE_AUTO!$F$11&gt;0),DITAR_MBYLLJE_AUTO!$B$11,"")</f>
        <v/>
      </c>
      <c r="I24" s="292" t="str">
        <f aca="false">IF(AND(DITAR_MBYLLJE_AUTO!$H$11="GATI PËR POSTIM",DITAR_MBYLLJE_AUTO!$F$11&gt;0),DITAR_MBYLLJE_AUTO!$C$11,"")</f>
        <v/>
      </c>
    </row>
    <row r="25" customFormat="false" ht="15" hidden="false" customHeight="true" outlineLevel="0" collapsed="false">
      <c r="A25" s="291" t="str">
        <f aca="false">IF(AND(DITAR_MBYLLJE_AUTO!$H$11="GATI PËR POSTIM",DITAR_MBYLLJE_AUTO!$F$11&gt;0),MBYLLJA_6_7_AUTO!$B$7,"")</f>
        <v/>
      </c>
      <c r="B25" s="292" t="str">
        <f aca="false">IF(AND(DITAR_MBYLLJE_AUTO!$H$11="GATI PËR POSTIM",DITAR_MBYLLJE_AUTO!$F$11&gt;0),9008,"")</f>
        <v/>
      </c>
      <c r="C25" s="292" t="str">
        <f aca="false">IF(AND(DITAR_MBYLLJE_AUTO!$H$11="GATI PËR POSTIM",DITAR_MBYLLJE_AUTO!$F$11&gt;0),"MB-REG-"&amp;TEXT(8,"00"),"")</f>
        <v/>
      </c>
      <c r="D25" s="292" t="str">
        <f aca="false">IF(AND(DITAR_MBYLLJE_AUTO!$H$11="GATI PËR POSTIM",DITAR_MBYLLJE_AUTO!$F$11&gt;0),DITAR_MBYLLJE_AUTO!$E$11,"")</f>
        <v/>
      </c>
      <c r="E25" s="292" t="str">
        <f aca="false">IF(D25="","",IFERROR(VLOOKUP(D25,PLANI_LLOGARIVE!$A:$B,2,FALSE()),""))</f>
        <v/>
      </c>
      <c r="F25" s="294"/>
      <c r="G25" s="293" t="str">
        <f aca="false">IF(AND(DITAR_MBYLLJE_AUTO!$H$11="GATI PËR POSTIM",DITAR_MBYLLJE_AUTO!$F$11&gt;0),DITAR_MBYLLJE_AUTO!$F$11,"")</f>
        <v/>
      </c>
      <c r="H25" s="292" t="str">
        <f aca="false">IF(AND(DITAR_MBYLLJE_AUTO!$H$11="GATI PËR POSTIM",DITAR_MBYLLJE_AUTO!$F$11&gt;0),DITAR_MBYLLJE_AUTO!$B$11,"")</f>
        <v/>
      </c>
      <c r="I25" s="292" t="str">
        <f aca="false">IF(AND(DITAR_MBYLLJE_AUTO!$H$11="GATI PËR POSTIM",DITAR_MBYLLJE_AUTO!$F$11&gt;0),DITAR_MBYLLJE_AUTO!$C$11,"")</f>
        <v/>
      </c>
    </row>
    <row r="26" customFormat="false" ht="15" hidden="false" customHeight="true" outlineLevel="0" collapsed="false">
      <c r="A26" s="291" t="str">
        <f aca="false">IF(AND(DITAR_MBYLLJE_AUTO!$H$12="GATI PËR POSTIM",DITAR_MBYLLJE_AUTO!$F$12&gt;0),MBYLLJA_6_7_AUTO!$B$7,"")</f>
        <v/>
      </c>
      <c r="B26" s="292" t="str">
        <f aca="false">IF(AND(DITAR_MBYLLJE_AUTO!$H$12="GATI PËR POSTIM",DITAR_MBYLLJE_AUTO!$F$12&gt;0),9009,"")</f>
        <v/>
      </c>
      <c r="C26" s="292" t="str">
        <f aca="false">IF(AND(DITAR_MBYLLJE_AUTO!$H$12="GATI PËR POSTIM",DITAR_MBYLLJE_AUTO!$F$12&gt;0),"MB-REG-"&amp;TEXT(9,"00"),"")</f>
        <v/>
      </c>
      <c r="D26" s="292" t="str">
        <f aca="false">IF(AND(DITAR_MBYLLJE_AUTO!$H$12="GATI PËR POSTIM",DITAR_MBYLLJE_AUTO!$F$12&gt;0),DITAR_MBYLLJE_AUTO!$D$12,"")</f>
        <v/>
      </c>
      <c r="E26" s="292" t="str">
        <f aca="false">IF(D26="","",IFERROR(VLOOKUP(D26,PLANI_LLOGARIVE!$A:$B,2,FALSE()),""))</f>
        <v/>
      </c>
      <c r="F26" s="293" t="str">
        <f aca="false">IF(AND(DITAR_MBYLLJE_AUTO!$H$12="GATI PËR POSTIM",DITAR_MBYLLJE_AUTO!$F$12&gt;0),DITAR_MBYLLJE_AUTO!$F$12,"")</f>
        <v/>
      </c>
      <c r="G26" s="294"/>
      <c r="H26" s="292" t="str">
        <f aca="false">IF(AND(DITAR_MBYLLJE_AUTO!$H$12="GATI PËR POSTIM",DITAR_MBYLLJE_AUTO!$F$12&gt;0),DITAR_MBYLLJE_AUTO!$B$12,"")</f>
        <v/>
      </c>
      <c r="I26" s="292" t="str">
        <f aca="false">IF(AND(DITAR_MBYLLJE_AUTO!$H$12="GATI PËR POSTIM",DITAR_MBYLLJE_AUTO!$F$12&gt;0),DITAR_MBYLLJE_AUTO!$C$12,"")</f>
        <v/>
      </c>
    </row>
    <row r="27" customFormat="false" ht="15" hidden="false" customHeight="true" outlineLevel="0" collapsed="false">
      <c r="A27" s="291" t="str">
        <f aca="false">IF(AND(DITAR_MBYLLJE_AUTO!$H$12="GATI PËR POSTIM",DITAR_MBYLLJE_AUTO!$F$12&gt;0),MBYLLJA_6_7_AUTO!$B$7,"")</f>
        <v/>
      </c>
      <c r="B27" s="292" t="str">
        <f aca="false">IF(AND(DITAR_MBYLLJE_AUTO!$H$12="GATI PËR POSTIM",DITAR_MBYLLJE_AUTO!$F$12&gt;0),9009,"")</f>
        <v/>
      </c>
      <c r="C27" s="292" t="str">
        <f aca="false">IF(AND(DITAR_MBYLLJE_AUTO!$H$12="GATI PËR POSTIM",DITAR_MBYLLJE_AUTO!$F$12&gt;0),"MB-REG-"&amp;TEXT(9,"00"),"")</f>
        <v/>
      </c>
      <c r="D27" s="292" t="str">
        <f aca="false">IF(AND(DITAR_MBYLLJE_AUTO!$H$12="GATI PËR POSTIM",DITAR_MBYLLJE_AUTO!$F$12&gt;0),DITAR_MBYLLJE_AUTO!$E$12,"")</f>
        <v/>
      </c>
      <c r="E27" s="292" t="str">
        <f aca="false">IF(D27="","",IFERROR(VLOOKUP(D27,PLANI_LLOGARIVE!$A:$B,2,FALSE()),""))</f>
        <v/>
      </c>
      <c r="F27" s="294"/>
      <c r="G27" s="293" t="str">
        <f aca="false">IF(AND(DITAR_MBYLLJE_AUTO!$H$12="GATI PËR POSTIM",DITAR_MBYLLJE_AUTO!$F$12&gt;0),DITAR_MBYLLJE_AUTO!$F$12,"")</f>
        <v/>
      </c>
      <c r="H27" s="292" t="str">
        <f aca="false">IF(AND(DITAR_MBYLLJE_AUTO!$H$12="GATI PËR POSTIM",DITAR_MBYLLJE_AUTO!$F$12&gt;0),DITAR_MBYLLJE_AUTO!$B$12,"")</f>
        <v/>
      </c>
      <c r="I27" s="292" t="str">
        <f aca="false">IF(AND(DITAR_MBYLLJE_AUTO!$H$12="GATI PËR POSTIM",DITAR_MBYLLJE_AUTO!$F$12&gt;0),DITAR_MBYLLJE_AUTO!$C$12,"")</f>
        <v/>
      </c>
    </row>
    <row r="28" customFormat="false" ht="15" hidden="false" customHeight="true" outlineLevel="0" collapsed="false">
      <c r="A28" s="291" t="str">
        <f aca="false">IF(AND(DITAR_MBYLLJE_AUTO!$H$13="GATI PËR POSTIM",DITAR_MBYLLJE_AUTO!$F$13&gt;0),MBYLLJA_6_7_AUTO!$B$7,"")</f>
        <v/>
      </c>
      <c r="B28" s="292" t="str">
        <f aca="false">IF(AND(DITAR_MBYLLJE_AUTO!$H$13="GATI PËR POSTIM",DITAR_MBYLLJE_AUTO!$F$13&gt;0),9010,"")</f>
        <v/>
      </c>
      <c r="C28" s="292" t="str">
        <f aca="false">IF(AND(DITAR_MBYLLJE_AUTO!$H$13="GATI PËR POSTIM",DITAR_MBYLLJE_AUTO!$F$13&gt;0),"MB-REG-"&amp;TEXT(10,"00"),"")</f>
        <v/>
      </c>
      <c r="D28" s="292" t="str">
        <f aca="false">IF(AND(DITAR_MBYLLJE_AUTO!$H$13="GATI PËR POSTIM",DITAR_MBYLLJE_AUTO!$F$13&gt;0),DITAR_MBYLLJE_AUTO!$D$13,"")</f>
        <v/>
      </c>
      <c r="E28" s="292" t="str">
        <f aca="false">IF(D28="","",IFERROR(VLOOKUP(D28,PLANI_LLOGARIVE!$A:$B,2,FALSE()),""))</f>
        <v/>
      </c>
      <c r="F28" s="293" t="str">
        <f aca="false">IF(AND(DITAR_MBYLLJE_AUTO!$H$13="GATI PËR POSTIM",DITAR_MBYLLJE_AUTO!$F$13&gt;0),DITAR_MBYLLJE_AUTO!$F$13,"")</f>
        <v/>
      </c>
      <c r="G28" s="294"/>
      <c r="H28" s="292" t="str">
        <f aca="false">IF(AND(DITAR_MBYLLJE_AUTO!$H$13="GATI PËR POSTIM",DITAR_MBYLLJE_AUTO!$F$13&gt;0),DITAR_MBYLLJE_AUTO!$B$13,"")</f>
        <v/>
      </c>
      <c r="I28" s="292" t="str">
        <f aca="false">IF(AND(DITAR_MBYLLJE_AUTO!$H$13="GATI PËR POSTIM",DITAR_MBYLLJE_AUTO!$F$13&gt;0),DITAR_MBYLLJE_AUTO!$C$13,"")</f>
        <v/>
      </c>
    </row>
    <row r="29" customFormat="false" ht="15" hidden="false" customHeight="true" outlineLevel="0" collapsed="false">
      <c r="A29" s="291" t="str">
        <f aca="false">IF(AND(DITAR_MBYLLJE_AUTO!$H$13="GATI PËR POSTIM",DITAR_MBYLLJE_AUTO!$F$13&gt;0),MBYLLJA_6_7_AUTO!$B$7,"")</f>
        <v/>
      </c>
      <c r="B29" s="292" t="str">
        <f aca="false">IF(AND(DITAR_MBYLLJE_AUTO!$H$13="GATI PËR POSTIM",DITAR_MBYLLJE_AUTO!$F$13&gt;0),9010,"")</f>
        <v/>
      </c>
      <c r="C29" s="292" t="str">
        <f aca="false">IF(AND(DITAR_MBYLLJE_AUTO!$H$13="GATI PËR POSTIM",DITAR_MBYLLJE_AUTO!$F$13&gt;0),"MB-REG-"&amp;TEXT(10,"00"),"")</f>
        <v/>
      </c>
      <c r="D29" s="292" t="str">
        <f aca="false">IF(AND(DITAR_MBYLLJE_AUTO!$H$13="GATI PËR POSTIM",DITAR_MBYLLJE_AUTO!$F$13&gt;0),DITAR_MBYLLJE_AUTO!$E$13,"")</f>
        <v/>
      </c>
      <c r="E29" s="292" t="str">
        <f aca="false">IF(D29="","",IFERROR(VLOOKUP(D29,PLANI_LLOGARIVE!$A:$B,2,FALSE()),""))</f>
        <v/>
      </c>
      <c r="F29" s="294"/>
      <c r="G29" s="293" t="str">
        <f aca="false">IF(AND(DITAR_MBYLLJE_AUTO!$H$13="GATI PËR POSTIM",DITAR_MBYLLJE_AUTO!$F$13&gt;0),DITAR_MBYLLJE_AUTO!$F$13,"")</f>
        <v/>
      </c>
      <c r="H29" s="292" t="str">
        <f aca="false">IF(AND(DITAR_MBYLLJE_AUTO!$H$13="GATI PËR POSTIM",DITAR_MBYLLJE_AUTO!$F$13&gt;0),DITAR_MBYLLJE_AUTO!$B$13,"")</f>
        <v/>
      </c>
      <c r="I29" s="292" t="str">
        <f aca="false">IF(AND(DITAR_MBYLLJE_AUTO!$H$13="GATI PËR POSTIM",DITAR_MBYLLJE_AUTO!$F$13&gt;0),DITAR_MBYLLJE_AUTO!$C$13,"")</f>
        <v/>
      </c>
    </row>
    <row r="30" customFormat="false" ht="15" hidden="false" customHeight="true" outlineLevel="0" collapsed="false">
      <c r="A30" s="291" t="str">
        <f aca="false">IF(AND(DITAR_MBYLLJE_AUTO!$H$14="GATI PËR POSTIM",DITAR_MBYLLJE_AUTO!$F$14&gt;0),MBYLLJA_6_7_AUTO!$B$7,"")</f>
        <v/>
      </c>
      <c r="B30" s="292" t="str">
        <f aca="false">IF(AND(DITAR_MBYLLJE_AUTO!$H$14="GATI PËR POSTIM",DITAR_MBYLLJE_AUTO!$F$14&gt;0),9011,"")</f>
        <v/>
      </c>
      <c r="C30" s="292" t="str">
        <f aca="false">IF(AND(DITAR_MBYLLJE_AUTO!$H$14="GATI PËR POSTIM",DITAR_MBYLLJE_AUTO!$F$14&gt;0),"MB-REG-"&amp;TEXT(11,"00"),"")</f>
        <v/>
      </c>
      <c r="D30" s="292" t="str">
        <f aca="false">IF(AND(DITAR_MBYLLJE_AUTO!$H$14="GATI PËR POSTIM",DITAR_MBYLLJE_AUTO!$F$14&gt;0),DITAR_MBYLLJE_AUTO!$D$14,"")</f>
        <v/>
      </c>
      <c r="E30" s="292" t="str">
        <f aca="false">IF(D30="","",IFERROR(VLOOKUP(D30,PLANI_LLOGARIVE!$A:$B,2,FALSE()),""))</f>
        <v/>
      </c>
      <c r="F30" s="293" t="str">
        <f aca="false">IF(AND(DITAR_MBYLLJE_AUTO!$H$14="GATI PËR POSTIM",DITAR_MBYLLJE_AUTO!$F$14&gt;0),DITAR_MBYLLJE_AUTO!$F$14,"")</f>
        <v/>
      </c>
      <c r="G30" s="294"/>
      <c r="H30" s="292" t="str">
        <f aca="false">IF(AND(DITAR_MBYLLJE_AUTO!$H$14="GATI PËR POSTIM",DITAR_MBYLLJE_AUTO!$F$14&gt;0),DITAR_MBYLLJE_AUTO!$B$14,"")</f>
        <v/>
      </c>
      <c r="I30" s="292" t="str">
        <f aca="false">IF(AND(DITAR_MBYLLJE_AUTO!$H$14="GATI PËR POSTIM",DITAR_MBYLLJE_AUTO!$F$14&gt;0),DITAR_MBYLLJE_AUTO!$C$14,"")</f>
        <v/>
      </c>
    </row>
    <row r="31" customFormat="false" ht="15" hidden="false" customHeight="true" outlineLevel="0" collapsed="false">
      <c r="A31" s="291" t="str">
        <f aca="false">IF(AND(DITAR_MBYLLJE_AUTO!$H$14="GATI PËR POSTIM",DITAR_MBYLLJE_AUTO!$F$14&gt;0),MBYLLJA_6_7_AUTO!$B$7,"")</f>
        <v/>
      </c>
      <c r="B31" s="292" t="str">
        <f aca="false">IF(AND(DITAR_MBYLLJE_AUTO!$H$14="GATI PËR POSTIM",DITAR_MBYLLJE_AUTO!$F$14&gt;0),9011,"")</f>
        <v/>
      </c>
      <c r="C31" s="292" t="str">
        <f aca="false">IF(AND(DITAR_MBYLLJE_AUTO!$H$14="GATI PËR POSTIM",DITAR_MBYLLJE_AUTO!$F$14&gt;0),"MB-REG-"&amp;TEXT(11,"00"),"")</f>
        <v/>
      </c>
      <c r="D31" s="292" t="str">
        <f aca="false">IF(AND(DITAR_MBYLLJE_AUTO!$H$14="GATI PËR POSTIM",DITAR_MBYLLJE_AUTO!$F$14&gt;0),DITAR_MBYLLJE_AUTO!$E$14,"")</f>
        <v/>
      </c>
      <c r="E31" s="292" t="str">
        <f aca="false">IF(D31="","",IFERROR(VLOOKUP(D31,PLANI_LLOGARIVE!$A:$B,2,FALSE()),""))</f>
        <v/>
      </c>
      <c r="F31" s="294"/>
      <c r="G31" s="293" t="str">
        <f aca="false">IF(AND(DITAR_MBYLLJE_AUTO!$H$14="GATI PËR POSTIM",DITAR_MBYLLJE_AUTO!$F$14&gt;0),DITAR_MBYLLJE_AUTO!$F$14,"")</f>
        <v/>
      </c>
      <c r="H31" s="292" t="str">
        <f aca="false">IF(AND(DITAR_MBYLLJE_AUTO!$H$14="GATI PËR POSTIM",DITAR_MBYLLJE_AUTO!$F$14&gt;0),DITAR_MBYLLJE_AUTO!$B$14,"")</f>
        <v/>
      </c>
      <c r="I31" s="292" t="str">
        <f aca="false">IF(AND(DITAR_MBYLLJE_AUTO!$H$14="GATI PËR POSTIM",DITAR_MBYLLJE_AUTO!$F$14&gt;0),DITAR_MBYLLJE_AUTO!$C$14,"")</f>
        <v/>
      </c>
    </row>
    <row r="32" customFormat="false" ht="15" hidden="false" customHeight="true" outlineLevel="0" collapsed="false">
      <c r="A32" s="291" t="str">
        <f aca="false">IF(AND(DITAR_MBYLLJE_AUTO!$H$15="GATI PËR POSTIM",DITAR_MBYLLJE_AUTO!$F$15&gt;0),MBYLLJA_6_7_AUTO!$B$7,"")</f>
        <v/>
      </c>
      <c r="B32" s="292" t="str">
        <f aca="false">IF(AND(DITAR_MBYLLJE_AUTO!$H$15="GATI PËR POSTIM",DITAR_MBYLLJE_AUTO!$F$15&gt;0),9012,"")</f>
        <v/>
      </c>
      <c r="C32" s="292" t="str">
        <f aca="false">IF(AND(DITAR_MBYLLJE_AUTO!$H$15="GATI PËR POSTIM",DITAR_MBYLLJE_AUTO!$F$15&gt;0),"MB-REG-"&amp;TEXT(12,"00"),"")</f>
        <v/>
      </c>
      <c r="D32" s="292" t="str">
        <f aca="false">IF(AND(DITAR_MBYLLJE_AUTO!$H$15="GATI PËR POSTIM",DITAR_MBYLLJE_AUTO!$F$15&gt;0),DITAR_MBYLLJE_AUTO!$D$15,"")</f>
        <v/>
      </c>
      <c r="E32" s="292" t="str">
        <f aca="false">IF(D32="","",IFERROR(VLOOKUP(D32,PLANI_LLOGARIVE!$A:$B,2,FALSE()),""))</f>
        <v/>
      </c>
      <c r="F32" s="293" t="str">
        <f aca="false">IF(AND(DITAR_MBYLLJE_AUTO!$H$15="GATI PËR POSTIM",DITAR_MBYLLJE_AUTO!$F$15&gt;0),DITAR_MBYLLJE_AUTO!$F$15,"")</f>
        <v/>
      </c>
      <c r="G32" s="294"/>
      <c r="H32" s="292" t="str">
        <f aca="false">IF(AND(DITAR_MBYLLJE_AUTO!$H$15="GATI PËR POSTIM",DITAR_MBYLLJE_AUTO!$F$15&gt;0),DITAR_MBYLLJE_AUTO!$B$15,"")</f>
        <v/>
      </c>
      <c r="I32" s="292" t="str">
        <f aca="false">IF(AND(DITAR_MBYLLJE_AUTO!$H$15="GATI PËR POSTIM",DITAR_MBYLLJE_AUTO!$F$15&gt;0),DITAR_MBYLLJE_AUTO!$C$15,"")</f>
        <v/>
      </c>
    </row>
    <row r="33" customFormat="false" ht="15" hidden="false" customHeight="true" outlineLevel="0" collapsed="false">
      <c r="A33" s="291" t="str">
        <f aca="false">IF(AND(DITAR_MBYLLJE_AUTO!$H$15="GATI PËR POSTIM",DITAR_MBYLLJE_AUTO!$F$15&gt;0),MBYLLJA_6_7_AUTO!$B$7,"")</f>
        <v/>
      </c>
      <c r="B33" s="292" t="str">
        <f aca="false">IF(AND(DITAR_MBYLLJE_AUTO!$H$15="GATI PËR POSTIM",DITAR_MBYLLJE_AUTO!$F$15&gt;0),9012,"")</f>
        <v/>
      </c>
      <c r="C33" s="292" t="str">
        <f aca="false">IF(AND(DITAR_MBYLLJE_AUTO!$H$15="GATI PËR POSTIM",DITAR_MBYLLJE_AUTO!$F$15&gt;0),"MB-REG-"&amp;TEXT(12,"00"),"")</f>
        <v/>
      </c>
      <c r="D33" s="292" t="str">
        <f aca="false">IF(AND(DITAR_MBYLLJE_AUTO!$H$15="GATI PËR POSTIM",DITAR_MBYLLJE_AUTO!$F$15&gt;0),DITAR_MBYLLJE_AUTO!$E$15,"")</f>
        <v/>
      </c>
      <c r="E33" s="292" t="str">
        <f aca="false">IF(D33="","",IFERROR(VLOOKUP(D33,PLANI_LLOGARIVE!$A:$B,2,FALSE()),""))</f>
        <v/>
      </c>
      <c r="F33" s="294"/>
      <c r="G33" s="293" t="str">
        <f aca="false">IF(AND(DITAR_MBYLLJE_AUTO!$H$15="GATI PËR POSTIM",DITAR_MBYLLJE_AUTO!$F$15&gt;0),DITAR_MBYLLJE_AUTO!$F$15,"")</f>
        <v/>
      </c>
      <c r="H33" s="292" t="str">
        <f aca="false">IF(AND(DITAR_MBYLLJE_AUTO!$H$15="GATI PËR POSTIM",DITAR_MBYLLJE_AUTO!$F$15&gt;0),DITAR_MBYLLJE_AUTO!$B$15,"")</f>
        <v/>
      </c>
      <c r="I33" s="292" t="str">
        <f aca="false">IF(AND(DITAR_MBYLLJE_AUTO!$H$15="GATI PËR POSTIM",DITAR_MBYLLJE_AUTO!$F$15&gt;0),DITAR_MBYLLJE_AUTO!$C$15,"")</f>
        <v/>
      </c>
    </row>
    <row r="34" customFormat="false" ht="15" hidden="false" customHeight="true" outlineLevel="0" collapsed="false">
      <c r="A34" s="291" t="str">
        <f aca="false">IF(AND(DITAR_MBYLLJE_AUTO!$H$16="GATI PËR POSTIM",DITAR_MBYLLJE_AUTO!$F$16&gt;0),MBYLLJA_6_7_AUTO!$B$7,"")</f>
        <v/>
      </c>
      <c r="B34" s="292" t="str">
        <f aca="false">IF(AND(DITAR_MBYLLJE_AUTO!$H$16="GATI PËR POSTIM",DITAR_MBYLLJE_AUTO!$F$16&gt;0),9013,"")</f>
        <v/>
      </c>
      <c r="C34" s="292" t="str">
        <f aca="false">IF(AND(DITAR_MBYLLJE_AUTO!$H$16="GATI PËR POSTIM",DITAR_MBYLLJE_AUTO!$F$16&gt;0),"MB-REG-"&amp;TEXT(13,"00"),"")</f>
        <v/>
      </c>
      <c r="D34" s="292" t="str">
        <f aca="false">IF(AND(DITAR_MBYLLJE_AUTO!$H$16="GATI PËR POSTIM",DITAR_MBYLLJE_AUTO!$F$16&gt;0),DITAR_MBYLLJE_AUTO!$D$16,"")</f>
        <v/>
      </c>
      <c r="E34" s="292" t="str">
        <f aca="false">IF(D34="","",IFERROR(VLOOKUP(D34,PLANI_LLOGARIVE!$A:$B,2,FALSE()),""))</f>
        <v/>
      </c>
      <c r="F34" s="293" t="str">
        <f aca="false">IF(AND(DITAR_MBYLLJE_AUTO!$H$16="GATI PËR POSTIM",DITAR_MBYLLJE_AUTO!$F$16&gt;0),DITAR_MBYLLJE_AUTO!$F$16,"")</f>
        <v/>
      </c>
      <c r="G34" s="294"/>
      <c r="H34" s="292" t="str">
        <f aca="false">IF(AND(DITAR_MBYLLJE_AUTO!$H$16="GATI PËR POSTIM",DITAR_MBYLLJE_AUTO!$F$16&gt;0),DITAR_MBYLLJE_AUTO!$B$16,"")</f>
        <v/>
      </c>
      <c r="I34" s="292" t="str">
        <f aca="false">IF(AND(DITAR_MBYLLJE_AUTO!$H$16="GATI PËR POSTIM",DITAR_MBYLLJE_AUTO!$F$16&gt;0),DITAR_MBYLLJE_AUTO!$C$16,"")</f>
        <v/>
      </c>
    </row>
    <row r="35" customFormat="false" ht="15" hidden="false" customHeight="true" outlineLevel="0" collapsed="false">
      <c r="A35" s="291" t="str">
        <f aca="false">IF(AND(DITAR_MBYLLJE_AUTO!$H$16="GATI PËR POSTIM",DITAR_MBYLLJE_AUTO!$F$16&gt;0),MBYLLJA_6_7_AUTO!$B$7,"")</f>
        <v/>
      </c>
      <c r="B35" s="292" t="str">
        <f aca="false">IF(AND(DITAR_MBYLLJE_AUTO!$H$16="GATI PËR POSTIM",DITAR_MBYLLJE_AUTO!$F$16&gt;0),9013,"")</f>
        <v/>
      </c>
      <c r="C35" s="292" t="str">
        <f aca="false">IF(AND(DITAR_MBYLLJE_AUTO!$H$16="GATI PËR POSTIM",DITAR_MBYLLJE_AUTO!$F$16&gt;0),"MB-REG-"&amp;TEXT(13,"00"),"")</f>
        <v/>
      </c>
      <c r="D35" s="292" t="str">
        <f aca="false">IF(AND(DITAR_MBYLLJE_AUTO!$H$16="GATI PËR POSTIM",DITAR_MBYLLJE_AUTO!$F$16&gt;0),DITAR_MBYLLJE_AUTO!$E$16,"")</f>
        <v/>
      </c>
      <c r="E35" s="292" t="str">
        <f aca="false">IF(D35="","",IFERROR(VLOOKUP(D35,PLANI_LLOGARIVE!$A:$B,2,FALSE()),""))</f>
        <v/>
      </c>
      <c r="F35" s="294"/>
      <c r="G35" s="293" t="str">
        <f aca="false">IF(AND(DITAR_MBYLLJE_AUTO!$H$16="GATI PËR POSTIM",DITAR_MBYLLJE_AUTO!$F$16&gt;0),DITAR_MBYLLJE_AUTO!$F$16,"")</f>
        <v/>
      </c>
      <c r="H35" s="292" t="str">
        <f aca="false">IF(AND(DITAR_MBYLLJE_AUTO!$H$16="GATI PËR POSTIM",DITAR_MBYLLJE_AUTO!$F$16&gt;0),DITAR_MBYLLJE_AUTO!$B$16,"")</f>
        <v/>
      </c>
      <c r="I35" s="292" t="str">
        <f aca="false">IF(AND(DITAR_MBYLLJE_AUTO!$H$16="GATI PËR POSTIM",DITAR_MBYLLJE_AUTO!$F$16&gt;0),DITAR_MBYLLJE_AUTO!$C$16,"")</f>
        <v/>
      </c>
    </row>
    <row r="36" customFormat="false" ht="15" hidden="false" customHeight="true" outlineLevel="0" collapsed="false">
      <c r="A36" s="291" t="str">
        <f aca="false">IF(AND(DITAR_MBYLLJE_AUTO!$H$17="GATI PËR POSTIM",DITAR_MBYLLJE_AUTO!$F$17&gt;0),MBYLLJA_6_7_AUTO!$B$7,"")</f>
        <v/>
      </c>
      <c r="B36" s="292" t="str">
        <f aca="false">IF(AND(DITAR_MBYLLJE_AUTO!$H$17="GATI PËR POSTIM",DITAR_MBYLLJE_AUTO!$F$17&gt;0),9014,"")</f>
        <v/>
      </c>
      <c r="C36" s="292" t="str">
        <f aca="false">IF(AND(DITAR_MBYLLJE_AUTO!$H$17="GATI PËR POSTIM",DITAR_MBYLLJE_AUTO!$F$17&gt;0),"MB-REG-"&amp;TEXT(14,"00"),"")</f>
        <v/>
      </c>
      <c r="D36" s="292" t="str">
        <f aca="false">IF(AND(DITAR_MBYLLJE_AUTO!$H$17="GATI PËR POSTIM",DITAR_MBYLLJE_AUTO!$F$17&gt;0),DITAR_MBYLLJE_AUTO!$D$17,"")</f>
        <v/>
      </c>
      <c r="E36" s="292" t="str">
        <f aca="false">IF(D36="","",IFERROR(VLOOKUP(D36,PLANI_LLOGARIVE!$A:$B,2,FALSE()),""))</f>
        <v/>
      </c>
      <c r="F36" s="293" t="str">
        <f aca="false">IF(AND(DITAR_MBYLLJE_AUTO!$H$17="GATI PËR POSTIM",DITAR_MBYLLJE_AUTO!$F$17&gt;0),DITAR_MBYLLJE_AUTO!$F$17,"")</f>
        <v/>
      </c>
      <c r="G36" s="294"/>
      <c r="H36" s="292" t="str">
        <f aca="false">IF(AND(DITAR_MBYLLJE_AUTO!$H$17="GATI PËR POSTIM",DITAR_MBYLLJE_AUTO!$F$17&gt;0),DITAR_MBYLLJE_AUTO!$B$17,"")</f>
        <v/>
      </c>
      <c r="I36" s="292" t="str">
        <f aca="false">IF(AND(DITAR_MBYLLJE_AUTO!$H$17="GATI PËR POSTIM",DITAR_MBYLLJE_AUTO!$F$17&gt;0),DITAR_MBYLLJE_AUTO!$C$17,"")</f>
        <v/>
      </c>
    </row>
    <row r="37" customFormat="false" ht="15" hidden="false" customHeight="true" outlineLevel="0" collapsed="false">
      <c r="A37" s="291" t="str">
        <f aca="false">IF(AND(DITAR_MBYLLJE_AUTO!$H$17="GATI PËR POSTIM",DITAR_MBYLLJE_AUTO!$F$17&gt;0),MBYLLJA_6_7_AUTO!$B$7,"")</f>
        <v/>
      </c>
      <c r="B37" s="292" t="str">
        <f aca="false">IF(AND(DITAR_MBYLLJE_AUTO!$H$17="GATI PËR POSTIM",DITAR_MBYLLJE_AUTO!$F$17&gt;0),9014,"")</f>
        <v/>
      </c>
      <c r="C37" s="292" t="str">
        <f aca="false">IF(AND(DITAR_MBYLLJE_AUTO!$H$17="GATI PËR POSTIM",DITAR_MBYLLJE_AUTO!$F$17&gt;0),"MB-REG-"&amp;TEXT(14,"00"),"")</f>
        <v/>
      </c>
      <c r="D37" s="292" t="str">
        <f aca="false">IF(AND(DITAR_MBYLLJE_AUTO!$H$17="GATI PËR POSTIM",DITAR_MBYLLJE_AUTO!$F$17&gt;0),DITAR_MBYLLJE_AUTO!$E$17,"")</f>
        <v/>
      </c>
      <c r="E37" s="292" t="str">
        <f aca="false">IF(D37="","",IFERROR(VLOOKUP(D37,PLANI_LLOGARIVE!$A:$B,2,FALSE()),""))</f>
        <v/>
      </c>
      <c r="F37" s="294"/>
      <c r="G37" s="293" t="str">
        <f aca="false">IF(AND(DITAR_MBYLLJE_AUTO!$H$17="GATI PËR POSTIM",DITAR_MBYLLJE_AUTO!$F$17&gt;0),DITAR_MBYLLJE_AUTO!$F$17,"")</f>
        <v/>
      </c>
      <c r="H37" s="292" t="str">
        <f aca="false">IF(AND(DITAR_MBYLLJE_AUTO!$H$17="GATI PËR POSTIM",DITAR_MBYLLJE_AUTO!$F$17&gt;0),DITAR_MBYLLJE_AUTO!$B$17,"")</f>
        <v/>
      </c>
      <c r="I37" s="292" t="str">
        <f aca="false">IF(AND(DITAR_MBYLLJE_AUTO!$H$17="GATI PËR POSTIM",DITAR_MBYLLJE_AUTO!$F$17&gt;0),DITAR_MBYLLJE_AUTO!$C$17,"")</f>
        <v/>
      </c>
    </row>
    <row r="38" customFormat="false" ht="15" hidden="false" customHeight="true" outlineLevel="0" collapsed="false">
      <c r="A38" s="291" t="str">
        <f aca="false">IF(AND(DITAR_MBYLLJE_AUTO!$H$18="GATI PËR POSTIM",DITAR_MBYLLJE_AUTO!$F$18&gt;0),MBYLLJA_6_7_AUTO!$B$7,"")</f>
        <v/>
      </c>
      <c r="B38" s="292" t="str">
        <f aca="false">IF(AND(DITAR_MBYLLJE_AUTO!$H$18="GATI PËR POSTIM",DITAR_MBYLLJE_AUTO!$F$18&gt;0),9015,"")</f>
        <v/>
      </c>
      <c r="C38" s="292" t="str">
        <f aca="false">IF(AND(DITAR_MBYLLJE_AUTO!$H$18="GATI PËR POSTIM",DITAR_MBYLLJE_AUTO!$F$18&gt;0),"MB-REG-"&amp;TEXT(15,"00"),"")</f>
        <v/>
      </c>
      <c r="D38" s="292" t="str">
        <f aca="false">IF(AND(DITAR_MBYLLJE_AUTO!$H$18="GATI PËR POSTIM",DITAR_MBYLLJE_AUTO!$F$18&gt;0),DITAR_MBYLLJE_AUTO!$D$18,"")</f>
        <v/>
      </c>
      <c r="E38" s="292" t="str">
        <f aca="false">IF(D38="","",IFERROR(VLOOKUP(D38,PLANI_LLOGARIVE!$A:$B,2,FALSE()),""))</f>
        <v/>
      </c>
      <c r="F38" s="293" t="str">
        <f aca="false">IF(AND(DITAR_MBYLLJE_AUTO!$H$18="GATI PËR POSTIM",DITAR_MBYLLJE_AUTO!$F$18&gt;0),DITAR_MBYLLJE_AUTO!$F$18,"")</f>
        <v/>
      </c>
      <c r="G38" s="294"/>
      <c r="H38" s="292" t="str">
        <f aca="false">IF(AND(DITAR_MBYLLJE_AUTO!$H$18="GATI PËR POSTIM",DITAR_MBYLLJE_AUTO!$F$18&gt;0),DITAR_MBYLLJE_AUTO!$B$18,"")</f>
        <v/>
      </c>
      <c r="I38" s="292" t="str">
        <f aca="false">IF(AND(DITAR_MBYLLJE_AUTO!$H$18="GATI PËR POSTIM",DITAR_MBYLLJE_AUTO!$F$18&gt;0),DITAR_MBYLLJE_AUTO!$C$18,"")</f>
        <v/>
      </c>
    </row>
    <row r="39" customFormat="false" ht="15" hidden="false" customHeight="true" outlineLevel="0" collapsed="false">
      <c r="A39" s="291" t="str">
        <f aca="false">IF(AND(DITAR_MBYLLJE_AUTO!$H$18="GATI PËR POSTIM",DITAR_MBYLLJE_AUTO!$F$18&gt;0),MBYLLJA_6_7_AUTO!$B$7,"")</f>
        <v/>
      </c>
      <c r="B39" s="292" t="str">
        <f aca="false">IF(AND(DITAR_MBYLLJE_AUTO!$H$18="GATI PËR POSTIM",DITAR_MBYLLJE_AUTO!$F$18&gt;0),9015,"")</f>
        <v/>
      </c>
      <c r="C39" s="292" t="str">
        <f aca="false">IF(AND(DITAR_MBYLLJE_AUTO!$H$18="GATI PËR POSTIM",DITAR_MBYLLJE_AUTO!$F$18&gt;0),"MB-REG-"&amp;TEXT(15,"00"),"")</f>
        <v/>
      </c>
      <c r="D39" s="292" t="str">
        <f aca="false">IF(AND(DITAR_MBYLLJE_AUTO!$H$18="GATI PËR POSTIM",DITAR_MBYLLJE_AUTO!$F$18&gt;0),DITAR_MBYLLJE_AUTO!$E$18,"")</f>
        <v/>
      </c>
      <c r="E39" s="292" t="str">
        <f aca="false">IF(D39="","",IFERROR(VLOOKUP(D39,PLANI_LLOGARIVE!$A:$B,2,FALSE()),""))</f>
        <v/>
      </c>
      <c r="F39" s="294"/>
      <c r="G39" s="293" t="str">
        <f aca="false">IF(AND(DITAR_MBYLLJE_AUTO!$H$18="GATI PËR POSTIM",DITAR_MBYLLJE_AUTO!$F$18&gt;0),DITAR_MBYLLJE_AUTO!$F$18,"")</f>
        <v/>
      </c>
      <c r="H39" s="292" t="str">
        <f aca="false">IF(AND(DITAR_MBYLLJE_AUTO!$H$18="GATI PËR POSTIM",DITAR_MBYLLJE_AUTO!$F$18&gt;0),DITAR_MBYLLJE_AUTO!$B$18,"")</f>
        <v/>
      </c>
      <c r="I39" s="292" t="str">
        <f aca="false">IF(AND(DITAR_MBYLLJE_AUTO!$H$18="GATI PËR POSTIM",DITAR_MBYLLJE_AUTO!$F$18&gt;0),DITAR_MBYLLJE_AUTO!$C$18,"")</f>
        <v/>
      </c>
    </row>
    <row r="40" customFormat="false" ht="15" hidden="false" customHeight="true" outlineLevel="0" collapsed="false">
      <c r="A40" s="291" t="str">
        <f aca="false">IF(AND(DITAR_MBYLLJE_AUTO!$H$19="GATI PËR POSTIM",DITAR_MBYLLJE_AUTO!$F$19&gt;0),MBYLLJA_6_7_AUTO!$B$7,"")</f>
        <v/>
      </c>
      <c r="B40" s="292" t="str">
        <f aca="false">IF(AND(DITAR_MBYLLJE_AUTO!$H$19="GATI PËR POSTIM",DITAR_MBYLLJE_AUTO!$F$19&gt;0),9016,"")</f>
        <v/>
      </c>
      <c r="C40" s="292" t="str">
        <f aca="false">IF(AND(DITAR_MBYLLJE_AUTO!$H$19="GATI PËR POSTIM",DITAR_MBYLLJE_AUTO!$F$19&gt;0),"MB-REG-"&amp;TEXT(16,"00"),"")</f>
        <v/>
      </c>
      <c r="D40" s="292" t="str">
        <f aca="false">IF(AND(DITAR_MBYLLJE_AUTO!$H$19="GATI PËR POSTIM",DITAR_MBYLLJE_AUTO!$F$19&gt;0),DITAR_MBYLLJE_AUTO!$D$19,"")</f>
        <v/>
      </c>
      <c r="E40" s="292" t="str">
        <f aca="false">IF(D40="","",IFERROR(VLOOKUP(D40,PLANI_LLOGARIVE!$A:$B,2,FALSE()),""))</f>
        <v/>
      </c>
      <c r="F40" s="293" t="str">
        <f aca="false">IF(AND(DITAR_MBYLLJE_AUTO!$H$19="GATI PËR POSTIM",DITAR_MBYLLJE_AUTO!$F$19&gt;0),DITAR_MBYLLJE_AUTO!$F$19,"")</f>
        <v/>
      </c>
      <c r="G40" s="294"/>
      <c r="H40" s="292" t="str">
        <f aca="false">IF(AND(DITAR_MBYLLJE_AUTO!$H$19="GATI PËR POSTIM",DITAR_MBYLLJE_AUTO!$F$19&gt;0),DITAR_MBYLLJE_AUTO!$B$19,"")</f>
        <v/>
      </c>
      <c r="I40" s="292" t="str">
        <f aca="false">IF(AND(DITAR_MBYLLJE_AUTO!$H$19="GATI PËR POSTIM",DITAR_MBYLLJE_AUTO!$F$19&gt;0),DITAR_MBYLLJE_AUTO!$C$19,"")</f>
        <v/>
      </c>
    </row>
    <row r="41" customFormat="false" ht="15" hidden="false" customHeight="true" outlineLevel="0" collapsed="false">
      <c r="A41" s="291" t="str">
        <f aca="false">IF(AND(DITAR_MBYLLJE_AUTO!$H$19="GATI PËR POSTIM",DITAR_MBYLLJE_AUTO!$F$19&gt;0),MBYLLJA_6_7_AUTO!$B$7,"")</f>
        <v/>
      </c>
      <c r="B41" s="292" t="str">
        <f aca="false">IF(AND(DITAR_MBYLLJE_AUTO!$H$19="GATI PËR POSTIM",DITAR_MBYLLJE_AUTO!$F$19&gt;0),9016,"")</f>
        <v/>
      </c>
      <c r="C41" s="292" t="str">
        <f aca="false">IF(AND(DITAR_MBYLLJE_AUTO!$H$19="GATI PËR POSTIM",DITAR_MBYLLJE_AUTO!$F$19&gt;0),"MB-REG-"&amp;TEXT(16,"00"),"")</f>
        <v/>
      </c>
      <c r="D41" s="292" t="str">
        <f aca="false">IF(AND(DITAR_MBYLLJE_AUTO!$H$19="GATI PËR POSTIM",DITAR_MBYLLJE_AUTO!$F$19&gt;0),DITAR_MBYLLJE_AUTO!$E$19,"")</f>
        <v/>
      </c>
      <c r="E41" s="292" t="str">
        <f aca="false">IF(D41="","",IFERROR(VLOOKUP(D41,PLANI_LLOGARIVE!$A:$B,2,FALSE()),""))</f>
        <v/>
      </c>
      <c r="F41" s="294"/>
      <c r="G41" s="293" t="str">
        <f aca="false">IF(AND(DITAR_MBYLLJE_AUTO!$H$19="GATI PËR POSTIM",DITAR_MBYLLJE_AUTO!$F$19&gt;0),DITAR_MBYLLJE_AUTO!$F$19,"")</f>
        <v/>
      </c>
      <c r="H41" s="292" t="str">
        <f aca="false">IF(AND(DITAR_MBYLLJE_AUTO!$H$19="GATI PËR POSTIM",DITAR_MBYLLJE_AUTO!$F$19&gt;0),DITAR_MBYLLJE_AUTO!$B$19,"")</f>
        <v/>
      </c>
      <c r="I41" s="292" t="str">
        <f aca="false">IF(AND(DITAR_MBYLLJE_AUTO!$H$19="GATI PËR POSTIM",DITAR_MBYLLJE_AUTO!$F$19&gt;0),DITAR_MBYLLJE_AUTO!$C$19,"")</f>
        <v/>
      </c>
    </row>
    <row r="42" customFormat="false" ht="15" hidden="false" customHeight="true" outlineLevel="0" collapsed="false">
      <c r="A42" s="291" t="str">
        <f aca="false">IF(AND(DITAR_MBYLLJE_AUTO!$H$20="GATI PËR POSTIM",DITAR_MBYLLJE_AUTO!$F$20&gt;0),MBYLLJA_6_7_AUTO!$B$7,"")</f>
        <v/>
      </c>
      <c r="B42" s="292" t="str">
        <f aca="false">IF(AND(DITAR_MBYLLJE_AUTO!$H$20="GATI PËR POSTIM",DITAR_MBYLLJE_AUTO!$F$20&gt;0),9017,"")</f>
        <v/>
      </c>
      <c r="C42" s="292" t="str">
        <f aca="false">IF(AND(DITAR_MBYLLJE_AUTO!$H$20="GATI PËR POSTIM",DITAR_MBYLLJE_AUTO!$F$20&gt;0),"MB-REG-"&amp;TEXT(17,"00"),"")</f>
        <v/>
      </c>
      <c r="D42" s="292" t="str">
        <f aca="false">IF(AND(DITAR_MBYLLJE_AUTO!$H$20="GATI PËR POSTIM",DITAR_MBYLLJE_AUTO!$F$20&gt;0),DITAR_MBYLLJE_AUTO!$D$20,"")</f>
        <v/>
      </c>
      <c r="E42" s="292" t="str">
        <f aca="false">IF(D42="","",IFERROR(VLOOKUP(D42,PLANI_LLOGARIVE!$A:$B,2,FALSE()),""))</f>
        <v/>
      </c>
      <c r="F42" s="293" t="str">
        <f aca="false">IF(AND(DITAR_MBYLLJE_AUTO!$H$20="GATI PËR POSTIM",DITAR_MBYLLJE_AUTO!$F$20&gt;0),DITAR_MBYLLJE_AUTO!$F$20,"")</f>
        <v/>
      </c>
      <c r="G42" s="294"/>
      <c r="H42" s="292" t="str">
        <f aca="false">IF(AND(DITAR_MBYLLJE_AUTO!$H$20="GATI PËR POSTIM",DITAR_MBYLLJE_AUTO!$F$20&gt;0),DITAR_MBYLLJE_AUTO!$B$20,"")</f>
        <v/>
      </c>
      <c r="I42" s="292" t="str">
        <f aca="false">IF(AND(DITAR_MBYLLJE_AUTO!$H$20="GATI PËR POSTIM",DITAR_MBYLLJE_AUTO!$F$20&gt;0),DITAR_MBYLLJE_AUTO!$C$20,"")</f>
        <v/>
      </c>
    </row>
    <row r="43" customFormat="false" ht="15" hidden="false" customHeight="true" outlineLevel="0" collapsed="false">
      <c r="A43" s="291" t="str">
        <f aca="false">IF(AND(DITAR_MBYLLJE_AUTO!$H$20="GATI PËR POSTIM",DITAR_MBYLLJE_AUTO!$F$20&gt;0),MBYLLJA_6_7_AUTO!$B$7,"")</f>
        <v/>
      </c>
      <c r="B43" s="292" t="str">
        <f aca="false">IF(AND(DITAR_MBYLLJE_AUTO!$H$20="GATI PËR POSTIM",DITAR_MBYLLJE_AUTO!$F$20&gt;0),9017,"")</f>
        <v/>
      </c>
      <c r="C43" s="292" t="str">
        <f aca="false">IF(AND(DITAR_MBYLLJE_AUTO!$H$20="GATI PËR POSTIM",DITAR_MBYLLJE_AUTO!$F$20&gt;0),"MB-REG-"&amp;TEXT(17,"00"),"")</f>
        <v/>
      </c>
      <c r="D43" s="292" t="str">
        <f aca="false">IF(AND(DITAR_MBYLLJE_AUTO!$H$20="GATI PËR POSTIM",DITAR_MBYLLJE_AUTO!$F$20&gt;0),DITAR_MBYLLJE_AUTO!$E$20,"")</f>
        <v/>
      </c>
      <c r="E43" s="292" t="str">
        <f aca="false">IF(D43="","",IFERROR(VLOOKUP(D43,PLANI_LLOGARIVE!$A:$B,2,FALSE()),""))</f>
        <v/>
      </c>
      <c r="F43" s="294"/>
      <c r="G43" s="293" t="str">
        <f aca="false">IF(AND(DITAR_MBYLLJE_AUTO!$H$20="GATI PËR POSTIM",DITAR_MBYLLJE_AUTO!$F$20&gt;0),DITAR_MBYLLJE_AUTO!$F$20,"")</f>
        <v/>
      </c>
      <c r="H43" s="292" t="str">
        <f aca="false">IF(AND(DITAR_MBYLLJE_AUTO!$H$20="GATI PËR POSTIM",DITAR_MBYLLJE_AUTO!$F$20&gt;0),DITAR_MBYLLJE_AUTO!$B$20,"")</f>
        <v/>
      </c>
      <c r="I43" s="292" t="str">
        <f aca="false">IF(AND(DITAR_MBYLLJE_AUTO!$H$20="GATI PËR POSTIM",DITAR_MBYLLJE_AUTO!$F$20&gt;0),DITAR_MBYLLJE_AUTO!$C$20,"")</f>
        <v/>
      </c>
    </row>
    <row r="44" customFormat="false" ht="15" hidden="false" customHeight="true" outlineLevel="0" collapsed="false">
      <c r="A44" s="291" t="str">
        <f aca="false">IF(AND(DITAR_MBYLLJE_AUTO!$H$21="GATI PËR POSTIM",DITAR_MBYLLJE_AUTO!$F$21&gt;0),MBYLLJA_6_7_AUTO!$B$7,"")</f>
        <v/>
      </c>
      <c r="B44" s="292" t="str">
        <f aca="false">IF(AND(DITAR_MBYLLJE_AUTO!$H$21="GATI PËR POSTIM",DITAR_MBYLLJE_AUTO!$F$21&gt;0),9018,"")</f>
        <v/>
      </c>
      <c r="C44" s="292" t="str">
        <f aca="false">IF(AND(DITAR_MBYLLJE_AUTO!$H$21="GATI PËR POSTIM",DITAR_MBYLLJE_AUTO!$F$21&gt;0),"MB-REG-"&amp;TEXT(18,"00"),"")</f>
        <v/>
      </c>
      <c r="D44" s="292" t="str">
        <f aca="false">IF(AND(DITAR_MBYLLJE_AUTO!$H$21="GATI PËR POSTIM",DITAR_MBYLLJE_AUTO!$F$21&gt;0),DITAR_MBYLLJE_AUTO!$D$21,"")</f>
        <v/>
      </c>
      <c r="E44" s="292" t="str">
        <f aca="false">IF(D44="","",IFERROR(VLOOKUP(D44,PLANI_LLOGARIVE!$A:$B,2,FALSE()),""))</f>
        <v/>
      </c>
      <c r="F44" s="293" t="str">
        <f aca="false">IF(AND(DITAR_MBYLLJE_AUTO!$H$21="GATI PËR POSTIM",DITAR_MBYLLJE_AUTO!$F$21&gt;0),DITAR_MBYLLJE_AUTO!$F$21,"")</f>
        <v/>
      </c>
      <c r="G44" s="294"/>
      <c r="H44" s="292" t="str">
        <f aca="false">IF(AND(DITAR_MBYLLJE_AUTO!$H$21="GATI PËR POSTIM",DITAR_MBYLLJE_AUTO!$F$21&gt;0),DITAR_MBYLLJE_AUTO!$B$21,"")</f>
        <v/>
      </c>
      <c r="I44" s="292" t="str">
        <f aca="false">IF(AND(DITAR_MBYLLJE_AUTO!$H$21="GATI PËR POSTIM",DITAR_MBYLLJE_AUTO!$F$21&gt;0),DITAR_MBYLLJE_AUTO!$C$21,"")</f>
        <v/>
      </c>
    </row>
    <row r="45" customFormat="false" ht="15" hidden="false" customHeight="true" outlineLevel="0" collapsed="false">
      <c r="A45" s="291" t="str">
        <f aca="false">IF(AND(DITAR_MBYLLJE_AUTO!$H$21="GATI PËR POSTIM",DITAR_MBYLLJE_AUTO!$F$21&gt;0),MBYLLJA_6_7_AUTO!$B$7,"")</f>
        <v/>
      </c>
      <c r="B45" s="292" t="str">
        <f aca="false">IF(AND(DITAR_MBYLLJE_AUTO!$H$21="GATI PËR POSTIM",DITAR_MBYLLJE_AUTO!$F$21&gt;0),9018,"")</f>
        <v/>
      </c>
      <c r="C45" s="292" t="str">
        <f aca="false">IF(AND(DITAR_MBYLLJE_AUTO!$H$21="GATI PËR POSTIM",DITAR_MBYLLJE_AUTO!$F$21&gt;0),"MB-REG-"&amp;TEXT(18,"00"),"")</f>
        <v/>
      </c>
      <c r="D45" s="292" t="str">
        <f aca="false">IF(AND(DITAR_MBYLLJE_AUTO!$H$21="GATI PËR POSTIM",DITAR_MBYLLJE_AUTO!$F$21&gt;0),DITAR_MBYLLJE_AUTO!$E$21,"")</f>
        <v/>
      </c>
      <c r="E45" s="292" t="str">
        <f aca="false">IF(D45="","",IFERROR(VLOOKUP(D45,PLANI_LLOGARIVE!$A:$B,2,FALSE()),""))</f>
        <v/>
      </c>
      <c r="F45" s="294"/>
      <c r="G45" s="293" t="str">
        <f aca="false">IF(AND(DITAR_MBYLLJE_AUTO!$H$21="GATI PËR POSTIM",DITAR_MBYLLJE_AUTO!$F$21&gt;0),DITAR_MBYLLJE_AUTO!$F$21,"")</f>
        <v/>
      </c>
      <c r="H45" s="292" t="str">
        <f aca="false">IF(AND(DITAR_MBYLLJE_AUTO!$H$21="GATI PËR POSTIM",DITAR_MBYLLJE_AUTO!$F$21&gt;0),DITAR_MBYLLJE_AUTO!$B$21,"")</f>
        <v/>
      </c>
      <c r="I45" s="292" t="str">
        <f aca="false">IF(AND(DITAR_MBYLLJE_AUTO!$H$21="GATI PËR POSTIM",DITAR_MBYLLJE_AUTO!$F$21&gt;0),DITAR_MBYLLJE_AUTO!$C$21,"")</f>
        <v/>
      </c>
    </row>
    <row r="46" customFormat="false" ht="15" hidden="false" customHeight="true" outlineLevel="0" collapsed="false">
      <c r="A46" s="291" t="str">
        <f aca="false">IF(AND(DITAR_MBYLLJE_AUTO!$H$22="GATI PËR POSTIM",DITAR_MBYLLJE_AUTO!$F$22&gt;0),MBYLLJA_6_7_AUTO!$B$7,"")</f>
        <v/>
      </c>
      <c r="B46" s="292" t="str">
        <f aca="false">IF(AND(DITAR_MBYLLJE_AUTO!$H$22="GATI PËR POSTIM",DITAR_MBYLLJE_AUTO!$F$22&gt;0),9019,"")</f>
        <v/>
      </c>
      <c r="C46" s="292" t="str">
        <f aca="false">IF(AND(DITAR_MBYLLJE_AUTO!$H$22="GATI PËR POSTIM",DITAR_MBYLLJE_AUTO!$F$22&gt;0),"MB-REG-"&amp;TEXT(19,"00"),"")</f>
        <v/>
      </c>
      <c r="D46" s="292" t="str">
        <f aca="false">IF(AND(DITAR_MBYLLJE_AUTO!$H$22="GATI PËR POSTIM",DITAR_MBYLLJE_AUTO!$F$22&gt;0),DITAR_MBYLLJE_AUTO!$D$22,"")</f>
        <v/>
      </c>
      <c r="E46" s="292" t="str">
        <f aca="false">IF(D46="","",IFERROR(VLOOKUP(D46,PLANI_LLOGARIVE!$A:$B,2,FALSE()),""))</f>
        <v/>
      </c>
      <c r="F46" s="293" t="str">
        <f aca="false">IF(AND(DITAR_MBYLLJE_AUTO!$H$22="GATI PËR POSTIM",DITAR_MBYLLJE_AUTO!$F$22&gt;0),DITAR_MBYLLJE_AUTO!$F$22,"")</f>
        <v/>
      </c>
      <c r="G46" s="294"/>
      <c r="H46" s="292" t="str">
        <f aca="false">IF(AND(DITAR_MBYLLJE_AUTO!$H$22="GATI PËR POSTIM",DITAR_MBYLLJE_AUTO!$F$22&gt;0),DITAR_MBYLLJE_AUTO!$B$22,"")</f>
        <v/>
      </c>
      <c r="I46" s="292" t="str">
        <f aca="false">IF(AND(DITAR_MBYLLJE_AUTO!$H$22="GATI PËR POSTIM",DITAR_MBYLLJE_AUTO!$F$22&gt;0),DITAR_MBYLLJE_AUTO!$C$22,"")</f>
        <v/>
      </c>
    </row>
    <row r="47" customFormat="false" ht="15" hidden="false" customHeight="true" outlineLevel="0" collapsed="false">
      <c r="A47" s="291" t="str">
        <f aca="false">IF(AND(DITAR_MBYLLJE_AUTO!$H$22="GATI PËR POSTIM",DITAR_MBYLLJE_AUTO!$F$22&gt;0),MBYLLJA_6_7_AUTO!$B$7,"")</f>
        <v/>
      </c>
      <c r="B47" s="292" t="str">
        <f aca="false">IF(AND(DITAR_MBYLLJE_AUTO!$H$22="GATI PËR POSTIM",DITAR_MBYLLJE_AUTO!$F$22&gt;0),9019,"")</f>
        <v/>
      </c>
      <c r="C47" s="292" t="str">
        <f aca="false">IF(AND(DITAR_MBYLLJE_AUTO!$H$22="GATI PËR POSTIM",DITAR_MBYLLJE_AUTO!$F$22&gt;0),"MB-REG-"&amp;TEXT(19,"00"),"")</f>
        <v/>
      </c>
      <c r="D47" s="292" t="str">
        <f aca="false">IF(AND(DITAR_MBYLLJE_AUTO!$H$22="GATI PËR POSTIM",DITAR_MBYLLJE_AUTO!$F$22&gt;0),DITAR_MBYLLJE_AUTO!$E$22,"")</f>
        <v/>
      </c>
      <c r="E47" s="292" t="str">
        <f aca="false">IF(D47="","",IFERROR(VLOOKUP(D47,PLANI_LLOGARIVE!$A:$B,2,FALSE()),""))</f>
        <v/>
      </c>
      <c r="F47" s="294"/>
      <c r="G47" s="293" t="str">
        <f aca="false">IF(AND(DITAR_MBYLLJE_AUTO!$H$22="GATI PËR POSTIM",DITAR_MBYLLJE_AUTO!$F$22&gt;0),DITAR_MBYLLJE_AUTO!$F$22,"")</f>
        <v/>
      </c>
      <c r="H47" s="292" t="str">
        <f aca="false">IF(AND(DITAR_MBYLLJE_AUTO!$H$22="GATI PËR POSTIM",DITAR_MBYLLJE_AUTO!$F$22&gt;0),DITAR_MBYLLJE_AUTO!$B$22,"")</f>
        <v/>
      </c>
      <c r="I47" s="292" t="str">
        <f aca="false">IF(AND(DITAR_MBYLLJE_AUTO!$H$22="GATI PËR POSTIM",DITAR_MBYLLJE_AUTO!$F$22&gt;0),DITAR_MBYLLJE_AUTO!$C$22,"")</f>
        <v/>
      </c>
    </row>
    <row r="48" customFormat="false" ht="15" hidden="false" customHeight="true" outlineLevel="0" collapsed="false">
      <c r="A48" s="291" t="str">
        <f aca="false">IF(AND(DITAR_MBYLLJE_AUTO!$H$23="GATI PËR POSTIM",DITAR_MBYLLJE_AUTO!$F$23&gt;0),MBYLLJA_6_7_AUTO!$B$7,"")</f>
        <v/>
      </c>
      <c r="B48" s="292" t="str">
        <f aca="false">IF(AND(DITAR_MBYLLJE_AUTO!$H$23="GATI PËR POSTIM",DITAR_MBYLLJE_AUTO!$F$23&gt;0),9020,"")</f>
        <v/>
      </c>
      <c r="C48" s="292" t="str">
        <f aca="false">IF(AND(DITAR_MBYLLJE_AUTO!$H$23="GATI PËR POSTIM",DITAR_MBYLLJE_AUTO!$F$23&gt;0),"MB-REG-"&amp;TEXT(20,"00"),"")</f>
        <v/>
      </c>
      <c r="D48" s="292" t="str">
        <f aca="false">IF(AND(DITAR_MBYLLJE_AUTO!$H$23="GATI PËR POSTIM",DITAR_MBYLLJE_AUTO!$F$23&gt;0),DITAR_MBYLLJE_AUTO!$D$23,"")</f>
        <v/>
      </c>
      <c r="E48" s="292" t="str">
        <f aca="false">IF(D48="","",IFERROR(VLOOKUP(D48,PLANI_LLOGARIVE!$A:$B,2,FALSE()),""))</f>
        <v/>
      </c>
      <c r="F48" s="293" t="str">
        <f aca="false">IF(AND(DITAR_MBYLLJE_AUTO!$H$23="GATI PËR POSTIM",DITAR_MBYLLJE_AUTO!$F$23&gt;0),DITAR_MBYLLJE_AUTO!$F$23,"")</f>
        <v/>
      </c>
      <c r="G48" s="294"/>
      <c r="H48" s="292" t="str">
        <f aca="false">IF(AND(DITAR_MBYLLJE_AUTO!$H$23="GATI PËR POSTIM",DITAR_MBYLLJE_AUTO!$F$23&gt;0),DITAR_MBYLLJE_AUTO!$B$23,"")</f>
        <v/>
      </c>
      <c r="I48" s="292" t="str">
        <f aca="false">IF(AND(DITAR_MBYLLJE_AUTO!$H$23="GATI PËR POSTIM",DITAR_MBYLLJE_AUTO!$F$23&gt;0),DITAR_MBYLLJE_AUTO!$C$23,"")</f>
        <v/>
      </c>
    </row>
    <row r="49" customFormat="false" ht="15" hidden="false" customHeight="true" outlineLevel="0" collapsed="false">
      <c r="A49" s="291" t="str">
        <f aca="false">IF(AND(DITAR_MBYLLJE_AUTO!$H$23="GATI PËR POSTIM",DITAR_MBYLLJE_AUTO!$F$23&gt;0),MBYLLJA_6_7_AUTO!$B$7,"")</f>
        <v/>
      </c>
      <c r="B49" s="292" t="str">
        <f aca="false">IF(AND(DITAR_MBYLLJE_AUTO!$H$23="GATI PËR POSTIM",DITAR_MBYLLJE_AUTO!$F$23&gt;0),9020,"")</f>
        <v/>
      </c>
      <c r="C49" s="292" t="str">
        <f aca="false">IF(AND(DITAR_MBYLLJE_AUTO!$H$23="GATI PËR POSTIM",DITAR_MBYLLJE_AUTO!$F$23&gt;0),"MB-REG-"&amp;TEXT(20,"00"),"")</f>
        <v/>
      </c>
      <c r="D49" s="292" t="str">
        <f aca="false">IF(AND(DITAR_MBYLLJE_AUTO!$H$23="GATI PËR POSTIM",DITAR_MBYLLJE_AUTO!$F$23&gt;0),DITAR_MBYLLJE_AUTO!$E$23,"")</f>
        <v/>
      </c>
      <c r="E49" s="292" t="str">
        <f aca="false">IF(D49="","",IFERROR(VLOOKUP(D49,PLANI_LLOGARIVE!$A:$B,2,FALSE()),""))</f>
        <v/>
      </c>
      <c r="F49" s="294"/>
      <c r="G49" s="293" t="str">
        <f aca="false">IF(AND(DITAR_MBYLLJE_AUTO!$H$23="GATI PËR POSTIM",DITAR_MBYLLJE_AUTO!$F$23&gt;0),DITAR_MBYLLJE_AUTO!$F$23,"")</f>
        <v/>
      </c>
      <c r="H49" s="292" t="str">
        <f aca="false">IF(AND(DITAR_MBYLLJE_AUTO!$H$23="GATI PËR POSTIM",DITAR_MBYLLJE_AUTO!$F$23&gt;0),DITAR_MBYLLJE_AUTO!$B$23,"")</f>
        <v/>
      </c>
      <c r="I49" s="292" t="str">
        <f aca="false">IF(AND(DITAR_MBYLLJE_AUTO!$H$23="GATI PËR POSTIM",DITAR_MBYLLJE_AUTO!$F$23&gt;0),DITAR_MBYLLJE_AUTO!$C$23,"")</f>
        <v/>
      </c>
    </row>
    <row r="50" customFormat="false" ht="15" hidden="false" customHeight="true" outlineLevel="0" collapsed="false">
      <c r="A50" s="291" t="str">
        <f aca="false">IF(AND(DITAR_MBYLLJE_AUTO!$H$24="GATI PËR POSTIM",DITAR_MBYLLJE_AUTO!$F$24&gt;0),MBYLLJA_6_7_AUTO!$B$7,"")</f>
        <v/>
      </c>
      <c r="B50" s="292" t="str">
        <f aca="false">IF(AND(DITAR_MBYLLJE_AUTO!$H$24="GATI PËR POSTIM",DITAR_MBYLLJE_AUTO!$F$24&gt;0),9021,"")</f>
        <v/>
      </c>
      <c r="C50" s="292" t="str">
        <f aca="false">IF(AND(DITAR_MBYLLJE_AUTO!$H$24="GATI PËR POSTIM",DITAR_MBYLLJE_AUTO!$F$24&gt;0),"MB-REG-"&amp;TEXT(21,"00"),"")</f>
        <v/>
      </c>
      <c r="D50" s="292" t="str">
        <f aca="false">IF(AND(DITAR_MBYLLJE_AUTO!$H$24="GATI PËR POSTIM",DITAR_MBYLLJE_AUTO!$F$24&gt;0),DITAR_MBYLLJE_AUTO!$D$24,"")</f>
        <v/>
      </c>
      <c r="E50" s="292" t="str">
        <f aca="false">IF(D50="","",IFERROR(VLOOKUP(D50,PLANI_LLOGARIVE!$A:$B,2,FALSE()),""))</f>
        <v/>
      </c>
      <c r="F50" s="293" t="str">
        <f aca="false">IF(AND(DITAR_MBYLLJE_AUTO!$H$24="GATI PËR POSTIM",DITAR_MBYLLJE_AUTO!$F$24&gt;0),DITAR_MBYLLJE_AUTO!$F$24,"")</f>
        <v/>
      </c>
      <c r="G50" s="294"/>
      <c r="H50" s="292" t="str">
        <f aca="false">IF(AND(DITAR_MBYLLJE_AUTO!$H$24="GATI PËR POSTIM",DITAR_MBYLLJE_AUTO!$F$24&gt;0),DITAR_MBYLLJE_AUTO!$B$24,"")</f>
        <v/>
      </c>
      <c r="I50" s="292" t="str">
        <f aca="false">IF(AND(DITAR_MBYLLJE_AUTO!$H$24="GATI PËR POSTIM",DITAR_MBYLLJE_AUTO!$F$24&gt;0),DITAR_MBYLLJE_AUTO!$C$24,"")</f>
        <v/>
      </c>
    </row>
    <row r="51" customFormat="false" ht="15" hidden="false" customHeight="true" outlineLevel="0" collapsed="false">
      <c r="A51" s="291" t="str">
        <f aca="false">IF(AND(DITAR_MBYLLJE_AUTO!$H$24="GATI PËR POSTIM",DITAR_MBYLLJE_AUTO!$F$24&gt;0),MBYLLJA_6_7_AUTO!$B$7,"")</f>
        <v/>
      </c>
      <c r="B51" s="292" t="str">
        <f aca="false">IF(AND(DITAR_MBYLLJE_AUTO!$H$24="GATI PËR POSTIM",DITAR_MBYLLJE_AUTO!$F$24&gt;0),9021,"")</f>
        <v/>
      </c>
      <c r="C51" s="292" t="str">
        <f aca="false">IF(AND(DITAR_MBYLLJE_AUTO!$H$24="GATI PËR POSTIM",DITAR_MBYLLJE_AUTO!$F$24&gt;0),"MB-REG-"&amp;TEXT(21,"00"),"")</f>
        <v/>
      </c>
      <c r="D51" s="292" t="str">
        <f aca="false">IF(AND(DITAR_MBYLLJE_AUTO!$H$24="GATI PËR POSTIM",DITAR_MBYLLJE_AUTO!$F$24&gt;0),DITAR_MBYLLJE_AUTO!$E$24,"")</f>
        <v/>
      </c>
      <c r="E51" s="292" t="str">
        <f aca="false">IF(D51="","",IFERROR(VLOOKUP(D51,PLANI_LLOGARIVE!$A:$B,2,FALSE()),""))</f>
        <v/>
      </c>
      <c r="F51" s="294"/>
      <c r="G51" s="293" t="str">
        <f aca="false">IF(AND(DITAR_MBYLLJE_AUTO!$H$24="GATI PËR POSTIM",DITAR_MBYLLJE_AUTO!$F$24&gt;0),DITAR_MBYLLJE_AUTO!$F$24,"")</f>
        <v/>
      </c>
      <c r="H51" s="292" t="str">
        <f aca="false">IF(AND(DITAR_MBYLLJE_AUTO!$H$24="GATI PËR POSTIM",DITAR_MBYLLJE_AUTO!$F$24&gt;0),DITAR_MBYLLJE_AUTO!$B$24,"")</f>
        <v/>
      </c>
      <c r="I51" s="292" t="str">
        <f aca="false">IF(AND(DITAR_MBYLLJE_AUTO!$H$24="GATI PËR POSTIM",DITAR_MBYLLJE_AUTO!$F$24&gt;0),DITAR_MBYLLJE_AUTO!$C$24,"")</f>
        <v/>
      </c>
    </row>
    <row r="52" customFormat="false" ht="15" hidden="false" customHeight="true" outlineLevel="0" collapsed="false">
      <c r="A52" s="291" t="str">
        <f aca="false">IF(AND(DITAR_MBYLLJE_AUTO!$H$25="GATI PËR POSTIM",DITAR_MBYLLJE_AUTO!$F$25&gt;0),MBYLLJA_6_7_AUTO!$B$7,"")</f>
        <v/>
      </c>
      <c r="B52" s="292" t="str">
        <f aca="false">IF(AND(DITAR_MBYLLJE_AUTO!$H$25="GATI PËR POSTIM",DITAR_MBYLLJE_AUTO!$F$25&gt;0),9022,"")</f>
        <v/>
      </c>
      <c r="C52" s="292" t="str">
        <f aca="false">IF(AND(DITAR_MBYLLJE_AUTO!$H$25="GATI PËR POSTIM",DITAR_MBYLLJE_AUTO!$F$25&gt;0),"MB-REG-"&amp;TEXT(22,"00"),"")</f>
        <v/>
      </c>
      <c r="D52" s="292" t="str">
        <f aca="false">IF(AND(DITAR_MBYLLJE_AUTO!$H$25="GATI PËR POSTIM",DITAR_MBYLLJE_AUTO!$F$25&gt;0),DITAR_MBYLLJE_AUTO!$D$25,"")</f>
        <v/>
      </c>
      <c r="E52" s="292" t="str">
        <f aca="false">IF(D52="","",IFERROR(VLOOKUP(D52,PLANI_LLOGARIVE!$A:$B,2,FALSE()),""))</f>
        <v/>
      </c>
      <c r="F52" s="293" t="str">
        <f aca="false">IF(AND(DITAR_MBYLLJE_AUTO!$H$25="GATI PËR POSTIM",DITAR_MBYLLJE_AUTO!$F$25&gt;0),DITAR_MBYLLJE_AUTO!$F$25,"")</f>
        <v/>
      </c>
      <c r="G52" s="294"/>
      <c r="H52" s="292" t="str">
        <f aca="false">IF(AND(DITAR_MBYLLJE_AUTO!$H$25="GATI PËR POSTIM",DITAR_MBYLLJE_AUTO!$F$25&gt;0),DITAR_MBYLLJE_AUTO!$B$25,"")</f>
        <v/>
      </c>
      <c r="I52" s="292" t="str">
        <f aca="false">IF(AND(DITAR_MBYLLJE_AUTO!$H$25="GATI PËR POSTIM",DITAR_MBYLLJE_AUTO!$F$25&gt;0),DITAR_MBYLLJE_AUTO!$C$25,"")</f>
        <v/>
      </c>
    </row>
    <row r="53" customFormat="false" ht="15" hidden="false" customHeight="true" outlineLevel="0" collapsed="false">
      <c r="A53" s="291" t="str">
        <f aca="false">IF(AND(DITAR_MBYLLJE_AUTO!$H$25="GATI PËR POSTIM",DITAR_MBYLLJE_AUTO!$F$25&gt;0),MBYLLJA_6_7_AUTO!$B$7,"")</f>
        <v/>
      </c>
      <c r="B53" s="292" t="str">
        <f aca="false">IF(AND(DITAR_MBYLLJE_AUTO!$H$25="GATI PËR POSTIM",DITAR_MBYLLJE_AUTO!$F$25&gt;0),9022,"")</f>
        <v/>
      </c>
      <c r="C53" s="292" t="str">
        <f aca="false">IF(AND(DITAR_MBYLLJE_AUTO!$H$25="GATI PËR POSTIM",DITAR_MBYLLJE_AUTO!$F$25&gt;0),"MB-REG-"&amp;TEXT(22,"00"),"")</f>
        <v/>
      </c>
      <c r="D53" s="292" t="str">
        <f aca="false">IF(AND(DITAR_MBYLLJE_AUTO!$H$25="GATI PËR POSTIM",DITAR_MBYLLJE_AUTO!$F$25&gt;0),DITAR_MBYLLJE_AUTO!$E$25,"")</f>
        <v/>
      </c>
      <c r="E53" s="292" t="str">
        <f aca="false">IF(D53="","",IFERROR(VLOOKUP(D53,PLANI_LLOGARIVE!$A:$B,2,FALSE()),""))</f>
        <v/>
      </c>
      <c r="F53" s="294"/>
      <c r="G53" s="293" t="str">
        <f aca="false">IF(AND(DITAR_MBYLLJE_AUTO!$H$25="GATI PËR POSTIM",DITAR_MBYLLJE_AUTO!$F$25&gt;0),DITAR_MBYLLJE_AUTO!$F$25,"")</f>
        <v/>
      </c>
      <c r="H53" s="292" t="str">
        <f aca="false">IF(AND(DITAR_MBYLLJE_AUTO!$H$25="GATI PËR POSTIM",DITAR_MBYLLJE_AUTO!$F$25&gt;0),DITAR_MBYLLJE_AUTO!$B$25,"")</f>
        <v/>
      </c>
      <c r="I53" s="292" t="str">
        <f aca="false">IF(AND(DITAR_MBYLLJE_AUTO!$H$25="GATI PËR POSTIM",DITAR_MBYLLJE_AUTO!$F$25&gt;0),DITAR_MBYLLJE_AUTO!$C$25,"")</f>
        <v/>
      </c>
    </row>
    <row r="54" customFormat="false" ht="15" hidden="false" customHeight="true" outlineLevel="0" collapsed="false">
      <c r="A54" s="291" t="str">
        <f aca="false">IF(AND(DITAR_MBYLLJE_AUTO!$H$26="GATI PËR POSTIM",DITAR_MBYLLJE_AUTO!$F$26&gt;0),MBYLLJA_6_7_AUTO!$B$7,"")</f>
        <v/>
      </c>
      <c r="B54" s="292" t="str">
        <f aca="false">IF(AND(DITAR_MBYLLJE_AUTO!$H$26="GATI PËR POSTIM",DITAR_MBYLLJE_AUTO!$F$26&gt;0),9023,"")</f>
        <v/>
      </c>
      <c r="C54" s="292" t="str">
        <f aca="false">IF(AND(DITAR_MBYLLJE_AUTO!$H$26="GATI PËR POSTIM",DITAR_MBYLLJE_AUTO!$F$26&gt;0),"MB-REG-"&amp;TEXT(23,"00"),"")</f>
        <v/>
      </c>
      <c r="D54" s="292" t="str">
        <f aca="false">IF(AND(DITAR_MBYLLJE_AUTO!$H$26="GATI PËR POSTIM",DITAR_MBYLLJE_AUTO!$F$26&gt;0),DITAR_MBYLLJE_AUTO!$D$26,"")</f>
        <v/>
      </c>
      <c r="E54" s="292" t="str">
        <f aca="false">IF(D54="","",IFERROR(VLOOKUP(D54,PLANI_LLOGARIVE!$A:$B,2,FALSE()),""))</f>
        <v/>
      </c>
      <c r="F54" s="293" t="str">
        <f aca="false">IF(AND(DITAR_MBYLLJE_AUTO!$H$26="GATI PËR POSTIM",DITAR_MBYLLJE_AUTO!$F$26&gt;0),DITAR_MBYLLJE_AUTO!$F$26,"")</f>
        <v/>
      </c>
      <c r="G54" s="294"/>
      <c r="H54" s="292" t="str">
        <f aca="false">IF(AND(DITAR_MBYLLJE_AUTO!$H$26="GATI PËR POSTIM",DITAR_MBYLLJE_AUTO!$F$26&gt;0),DITAR_MBYLLJE_AUTO!$B$26,"")</f>
        <v/>
      </c>
      <c r="I54" s="292" t="str">
        <f aca="false">IF(AND(DITAR_MBYLLJE_AUTO!$H$26="GATI PËR POSTIM",DITAR_MBYLLJE_AUTO!$F$26&gt;0),DITAR_MBYLLJE_AUTO!$C$26,"")</f>
        <v/>
      </c>
    </row>
    <row r="55" customFormat="false" ht="15" hidden="false" customHeight="true" outlineLevel="0" collapsed="false">
      <c r="A55" s="291" t="str">
        <f aca="false">IF(AND(DITAR_MBYLLJE_AUTO!$H$26="GATI PËR POSTIM",DITAR_MBYLLJE_AUTO!$F$26&gt;0),MBYLLJA_6_7_AUTO!$B$7,"")</f>
        <v/>
      </c>
      <c r="B55" s="292" t="str">
        <f aca="false">IF(AND(DITAR_MBYLLJE_AUTO!$H$26="GATI PËR POSTIM",DITAR_MBYLLJE_AUTO!$F$26&gt;0),9023,"")</f>
        <v/>
      </c>
      <c r="C55" s="292" t="str">
        <f aca="false">IF(AND(DITAR_MBYLLJE_AUTO!$H$26="GATI PËR POSTIM",DITAR_MBYLLJE_AUTO!$F$26&gt;0),"MB-REG-"&amp;TEXT(23,"00"),"")</f>
        <v/>
      </c>
      <c r="D55" s="292" t="str">
        <f aca="false">IF(AND(DITAR_MBYLLJE_AUTO!$H$26="GATI PËR POSTIM",DITAR_MBYLLJE_AUTO!$F$26&gt;0),DITAR_MBYLLJE_AUTO!$E$26,"")</f>
        <v/>
      </c>
      <c r="E55" s="292" t="str">
        <f aca="false">IF(D55="","",IFERROR(VLOOKUP(D55,PLANI_LLOGARIVE!$A:$B,2,FALSE()),""))</f>
        <v/>
      </c>
      <c r="F55" s="294"/>
      <c r="G55" s="293" t="str">
        <f aca="false">IF(AND(DITAR_MBYLLJE_AUTO!$H$26="GATI PËR POSTIM",DITAR_MBYLLJE_AUTO!$F$26&gt;0),DITAR_MBYLLJE_AUTO!$F$26,"")</f>
        <v/>
      </c>
      <c r="H55" s="292" t="str">
        <f aca="false">IF(AND(DITAR_MBYLLJE_AUTO!$H$26="GATI PËR POSTIM",DITAR_MBYLLJE_AUTO!$F$26&gt;0),DITAR_MBYLLJE_AUTO!$B$26,"")</f>
        <v/>
      </c>
      <c r="I55" s="292" t="str">
        <f aca="false">IF(AND(DITAR_MBYLLJE_AUTO!$H$26="GATI PËR POSTIM",DITAR_MBYLLJE_AUTO!$F$26&gt;0),DITAR_MBYLLJE_AUTO!$C$26,"")</f>
        <v/>
      </c>
    </row>
    <row r="56" customFormat="false" ht="15" hidden="false" customHeight="true" outlineLevel="0" collapsed="false">
      <c r="A56" s="291" t="str">
        <f aca="false">IF(AND(DITAR_MBYLLJE_AUTO!$H$27="GATI PËR POSTIM",DITAR_MBYLLJE_AUTO!$F$27&gt;0),MBYLLJA_6_7_AUTO!$B$7,"")</f>
        <v/>
      </c>
      <c r="B56" s="292" t="str">
        <f aca="false">IF(AND(DITAR_MBYLLJE_AUTO!$H$27="GATI PËR POSTIM",DITAR_MBYLLJE_AUTO!$F$27&gt;0),9024,"")</f>
        <v/>
      </c>
      <c r="C56" s="292" t="str">
        <f aca="false">IF(AND(DITAR_MBYLLJE_AUTO!$H$27="GATI PËR POSTIM",DITAR_MBYLLJE_AUTO!$F$27&gt;0),"MB-REG-"&amp;TEXT(24,"00"),"")</f>
        <v/>
      </c>
      <c r="D56" s="292" t="str">
        <f aca="false">IF(AND(DITAR_MBYLLJE_AUTO!$H$27="GATI PËR POSTIM",DITAR_MBYLLJE_AUTO!$F$27&gt;0),DITAR_MBYLLJE_AUTO!$D$27,"")</f>
        <v/>
      </c>
      <c r="E56" s="292" t="str">
        <f aca="false">IF(D56="","",IFERROR(VLOOKUP(D56,PLANI_LLOGARIVE!$A:$B,2,FALSE()),""))</f>
        <v/>
      </c>
      <c r="F56" s="293" t="str">
        <f aca="false">IF(AND(DITAR_MBYLLJE_AUTO!$H$27="GATI PËR POSTIM",DITAR_MBYLLJE_AUTO!$F$27&gt;0),DITAR_MBYLLJE_AUTO!$F$27,"")</f>
        <v/>
      </c>
      <c r="G56" s="294"/>
      <c r="H56" s="292" t="str">
        <f aca="false">IF(AND(DITAR_MBYLLJE_AUTO!$H$27="GATI PËR POSTIM",DITAR_MBYLLJE_AUTO!$F$27&gt;0),DITAR_MBYLLJE_AUTO!$B$27,"")</f>
        <v/>
      </c>
      <c r="I56" s="292" t="str">
        <f aca="false">IF(AND(DITAR_MBYLLJE_AUTO!$H$27="GATI PËR POSTIM",DITAR_MBYLLJE_AUTO!$F$27&gt;0),DITAR_MBYLLJE_AUTO!$C$27,"")</f>
        <v/>
      </c>
    </row>
    <row r="57" customFormat="false" ht="15" hidden="false" customHeight="true" outlineLevel="0" collapsed="false">
      <c r="A57" s="291" t="str">
        <f aca="false">IF(AND(DITAR_MBYLLJE_AUTO!$H$27="GATI PËR POSTIM",DITAR_MBYLLJE_AUTO!$F$27&gt;0),MBYLLJA_6_7_AUTO!$B$7,"")</f>
        <v/>
      </c>
      <c r="B57" s="292" t="str">
        <f aca="false">IF(AND(DITAR_MBYLLJE_AUTO!$H$27="GATI PËR POSTIM",DITAR_MBYLLJE_AUTO!$F$27&gt;0),9024,"")</f>
        <v/>
      </c>
      <c r="C57" s="292" t="str">
        <f aca="false">IF(AND(DITAR_MBYLLJE_AUTO!$H$27="GATI PËR POSTIM",DITAR_MBYLLJE_AUTO!$F$27&gt;0),"MB-REG-"&amp;TEXT(24,"00"),"")</f>
        <v/>
      </c>
      <c r="D57" s="292" t="str">
        <f aca="false">IF(AND(DITAR_MBYLLJE_AUTO!$H$27="GATI PËR POSTIM",DITAR_MBYLLJE_AUTO!$F$27&gt;0),DITAR_MBYLLJE_AUTO!$E$27,"")</f>
        <v/>
      </c>
      <c r="E57" s="292" t="str">
        <f aca="false">IF(D57="","",IFERROR(VLOOKUP(D57,PLANI_LLOGARIVE!$A:$B,2,FALSE()),""))</f>
        <v/>
      </c>
      <c r="F57" s="294"/>
      <c r="G57" s="293" t="str">
        <f aca="false">IF(AND(DITAR_MBYLLJE_AUTO!$H$27="GATI PËR POSTIM",DITAR_MBYLLJE_AUTO!$F$27&gt;0),DITAR_MBYLLJE_AUTO!$F$27,"")</f>
        <v/>
      </c>
      <c r="H57" s="292" t="str">
        <f aca="false">IF(AND(DITAR_MBYLLJE_AUTO!$H$27="GATI PËR POSTIM",DITAR_MBYLLJE_AUTO!$F$27&gt;0),DITAR_MBYLLJE_AUTO!$B$27,"")</f>
        <v/>
      </c>
      <c r="I57" s="292" t="str">
        <f aca="false">IF(AND(DITAR_MBYLLJE_AUTO!$H$27="GATI PËR POSTIM",DITAR_MBYLLJE_AUTO!$F$27&gt;0),DITAR_MBYLLJE_AUTO!$C$27,"")</f>
        <v/>
      </c>
    </row>
    <row r="58" customFormat="false" ht="15" hidden="false" customHeight="true" outlineLevel="0" collapsed="false">
      <c r="A58" s="291" t="str">
        <f aca="false">IF(AND(DITAR_MBYLLJE_AUTO!$H$28="GATI PËR POSTIM",DITAR_MBYLLJE_AUTO!$F$28&gt;0),MBYLLJA_6_7_AUTO!$B$7,"")</f>
        <v/>
      </c>
      <c r="B58" s="292" t="str">
        <f aca="false">IF(AND(DITAR_MBYLLJE_AUTO!$H$28="GATI PËR POSTIM",DITAR_MBYLLJE_AUTO!$F$28&gt;0),9025,"")</f>
        <v/>
      </c>
      <c r="C58" s="292" t="str">
        <f aca="false">IF(AND(DITAR_MBYLLJE_AUTO!$H$28="GATI PËR POSTIM",DITAR_MBYLLJE_AUTO!$F$28&gt;0),"MB-REG-"&amp;TEXT(25,"00"),"")</f>
        <v/>
      </c>
      <c r="D58" s="292" t="str">
        <f aca="false">IF(AND(DITAR_MBYLLJE_AUTO!$H$28="GATI PËR POSTIM",DITAR_MBYLLJE_AUTO!$F$28&gt;0),DITAR_MBYLLJE_AUTO!$D$28,"")</f>
        <v/>
      </c>
      <c r="E58" s="292" t="str">
        <f aca="false">IF(D58="","",IFERROR(VLOOKUP(D58,PLANI_LLOGARIVE!$A:$B,2,FALSE()),""))</f>
        <v/>
      </c>
      <c r="F58" s="293" t="str">
        <f aca="false">IF(AND(DITAR_MBYLLJE_AUTO!$H$28="GATI PËR POSTIM",DITAR_MBYLLJE_AUTO!$F$28&gt;0),DITAR_MBYLLJE_AUTO!$F$28,"")</f>
        <v/>
      </c>
      <c r="G58" s="294"/>
      <c r="H58" s="292" t="str">
        <f aca="false">IF(AND(DITAR_MBYLLJE_AUTO!$H$28="GATI PËR POSTIM",DITAR_MBYLLJE_AUTO!$F$28&gt;0),DITAR_MBYLLJE_AUTO!$B$28,"")</f>
        <v/>
      </c>
      <c r="I58" s="292" t="str">
        <f aca="false">IF(AND(DITAR_MBYLLJE_AUTO!$H$28="GATI PËR POSTIM",DITAR_MBYLLJE_AUTO!$F$28&gt;0),DITAR_MBYLLJE_AUTO!$C$28,"")</f>
        <v/>
      </c>
    </row>
    <row r="59" customFormat="false" ht="15" hidden="false" customHeight="true" outlineLevel="0" collapsed="false">
      <c r="A59" s="291" t="str">
        <f aca="false">IF(AND(DITAR_MBYLLJE_AUTO!$H$28="GATI PËR POSTIM",DITAR_MBYLLJE_AUTO!$F$28&gt;0),MBYLLJA_6_7_AUTO!$B$7,"")</f>
        <v/>
      </c>
      <c r="B59" s="292" t="str">
        <f aca="false">IF(AND(DITAR_MBYLLJE_AUTO!$H$28="GATI PËR POSTIM",DITAR_MBYLLJE_AUTO!$F$28&gt;0),9025,"")</f>
        <v/>
      </c>
      <c r="C59" s="292" t="str">
        <f aca="false">IF(AND(DITAR_MBYLLJE_AUTO!$H$28="GATI PËR POSTIM",DITAR_MBYLLJE_AUTO!$F$28&gt;0),"MB-REG-"&amp;TEXT(25,"00"),"")</f>
        <v/>
      </c>
      <c r="D59" s="292" t="str">
        <f aca="false">IF(AND(DITAR_MBYLLJE_AUTO!$H$28="GATI PËR POSTIM",DITAR_MBYLLJE_AUTO!$F$28&gt;0),DITAR_MBYLLJE_AUTO!$E$28,"")</f>
        <v/>
      </c>
      <c r="E59" s="292" t="str">
        <f aca="false">IF(D59="","",IFERROR(VLOOKUP(D59,PLANI_LLOGARIVE!$A:$B,2,FALSE()),""))</f>
        <v/>
      </c>
      <c r="F59" s="294"/>
      <c r="G59" s="293" t="str">
        <f aca="false">IF(AND(DITAR_MBYLLJE_AUTO!$H$28="GATI PËR POSTIM",DITAR_MBYLLJE_AUTO!$F$28&gt;0),DITAR_MBYLLJE_AUTO!$F$28,"")</f>
        <v/>
      </c>
      <c r="H59" s="292" t="str">
        <f aca="false">IF(AND(DITAR_MBYLLJE_AUTO!$H$28="GATI PËR POSTIM",DITAR_MBYLLJE_AUTO!$F$28&gt;0),DITAR_MBYLLJE_AUTO!$B$28,"")</f>
        <v/>
      </c>
      <c r="I59" s="292" t="str">
        <f aca="false">IF(AND(DITAR_MBYLLJE_AUTO!$H$28="GATI PËR POSTIM",DITAR_MBYLLJE_AUTO!$F$28&gt;0),DITAR_MBYLLJE_AUTO!$C$28,"")</f>
        <v/>
      </c>
    </row>
    <row r="60" customFormat="false" ht="15" hidden="false" customHeight="true" outlineLevel="0" collapsed="false">
      <c r="A60" s="291" t="str">
        <f aca="false">IF(AND(DITAR_MBYLLJE_AUTO!$H$29="GATI PËR POSTIM",DITAR_MBYLLJE_AUTO!$F$29&gt;0),MBYLLJA_6_7_AUTO!$B$7,"")</f>
        <v/>
      </c>
      <c r="B60" s="292" t="str">
        <f aca="false">IF(AND(DITAR_MBYLLJE_AUTO!$H$29="GATI PËR POSTIM",DITAR_MBYLLJE_AUTO!$F$29&gt;0),9026,"")</f>
        <v/>
      </c>
      <c r="C60" s="292" t="str">
        <f aca="false">IF(AND(DITAR_MBYLLJE_AUTO!$H$29="GATI PËR POSTIM",DITAR_MBYLLJE_AUTO!$F$29&gt;0),"MB-REG-"&amp;TEXT(26,"00"),"")</f>
        <v/>
      </c>
      <c r="D60" s="292" t="str">
        <f aca="false">IF(AND(DITAR_MBYLLJE_AUTO!$H$29="GATI PËR POSTIM",DITAR_MBYLLJE_AUTO!$F$29&gt;0),DITAR_MBYLLJE_AUTO!$D$29,"")</f>
        <v/>
      </c>
      <c r="E60" s="292" t="str">
        <f aca="false">IF(D60="","",IFERROR(VLOOKUP(D60,PLANI_LLOGARIVE!$A:$B,2,FALSE()),""))</f>
        <v/>
      </c>
      <c r="F60" s="293" t="str">
        <f aca="false">IF(AND(DITAR_MBYLLJE_AUTO!$H$29="GATI PËR POSTIM",DITAR_MBYLLJE_AUTO!$F$29&gt;0),DITAR_MBYLLJE_AUTO!$F$29,"")</f>
        <v/>
      </c>
      <c r="G60" s="294"/>
      <c r="H60" s="292" t="str">
        <f aca="false">IF(AND(DITAR_MBYLLJE_AUTO!$H$29="GATI PËR POSTIM",DITAR_MBYLLJE_AUTO!$F$29&gt;0),DITAR_MBYLLJE_AUTO!$B$29,"")</f>
        <v/>
      </c>
      <c r="I60" s="292" t="str">
        <f aca="false">IF(AND(DITAR_MBYLLJE_AUTO!$H$29="GATI PËR POSTIM",DITAR_MBYLLJE_AUTO!$F$29&gt;0),DITAR_MBYLLJE_AUTO!$C$29,"")</f>
        <v/>
      </c>
    </row>
    <row r="61" customFormat="false" ht="15" hidden="false" customHeight="true" outlineLevel="0" collapsed="false">
      <c r="A61" s="291" t="str">
        <f aca="false">IF(AND(DITAR_MBYLLJE_AUTO!$H$29="GATI PËR POSTIM",DITAR_MBYLLJE_AUTO!$F$29&gt;0),MBYLLJA_6_7_AUTO!$B$7,"")</f>
        <v/>
      </c>
      <c r="B61" s="292" t="str">
        <f aca="false">IF(AND(DITAR_MBYLLJE_AUTO!$H$29="GATI PËR POSTIM",DITAR_MBYLLJE_AUTO!$F$29&gt;0),9026,"")</f>
        <v/>
      </c>
      <c r="C61" s="292" t="str">
        <f aca="false">IF(AND(DITAR_MBYLLJE_AUTO!$H$29="GATI PËR POSTIM",DITAR_MBYLLJE_AUTO!$F$29&gt;0),"MB-REG-"&amp;TEXT(26,"00"),"")</f>
        <v/>
      </c>
      <c r="D61" s="292" t="str">
        <f aca="false">IF(AND(DITAR_MBYLLJE_AUTO!$H$29="GATI PËR POSTIM",DITAR_MBYLLJE_AUTO!$F$29&gt;0),DITAR_MBYLLJE_AUTO!$E$29,"")</f>
        <v/>
      </c>
      <c r="E61" s="292" t="str">
        <f aca="false">IF(D61="","",IFERROR(VLOOKUP(D61,PLANI_LLOGARIVE!$A:$B,2,FALSE()),""))</f>
        <v/>
      </c>
      <c r="F61" s="294"/>
      <c r="G61" s="293" t="str">
        <f aca="false">IF(AND(DITAR_MBYLLJE_AUTO!$H$29="GATI PËR POSTIM",DITAR_MBYLLJE_AUTO!$F$29&gt;0),DITAR_MBYLLJE_AUTO!$F$29,"")</f>
        <v/>
      </c>
      <c r="H61" s="292" t="str">
        <f aca="false">IF(AND(DITAR_MBYLLJE_AUTO!$H$29="GATI PËR POSTIM",DITAR_MBYLLJE_AUTO!$F$29&gt;0),DITAR_MBYLLJE_AUTO!$B$29,"")</f>
        <v/>
      </c>
      <c r="I61" s="292" t="str">
        <f aca="false">IF(AND(DITAR_MBYLLJE_AUTO!$H$29="GATI PËR POSTIM",DITAR_MBYLLJE_AUTO!$F$29&gt;0),DITAR_MBYLLJE_AUTO!$C$29,"")</f>
        <v/>
      </c>
    </row>
    <row r="62" customFormat="false" ht="15" hidden="false" customHeight="true" outlineLevel="0" collapsed="false">
      <c r="A62" s="291" t="str">
        <f aca="false">IF(AND(DITAR_MBYLLJE_AUTO!$H$30="GATI PËR POSTIM",DITAR_MBYLLJE_AUTO!$F$30&gt;0),MBYLLJA_6_7_AUTO!$B$7,"")</f>
        <v/>
      </c>
      <c r="B62" s="292" t="str">
        <f aca="false">IF(AND(DITAR_MBYLLJE_AUTO!$H$30="GATI PËR POSTIM",DITAR_MBYLLJE_AUTO!$F$30&gt;0),9027,"")</f>
        <v/>
      </c>
      <c r="C62" s="292" t="str">
        <f aca="false">IF(AND(DITAR_MBYLLJE_AUTO!$H$30="GATI PËR POSTIM",DITAR_MBYLLJE_AUTO!$F$30&gt;0),"MB-REG-"&amp;TEXT(27,"00"),"")</f>
        <v/>
      </c>
      <c r="D62" s="292" t="str">
        <f aca="false">IF(AND(DITAR_MBYLLJE_AUTO!$H$30="GATI PËR POSTIM",DITAR_MBYLLJE_AUTO!$F$30&gt;0),DITAR_MBYLLJE_AUTO!$D$30,"")</f>
        <v/>
      </c>
      <c r="E62" s="292" t="str">
        <f aca="false">IF(D62="","",IFERROR(VLOOKUP(D62,PLANI_LLOGARIVE!$A:$B,2,FALSE()),""))</f>
        <v/>
      </c>
      <c r="F62" s="293" t="str">
        <f aca="false">IF(AND(DITAR_MBYLLJE_AUTO!$H$30="GATI PËR POSTIM",DITAR_MBYLLJE_AUTO!$F$30&gt;0),DITAR_MBYLLJE_AUTO!$F$30,"")</f>
        <v/>
      </c>
      <c r="G62" s="294"/>
      <c r="H62" s="292" t="str">
        <f aca="false">IF(AND(DITAR_MBYLLJE_AUTO!$H$30="GATI PËR POSTIM",DITAR_MBYLLJE_AUTO!$F$30&gt;0),DITAR_MBYLLJE_AUTO!$B$30,"")</f>
        <v/>
      </c>
      <c r="I62" s="292" t="str">
        <f aca="false">IF(AND(DITAR_MBYLLJE_AUTO!$H$30="GATI PËR POSTIM",DITAR_MBYLLJE_AUTO!$F$30&gt;0),DITAR_MBYLLJE_AUTO!$C$30,"")</f>
        <v/>
      </c>
    </row>
    <row r="63" customFormat="false" ht="15" hidden="false" customHeight="true" outlineLevel="0" collapsed="false">
      <c r="A63" s="291" t="str">
        <f aca="false">IF(AND(DITAR_MBYLLJE_AUTO!$H$30="GATI PËR POSTIM",DITAR_MBYLLJE_AUTO!$F$30&gt;0),MBYLLJA_6_7_AUTO!$B$7,"")</f>
        <v/>
      </c>
      <c r="B63" s="292" t="str">
        <f aca="false">IF(AND(DITAR_MBYLLJE_AUTO!$H$30="GATI PËR POSTIM",DITAR_MBYLLJE_AUTO!$F$30&gt;0),9027,"")</f>
        <v/>
      </c>
      <c r="C63" s="292" t="str">
        <f aca="false">IF(AND(DITAR_MBYLLJE_AUTO!$H$30="GATI PËR POSTIM",DITAR_MBYLLJE_AUTO!$F$30&gt;0),"MB-REG-"&amp;TEXT(27,"00"),"")</f>
        <v/>
      </c>
      <c r="D63" s="292" t="str">
        <f aca="false">IF(AND(DITAR_MBYLLJE_AUTO!$H$30="GATI PËR POSTIM",DITAR_MBYLLJE_AUTO!$F$30&gt;0),DITAR_MBYLLJE_AUTO!$E$30,"")</f>
        <v/>
      </c>
      <c r="E63" s="292" t="str">
        <f aca="false">IF(D63="","",IFERROR(VLOOKUP(D63,PLANI_LLOGARIVE!$A:$B,2,FALSE()),""))</f>
        <v/>
      </c>
      <c r="F63" s="294"/>
      <c r="G63" s="293" t="str">
        <f aca="false">IF(AND(DITAR_MBYLLJE_AUTO!$H$30="GATI PËR POSTIM",DITAR_MBYLLJE_AUTO!$F$30&gt;0),DITAR_MBYLLJE_AUTO!$F$30,"")</f>
        <v/>
      </c>
      <c r="H63" s="292" t="str">
        <f aca="false">IF(AND(DITAR_MBYLLJE_AUTO!$H$30="GATI PËR POSTIM",DITAR_MBYLLJE_AUTO!$F$30&gt;0),DITAR_MBYLLJE_AUTO!$B$30,"")</f>
        <v/>
      </c>
      <c r="I63" s="292" t="str">
        <f aca="false">IF(AND(DITAR_MBYLLJE_AUTO!$H$30="GATI PËR POSTIM",DITAR_MBYLLJE_AUTO!$F$30&gt;0),DITAR_MBYLLJE_AUTO!$C$30,"")</f>
        <v/>
      </c>
    </row>
    <row r="64" customFormat="false" ht="15" hidden="false" customHeight="true" outlineLevel="0" collapsed="false">
      <c r="A64" s="291" t="str">
        <f aca="false">IF(AND(DITAR_MBYLLJE_AUTO!$H$31="GATI PËR POSTIM",DITAR_MBYLLJE_AUTO!$F$31&gt;0),MBYLLJA_6_7_AUTO!$B$7,"")</f>
        <v/>
      </c>
      <c r="B64" s="292" t="str">
        <f aca="false">IF(AND(DITAR_MBYLLJE_AUTO!$H$31="GATI PËR POSTIM",DITAR_MBYLLJE_AUTO!$F$31&gt;0),9028,"")</f>
        <v/>
      </c>
      <c r="C64" s="292" t="str">
        <f aca="false">IF(AND(DITAR_MBYLLJE_AUTO!$H$31="GATI PËR POSTIM",DITAR_MBYLLJE_AUTO!$F$31&gt;0),"MB-REG-"&amp;TEXT(28,"00"),"")</f>
        <v/>
      </c>
      <c r="D64" s="292" t="str">
        <f aca="false">IF(AND(DITAR_MBYLLJE_AUTO!$H$31="GATI PËR POSTIM",DITAR_MBYLLJE_AUTO!$F$31&gt;0),DITAR_MBYLLJE_AUTO!$D$31,"")</f>
        <v/>
      </c>
      <c r="E64" s="292" t="str">
        <f aca="false">IF(D64="","",IFERROR(VLOOKUP(D64,PLANI_LLOGARIVE!$A:$B,2,FALSE()),""))</f>
        <v/>
      </c>
      <c r="F64" s="293" t="str">
        <f aca="false">IF(AND(DITAR_MBYLLJE_AUTO!$H$31="GATI PËR POSTIM",DITAR_MBYLLJE_AUTO!$F$31&gt;0),DITAR_MBYLLJE_AUTO!$F$31,"")</f>
        <v/>
      </c>
      <c r="G64" s="294"/>
      <c r="H64" s="292" t="str">
        <f aca="false">IF(AND(DITAR_MBYLLJE_AUTO!$H$31="GATI PËR POSTIM",DITAR_MBYLLJE_AUTO!$F$31&gt;0),DITAR_MBYLLJE_AUTO!$B$31,"")</f>
        <v/>
      </c>
      <c r="I64" s="292" t="str">
        <f aca="false">IF(AND(DITAR_MBYLLJE_AUTO!$H$31="GATI PËR POSTIM",DITAR_MBYLLJE_AUTO!$F$31&gt;0),DITAR_MBYLLJE_AUTO!$C$31,"")</f>
        <v/>
      </c>
    </row>
    <row r="65" customFormat="false" ht="15" hidden="false" customHeight="true" outlineLevel="0" collapsed="false">
      <c r="A65" s="291" t="str">
        <f aca="false">IF(AND(DITAR_MBYLLJE_AUTO!$H$31="GATI PËR POSTIM",DITAR_MBYLLJE_AUTO!$F$31&gt;0),MBYLLJA_6_7_AUTO!$B$7,"")</f>
        <v/>
      </c>
      <c r="B65" s="292" t="str">
        <f aca="false">IF(AND(DITAR_MBYLLJE_AUTO!$H$31="GATI PËR POSTIM",DITAR_MBYLLJE_AUTO!$F$31&gt;0),9028,"")</f>
        <v/>
      </c>
      <c r="C65" s="292" t="str">
        <f aca="false">IF(AND(DITAR_MBYLLJE_AUTO!$H$31="GATI PËR POSTIM",DITAR_MBYLLJE_AUTO!$F$31&gt;0),"MB-REG-"&amp;TEXT(28,"00"),"")</f>
        <v/>
      </c>
      <c r="D65" s="292" t="str">
        <f aca="false">IF(AND(DITAR_MBYLLJE_AUTO!$H$31="GATI PËR POSTIM",DITAR_MBYLLJE_AUTO!$F$31&gt;0),DITAR_MBYLLJE_AUTO!$E$31,"")</f>
        <v/>
      </c>
      <c r="E65" s="292" t="str">
        <f aca="false">IF(D65="","",IFERROR(VLOOKUP(D65,PLANI_LLOGARIVE!$A:$B,2,FALSE()),""))</f>
        <v/>
      </c>
      <c r="F65" s="294"/>
      <c r="G65" s="293" t="str">
        <f aca="false">IF(AND(DITAR_MBYLLJE_AUTO!$H$31="GATI PËR POSTIM",DITAR_MBYLLJE_AUTO!$F$31&gt;0),DITAR_MBYLLJE_AUTO!$F$31,"")</f>
        <v/>
      </c>
      <c r="H65" s="292" t="str">
        <f aca="false">IF(AND(DITAR_MBYLLJE_AUTO!$H$31="GATI PËR POSTIM",DITAR_MBYLLJE_AUTO!$F$31&gt;0),DITAR_MBYLLJE_AUTO!$B$31,"")</f>
        <v/>
      </c>
      <c r="I65" s="292" t="str">
        <f aca="false">IF(AND(DITAR_MBYLLJE_AUTO!$H$31="GATI PËR POSTIM",DITAR_MBYLLJE_AUTO!$F$31&gt;0),DITAR_MBYLLJE_AUTO!$C$31,"")</f>
        <v/>
      </c>
    </row>
    <row r="66" customFormat="false" ht="15" hidden="false" customHeight="true" outlineLevel="0" collapsed="false">
      <c r="A66" s="291" t="str">
        <f aca="false">IF(AND(DITAR_MBYLLJE_AUTO!$H$32="GATI PËR POSTIM",DITAR_MBYLLJE_AUTO!$F$32&gt;0),MBYLLJA_6_7_AUTO!$B$7,"")</f>
        <v/>
      </c>
      <c r="B66" s="292" t="str">
        <f aca="false">IF(AND(DITAR_MBYLLJE_AUTO!$H$32="GATI PËR POSTIM",DITAR_MBYLLJE_AUTO!$F$32&gt;0),9029,"")</f>
        <v/>
      </c>
      <c r="C66" s="292" t="str">
        <f aca="false">IF(AND(DITAR_MBYLLJE_AUTO!$H$32="GATI PËR POSTIM",DITAR_MBYLLJE_AUTO!$F$32&gt;0),"MB-REG-"&amp;TEXT(29,"00"),"")</f>
        <v/>
      </c>
      <c r="D66" s="292" t="str">
        <f aca="false">IF(AND(DITAR_MBYLLJE_AUTO!$H$32="GATI PËR POSTIM",DITAR_MBYLLJE_AUTO!$F$32&gt;0),DITAR_MBYLLJE_AUTO!$D$32,"")</f>
        <v/>
      </c>
      <c r="E66" s="292" t="str">
        <f aca="false">IF(D66="","",IFERROR(VLOOKUP(D66,PLANI_LLOGARIVE!$A:$B,2,FALSE()),""))</f>
        <v/>
      </c>
      <c r="F66" s="293" t="str">
        <f aca="false">IF(AND(DITAR_MBYLLJE_AUTO!$H$32="GATI PËR POSTIM",DITAR_MBYLLJE_AUTO!$F$32&gt;0),DITAR_MBYLLJE_AUTO!$F$32,"")</f>
        <v/>
      </c>
      <c r="G66" s="294"/>
      <c r="H66" s="292" t="str">
        <f aca="false">IF(AND(DITAR_MBYLLJE_AUTO!$H$32="GATI PËR POSTIM",DITAR_MBYLLJE_AUTO!$F$32&gt;0),DITAR_MBYLLJE_AUTO!$B$32,"")</f>
        <v/>
      </c>
      <c r="I66" s="292" t="str">
        <f aca="false">IF(AND(DITAR_MBYLLJE_AUTO!$H$32="GATI PËR POSTIM",DITAR_MBYLLJE_AUTO!$F$32&gt;0),DITAR_MBYLLJE_AUTO!$C$32,"")</f>
        <v/>
      </c>
    </row>
    <row r="67" customFormat="false" ht="15" hidden="false" customHeight="true" outlineLevel="0" collapsed="false">
      <c r="A67" s="291" t="str">
        <f aca="false">IF(AND(DITAR_MBYLLJE_AUTO!$H$32="GATI PËR POSTIM",DITAR_MBYLLJE_AUTO!$F$32&gt;0),MBYLLJA_6_7_AUTO!$B$7,"")</f>
        <v/>
      </c>
      <c r="B67" s="292" t="str">
        <f aca="false">IF(AND(DITAR_MBYLLJE_AUTO!$H$32="GATI PËR POSTIM",DITAR_MBYLLJE_AUTO!$F$32&gt;0),9029,"")</f>
        <v/>
      </c>
      <c r="C67" s="292" t="str">
        <f aca="false">IF(AND(DITAR_MBYLLJE_AUTO!$H$32="GATI PËR POSTIM",DITAR_MBYLLJE_AUTO!$F$32&gt;0),"MB-REG-"&amp;TEXT(29,"00"),"")</f>
        <v/>
      </c>
      <c r="D67" s="292" t="str">
        <f aca="false">IF(AND(DITAR_MBYLLJE_AUTO!$H$32="GATI PËR POSTIM",DITAR_MBYLLJE_AUTO!$F$32&gt;0),DITAR_MBYLLJE_AUTO!$E$32,"")</f>
        <v/>
      </c>
      <c r="E67" s="292" t="str">
        <f aca="false">IF(D67="","",IFERROR(VLOOKUP(D67,PLANI_LLOGARIVE!$A:$B,2,FALSE()),""))</f>
        <v/>
      </c>
      <c r="F67" s="294"/>
      <c r="G67" s="293" t="str">
        <f aca="false">IF(AND(DITAR_MBYLLJE_AUTO!$H$32="GATI PËR POSTIM",DITAR_MBYLLJE_AUTO!$F$32&gt;0),DITAR_MBYLLJE_AUTO!$F$32,"")</f>
        <v/>
      </c>
      <c r="H67" s="292" t="str">
        <f aca="false">IF(AND(DITAR_MBYLLJE_AUTO!$H$32="GATI PËR POSTIM",DITAR_MBYLLJE_AUTO!$F$32&gt;0),DITAR_MBYLLJE_AUTO!$B$32,"")</f>
        <v/>
      </c>
      <c r="I67" s="292" t="str">
        <f aca="false">IF(AND(DITAR_MBYLLJE_AUTO!$H$32="GATI PËR POSTIM",DITAR_MBYLLJE_AUTO!$F$32&gt;0),DITAR_MBYLLJE_AUTO!$C$32,"")</f>
        <v/>
      </c>
    </row>
    <row r="68" customFormat="false" ht="15" hidden="false" customHeight="true" outlineLevel="0" collapsed="false">
      <c r="A68" s="291" t="str">
        <f aca="false">IF(AND(DITAR_MBYLLJE_AUTO!$H$33="GATI PËR POSTIM",DITAR_MBYLLJE_AUTO!$F$33&gt;0),MBYLLJA_6_7_AUTO!$B$7,"")</f>
        <v/>
      </c>
      <c r="B68" s="292" t="str">
        <f aca="false">IF(AND(DITAR_MBYLLJE_AUTO!$H$33="GATI PËR POSTIM",DITAR_MBYLLJE_AUTO!$F$33&gt;0),9030,"")</f>
        <v/>
      </c>
      <c r="C68" s="292" t="str">
        <f aca="false">IF(AND(DITAR_MBYLLJE_AUTO!$H$33="GATI PËR POSTIM",DITAR_MBYLLJE_AUTO!$F$33&gt;0),"MB-REG-"&amp;TEXT(30,"00"),"")</f>
        <v/>
      </c>
      <c r="D68" s="292" t="str">
        <f aca="false">IF(AND(DITAR_MBYLLJE_AUTO!$H$33="GATI PËR POSTIM",DITAR_MBYLLJE_AUTO!$F$33&gt;0),DITAR_MBYLLJE_AUTO!$D$33,"")</f>
        <v/>
      </c>
      <c r="E68" s="292" t="str">
        <f aca="false">IF(D68="","",IFERROR(VLOOKUP(D68,PLANI_LLOGARIVE!$A:$B,2,FALSE()),""))</f>
        <v/>
      </c>
      <c r="F68" s="293" t="str">
        <f aca="false">IF(AND(DITAR_MBYLLJE_AUTO!$H$33="GATI PËR POSTIM",DITAR_MBYLLJE_AUTO!$F$33&gt;0),DITAR_MBYLLJE_AUTO!$F$33,"")</f>
        <v/>
      </c>
      <c r="G68" s="294"/>
      <c r="H68" s="292" t="str">
        <f aca="false">IF(AND(DITAR_MBYLLJE_AUTO!$H$33="GATI PËR POSTIM",DITAR_MBYLLJE_AUTO!$F$33&gt;0),DITAR_MBYLLJE_AUTO!$B$33,"")</f>
        <v/>
      </c>
      <c r="I68" s="292" t="str">
        <f aca="false">IF(AND(DITAR_MBYLLJE_AUTO!$H$33="GATI PËR POSTIM",DITAR_MBYLLJE_AUTO!$F$33&gt;0),DITAR_MBYLLJE_AUTO!$C$33,"")</f>
        <v/>
      </c>
    </row>
    <row r="69" customFormat="false" ht="15" hidden="false" customHeight="true" outlineLevel="0" collapsed="false">
      <c r="A69" s="291" t="str">
        <f aca="false">IF(AND(DITAR_MBYLLJE_AUTO!$H$33="GATI PËR POSTIM",DITAR_MBYLLJE_AUTO!$F$33&gt;0),MBYLLJA_6_7_AUTO!$B$7,"")</f>
        <v/>
      </c>
      <c r="B69" s="292" t="str">
        <f aca="false">IF(AND(DITAR_MBYLLJE_AUTO!$H$33="GATI PËR POSTIM",DITAR_MBYLLJE_AUTO!$F$33&gt;0),9030,"")</f>
        <v/>
      </c>
      <c r="C69" s="292" t="str">
        <f aca="false">IF(AND(DITAR_MBYLLJE_AUTO!$H$33="GATI PËR POSTIM",DITAR_MBYLLJE_AUTO!$F$33&gt;0),"MB-REG-"&amp;TEXT(30,"00"),"")</f>
        <v/>
      </c>
      <c r="D69" s="292" t="str">
        <f aca="false">IF(AND(DITAR_MBYLLJE_AUTO!$H$33="GATI PËR POSTIM",DITAR_MBYLLJE_AUTO!$F$33&gt;0),DITAR_MBYLLJE_AUTO!$E$33,"")</f>
        <v/>
      </c>
      <c r="E69" s="292" t="str">
        <f aca="false">IF(D69="","",IFERROR(VLOOKUP(D69,PLANI_LLOGARIVE!$A:$B,2,FALSE()),""))</f>
        <v/>
      </c>
      <c r="F69" s="294"/>
      <c r="G69" s="293" t="str">
        <f aca="false">IF(AND(DITAR_MBYLLJE_AUTO!$H$33="GATI PËR POSTIM",DITAR_MBYLLJE_AUTO!$F$33&gt;0),DITAR_MBYLLJE_AUTO!$F$33,"")</f>
        <v/>
      </c>
      <c r="H69" s="292" t="str">
        <f aca="false">IF(AND(DITAR_MBYLLJE_AUTO!$H$33="GATI PËR POSTIM",DITAR_MBYLLJE_AUTO!$F$33&gt;0),DITAR_MBYLLJE_AUTO!$B$33,"")</f>
        <v/>
      </c>
      <c r="I69" s="292" t="str">
        <f aca="false">IF(AND(DITAR_MBYLLJE_AUTO!$H$33="GATI PËR POSTIM",DITAR_MBYLLJE_AUTO!$F$33&gt;0),DITAR_MBYLLJE_AUTO!$C$33,"")</f>
        <v/>
      </c>
    </row>
    <row r="70" customFormat="false" ht="15" hidden="false" customHeight="true" outlineLevel="0" collapsed="false">
      <c r="A70" s="291" t="str">
        <f aca="false">IF(AND(DITAR_MBYLLJE_AUTO!$H$34="GATI PËR POSTIM",DITAR_MBYLLJE_AUTO!$F$34&gt;0),MBYLLJA_6_7_AUTO!$B$7,"")</f>
        <v/>
      </c>
      <c r="B70" s="292" t="str">
        <f aca="false">IF(AND(DITAR_MBYLLJE_AUTO!$H$34="GATI PËR POSTIM",DITAR_MBYLLJE_AUTO!$F$34&gt;0),9031,"")</f>
        <v/>
      </c>
      <c r="C70" s="292" t="str">
        <f aca="false">IF(AND(DITAR_MBYLLJE_AUTO!$H$34="GATI PËR POSTIM",DITAR_MBYLLJE_AUTO!$F$34&gt;0),"MB-REG-"&amp;TEXT(31,"00"),"")</f>
        <v/>
      </c>
      <c r="D70" s="292" t="str">
        <f aca="false">IF(AND(DITAR_MBYLLJE_AUTO!$H$34="GATI PËR POSTIM",DITAR_MBYLLJE_AUTO!$F$34&gt;0),DITAR_MBYLLJE_AUTO!$D$34,"")</f>
        <v/>
      </c>
      <c r="E70" s="292" t="str">
        <f aca="false">IF(D70="","",IFERROR(VLOOKUP(D70,PLANI_LLOGARIVE!$A:$B,2,FALSE()),""))</f>
        <v/>
      </c>
      <c r="F70" s="293" t="str">
        <f aca="false">IF(AND(DITAR_MBYLLJE_AUTO!$H$34="GATI PËR POSTIM",DITAR_MBYLLJE_AUTO!$F$34&gt;0),DITAR_MBYLLJE_AUTO!$F$34,"")</f>
        <v/>
      </c>
      <c r="G70" s="294"/>
      <c r="H70" s="292" t="str">
        <f aca="false">IF(AND(DITAR_MBYLLJE_AUTO!$H$34="GATI PËR POSTIM",DITAR_MBYLLJE_AUTO!$F$34&gt;0),DITAR_MBYLLJE_AUTO!$B$34,"")</f>
        <v/>
      </c>
      <c r="I70" s="292" t="str">
        <f aca="false">IF(AND(DITAR_MBYLLJE_AUTO!$H$34="GATI PËR POSTIM",DITAR_MBYLLJE_AUTO!$F$34&gt;0),DITAR_MBYLLJE_AUTO!$C$34,"")</f>
        <v/>
      </c>
    </row>
    <row r="71" customFormat="false" ht="15" hidden="false" customHeight="true" outlineLevel="0" collapsed="false">
      <c r="A71" s="291" t="str">
        <f aca="false">IF(AND(DITAR_MBYLLJE_AUTO!$H$34="GATI PËR POSTIM",DITAR_MBYLLJE_AUTO!$F$34&gt;0),MBYLLJA_6_7_AUTO!$B$7,"")</f>
        <v/>
      </c>
      <c r="B71" s="292" t="str">
        <f aca="false">IF(AND(DITAR_MBYLLJE_AUTO!$H$34="GATI PËR POSTIM",DITAR_MBYLLJE_AUTO!$F$34&gt;0),9031,"")</f>
        <v/>
      </c>
      <c r="C71" s="292" t="str">
        <f aca="false">IF(AND(DITAR_MBYLLJE_AUTO!$H$34="GATI PËR POSTIM",DITAR_MBYLLJE_AUTO!$F$34&gt;0),"MB-REG-"&amp;TEXT(31,"00"),"")</f>
        <v/>
      </c>
      <c r="D71" s="292" t="str">
        <f aca="false">IF(AND(DITAR_MBYLLJE_AUTO!$H$34="GATI PËR POSTIM",DITAR_MBYLLJE_AUTO!$F$34&gt;0),DITAR_MBYLLJE_AUTO!$E$34,"")</f>
        <v/>
      </c>
      <c r="E71" s="292" t="str">
        <f aca="false">IF(D71="","",IFERROR(VLOOKUP(D71,PLANI_LLOGARIVE!$A:$B,2,FALSE()),""))</f>
        <v/>
      </c>
      <c r="F71" s="294"/>
      <c r="G71" s="293" t="str">
        <f aca="false">IF(AND(DITAR_MBYLLJE_AUTO!$H$34="GATI PËR POSTIM",DITAR_MBYLLJE_AUTO!$F$34&gt;0),DITAR_MBYLLJE_AUTO!$F$34,"")</f>
        <v/>
      </c>
      <c r="H71" s="292" t="str">
        <f aca="false">IF(AND(DITAR_MBYLLJE_AUTO!$H$34="GATI PËR POSTIM",DITAR_MBYLLJE_AUTO!$F$34&gt;0),DITAR_MBYLLJE_AUTO!$B$34,"")</f>
        <v/>
      </c>
      <c r="I71" s="292" t="str">
        <f aca="false">IF(AND(DITAR_MBYLLJE_AUTO!$H$34="GATI PËR POSTIM",DITAR_MBYLLJE_AUTO!$F$34&gt;0),DITAR_MBYLLJE_AUTO!$C$34,"")</f>
        <v/>
      </c>
    </row>
    <row r="72" customFormat="false" ht="15" hidden="false" customHeight="true" outlineLevel="0" collapsed="false">
      <c r="A72" s="291" t="str">
        <f aca="false">IF(AND(DITAR_MBYLLJE_AUTO!$H$35="GATI PËR POSTIM",DITAR_MBYLLJE_AUTO!$F$35&gt;0),MBYLLJA_6_7_AUTO!$B$7,"")</f>
        <v/>
      </c>
      <c r="B72" s="292" t="str">
        <f aca="false">IF(AND(DITAR_MBYLLJE_AUTO!$H$35="GATI PËR POSTIM",DITAR_MBYLLJE_AUTO!$F$35&gt;0),9032,"")</f>
        <v/>
      </c>
      <c r="C72" s="292" t="str">
        <f aca="false">IF(AND(DITAR_MBYLLJE_AUTO!$H$35="GATI PËR POSTIM",DITAR_MBYLLJE_AUTO!$F$35&gt;0),"MB-REG-"&amp;TEXT(32,"00"),"")</f>
        <v/>
      </c>
      <c r="D72" s="292" t="str">
        <f aca="false">IF(AND(DITAR_MBYLLJE_AUTO!$H$35="GATI PËR POSTIM",DITAR_MBYLLJE_AUTO!$F$35&gt;0),DITAR_MBYLLJE_AUTO!$D$35,"")</f>
        <v/>
      </c>
      <c r="E72" s="292" t="str">
        <f aca="false">IF(D72="","",IFERROR(VLOOKUP(D72,PLANI_LLOGARIVE!$A:$B,2,FALSE()),""))</f>
        <v/>
      </c>
      <c r="F72" s="293" t="str">
        <f aca="false">IF(AND(DITAR_MBYLLJE_AUTO!$H$35="GATI PËR POSTIM",DITAR_MBYLLJE_AUTO!$F$35&gt;0),DITAR_MBYLLJE_AUTO!$F$35,"")</f>
        <v/>
      </c>
      <c r="G72" s="294"/>
      <c r="H72" s="292" t="str">
        <f aca="false">IF(AND(DITAR_MBYLLJE_AUTO!$H$35="GATI PËR POSTIM",DITAR_MBYLLJE_AUTO!$F$35&gt;0),DITAR_MBYLLJE_AUTO!$B$35,"")</f>
        <v/>
      </c>
      <c r="I72" s="292" t="str">
        <f aca="false">IF(AND(DITAR_MBYLLJE_AUTO!$H$35="GATI PËR POSTIM",DITAR_MBYLLJE_AUTO!$F$35&gt;0),DITAR_MBYLLJE_AUTO!$C$35,"")</f>
        <v/>
      </c>
    </row>
    <row r="73" customFormat="false" ht="15" hidden="false" customHeight="true" outlineLevel="0" collapsed="false">
      <c r="A73" s="291" t="str">
        <f aca="false">IF(AND(DITAR_MBYLLJE_AUTO!$H$35="GATI PËR POSTIM",DITAR_MBYLLJE_AUTO!$F$35&gt;0),MBYLLJA_6_7_AUTO!$B$7,"")</f>
        <v/>
      </c>
      <c r="B73" s="292" t="str">
        <f aca="false">IF(AND(DITAR_MBYLLJE_AUTO!$H$35="GATI PËR POSTIM",DITAR_MBYLLJE_AUTO!$F$35&gt;0),9032,"")</f>
        <v/>
      </c>
      <c r="C73" s="292" t="str">
        <f aca="false">IF(AND(DITAR_MBYLLJE_AUTO!$H$35="GATI PËR POSTIM",DITAR_MBYLLJE_AUTO!$F$35&gt;0),"MB-REG-"&amp;TEXT(32,"00"),"")</f>
        <v/>
      </c>
      <c r="D73" s="292" t="str">
        <f aca="false">IF(AND(DITAR_MBYLLJE_AUTO!$H$35="GATI PËR POSTIM",DITAR_MBYLLJE_AUTO!$F$35&gt;0),DITAR_MBYLLJE_AUTO!$E$35,"")</f>
        <v/>
      </c>
      <c r="E73" s="292" t="str">
        <f aca="false">IF(D73="","",IFERROR(VLOOKUP(D73,PLANI_LLOGARIVE!$A:$B,2,FALSE()),""))</f>
        <v/>
      </c>
      <c r="F73" s="294"/>
      <c r="G73" s="293" t="str">
        <f aca="false">IF(AND(DITAR_MBYLLJE_AUTO!$H$35="GATI PËR POSTIM",DITAR_MBYLLJE_AUTO!$F$35&gt;0),DITAR_MBYLLJE_AUTO!$F$35,"")</f>
        <v/>
      </c>
      <c r="H73" s="292" t="str">
        <f aca="false">IF(AND(DITAR_MBYLLJE_AUTO!$H$35="GATI PËR POSTIM",DITAR_MBYLLJE_AUTO!$F$35&gt;0),DITAR_MBYLLJE_AUTO!$B$35,"")</f>
        <v/>
      </c>
      <c r="I73" s="292" t="str">
        <f aca="false">IF(AND(DITAR_MBYLLJE_AUTO!$H$35="GATI PËR POSTIM",DITAR_MBYLLJE_AUTO!$F$35&gt;0),DITAR_MBYLLJE_AUTO!$C$35,"")</f>
        <v/>
      </c>
    </row>
    <row r="74" customFormat="false" ht="15" hidden="false" customHeight="true" outlineLevel="0" collapsed="false">
      <c r="A74" s="291" t="str">
        <f aca="false">IF(AND(DITAR_MBYLLJE_AUTO!$H$36="GATI PËR POSTIM",DITAR_MBYLLJE_AUTO!$F$36&gt;0),MBYLLJA_6_7_AUTO!$B$7,"")</f>
        <v/>
      </c>
      <c r="B74" s="292" t="str">
        <f aca="false">IF(AND(DITAR_MBYLLJE_AUTO!$H$36="GATI PËR POSTIM",DITAR_MBYLLJE_AUTO!$F$36&gt;0),9033,"")</f>
        <v/>
      </c>
      <c r="C74" s="292" t="str">
        <f aca="false">IF(AND(DITAR_MBYLLJE_AUTO!$H$36="GATI PËR POSTIM",DITAR_MBYLLJE_AUTO!$F$36&gt;0),"MB-REG-"&amp;TEXT(33,"00"),"")</f>
        <v/>
      </c>
      <c r="D74" s="292" t="str">
        <f aca="false">IF(AND(DITAR_MBYLLJE_AUTO!$H$36="GATI PËR POSTIM",DITAR_MBYLLJE_AUTO!$F$36&gt;0),DITAR_MBYLLJE_AUTO!$D$36,"")</f>
        <v/>
      </c>
      <c r="E74" s="292" t="str">
        <f aca="false">IF(D74="","",IFERROR(VLOOKUP(D74,PLANI_LLOGARIVE!$A:$B,2,FALSE()),""))</f>
        <v/>
      </c>
      <c r="F74" s="293" t="str">
        <f aca="false">IF(AND(DITAR_MBYLLJE_AUTO!$H$36="GATI PËR POSTIM",DITAR_MBYLLJE_AUTO!$F$36&gt;0),DITAR_MBYLLJE_AUTO!$F$36,"")</f>
        <v/>
      </c>
      <c r="G74" s="294"/>
      <c r="H74" s="292" t="str">
        <f aca="false">IF(AND(DITAR_MBYLLJE_AUTO!$H$36="GATI PËR POSTIM",DITAR_MBYLLJE_AUTO!$F$36&gt;0),DITAR_MBYLLJE_AUTO!$B$36,"")</f>
        <v/>
      </c>
      <c r="I74" s="292" t="str">
        <f aca="false">IF(AND(DITAR_MBYLLJE_AUTO!$H$36="GATI PËR POSTIM",DITAR_MBYLLJE_AUTO!$F$36&gt;0),DITAR_MBYLLJE_AUTO!$C$36,"")</f>
        <v/>
      </c>
    </row>
    <row r="75" customFormat="false" ht="15" hidden="false" customHeight="true" outlineLevel="0" collapsed="false">
      <c r="A75" s="291" t="str">
        <f aca="false">IF(AND(DITAR_MBYLLJE_AUTO!$H$36="GATI PËR POSTIM",DITAR_MBYLLJE_AUTO!$F$36&gt;0),MBYLLJA_6_7_AUTO!$B$7,"")</f>
        <v/>
      </c>
      <c r="B75" s="292" t="str">
        <f aca="false">IF(AND(DITAR_MBYLLJE_AUTO!$H$36="GATI PËR POSTIM",DITAR_MBYLLJE_AUTO!$F$36&gt;0),9033,"")</f>
        <v/>
      </c>
      <c r="C75" s="292" t="str">
        <f aca="false">IF(AND(DITAR_MBYLLJE_AUTO!$H$36="GATI PËR POSTIM",DITAR_MBYLLJE_AUTO!$F$36&gt;0),"MB-REG-"&amp;TEXT(33,"00"),"")</f>
        <v/>
      </c>
      <c r="D75" s="292" t="str">
        <f aca="false">IF(AND(DITAR_MBYLLJE_AUTO!$H$36="GATI PËR POSTIM",DITAR_MBYLLJE_AUTO!$F$36&gt;0),DITAR_MBYLLJE_AUTO!$E$36,"")</f>
        <v/>
      </c>
      <c r="E75" s="292" t="str">
        <f aca="false">IF(D75="","",IFERROR(VLOOKUP(D75,PLANI_LLOGARIVE!$A:$B,2,FALSE()),""))</f>
        <v/>
      </c>
      <c r="F75" s="294"/>
      <c r="G75" s="293" t="str">
        <f aca="false">IF(AND(DITAR_MBYLLJE_AUTO!$H$36="GATI PËR POSTIM",DITAR_MBYLLJE_AUTO!$F$36&gt;0),DITAR_MBYLLJE_AUTO!$F$36,"")</f>
        <v/>
      </c>
      <c r="H75" s="292" t="str">
        <f aca="false">IF(AND(DITAR_MBYLLJE_AUTO!$H$36="GATI PËR POSTIM",DITAR_MBYLLJE_AUTO!$F$36&gt;0),DITAR_MBYLLJE_AUTO!$B$36,"")</f>
        <v/>
      </c>
      <c r="I75" s="292" t="str">
        <f aca="false">IF(AND(DITAR_MBYLLJE_AUTO!$H$36="GATI PËR POSTIM",DITAR_MBYLLJE_AUTO!$F$36&gt;0),DITAR_MBYLLJE_AUTO!$C$36,"")</f>
        <v/>
      </c>
    </row>
    <row r="76" customFormat="false" ht="15" hidden="false" customHeight="true" outlineLevel="0" collapsed="false">
      <c r="A76" s="291" t="str">
        <f aca="false">IF(AND(DITAR_MBYLLJE_AUTO!$H$37="GATI PËR POSTIM",DITAR_MBYLLJE_AUTO!$F$37&gt;0),MBYLLJA_6_7_AUTO!$B$7,"")</f>
        <v/>
      </c>
      <c r="B76" s="292" t="str">
        <f aca="false">IF(AND(DITAR_MBYLLJE_AUTO!$H$37="GATI PËR POSTIM",DITAR_MBYLLJE_AUTO!$F$37&gt;0),9034,"")</f>
        <v/>
      </c>
      <c r="C76" s="292" t="str">
        <f aca="false">IF(AND(DITAR_MBYLLJE_AUTO!$H$37="GATI PËR POSTIM",DITAR_MBYLLJE_AUTO!$F$37&gt;0),"MB-REG-"&amp;TEXT(34,"00"),"")</f>
        <v/>
      </c>
      <c r="D76" s="292" t="str">
        <f aca="false">IF(AND(DITAR_MBYLLJE_AUTO!$H$37="GATI PËR POSTIM",DITAR_MBYLLJE_AUTO!$F$37&gt;0),DITAR_MBYLLJE_AUTO!$D$37,"")</f>
        <v/>
      </c>
      <c r="E76" s="292" t="str">
        <f aca="false">IF(D76="","",IFERROR(VLOOKUP(D76,PLANI_LLOGARIVE!$A:$B,2,FALSE()),""))</f>
        <v/>
      </c>
      <c r="F76" s="293" t="str">
        <f aca="false">IF(AND(DITAR_MBYLLJE_AUTO!$H$37="GATI PËR POSTIM",DITAR_MBYLLJE_AUTO!$F$37&gt;0),DITAR_MBYLLJE_AUTO!$F$37,"")</f>
        <v/>
      </c>
      <c r="G76" s="294"/>
      <c r="H76" s="292" t="str">
        <f aca="false">IF(AND(DITAR_MBYLLJE_AUTO!$H$37="GATI PËR POSTIM",DITAR_MBYLLJE_AUTO!$F$37&gt;0),DITAR_MBYLLJE_AUTO!$B$37,"")</f>
        <v/>
      </c>
      <c r="I76" s="292" t="str">
        <f aca="false">IF(AND(DITAR_MBYLLJE_AUTO!$H$37="GATI PËR POSTIM",DITAR_MBYLLJE_AUTO!$F$37&gt;0),DITAR_MBYLLJE_AUTO!$C$37,"")</f>
        <v/>
      </c>
    </row>
    <row r="77" customFormat="false" ht="15" hidden="false" customHeight="true" outlineLevel="0" collapsed="false">
      <c r="A77" s="291" t="str">
        <f aca="false">IF(AND(DITAR_MBYLLJE_AUTO!$H$37="GATI PËR POSTIM",DITAR_MBYLLJE_AUTO!$F$37&gt;0),MBYLLJA_6_7_AUTO!$B$7,"")</f>
        <v/>
      </c>
      <c r="B77" s="292" t="str">
        <f aca="false">IF(AND(DITAR_MBYLLJE_AUTO!$H$37="GATI PËR POSTIM",DITAR_MBYLLJE_AUTO!$F$37&gt;0),9034,"")</f>
        <v/>
      </c>
      <c r="C77" s="292" t="str">
        <f aca="false">IF(AND(DITAR_MBYLLJE_AUTO!$H$37="GATI PËR POSTIM",DITAR_MBYLLJE_AUTO!$F$37&gt;0),"MB-REG-"&amp;TEXT(34,"00"),"")</f>
        <v/>
      </c>
      <c r="D77" s="292" t="str">
        <f aca="false">IF(AND(DITAR_MBYLLJE_AUTO!$H$37="GATI PËR POSTIM",DITAR_MBYLLJE_AUTO!$F$37&gt;0),DITAR_MBYLLJE_AUTO!$E$37,"")</f>
        <v/>
      </c>
      <c r="E77" s="292" t="str">
        <f aca="false">IF(D77="","",IFERROR(VLOOKUP(D77,PLANI_LLOGARIVE!$A:$B,2,FALSE()),""))</f>
        <v/>
      </c>
      <c r="F77" s="294"/>
      <c r="G77" s="293" t="str">
        <f aca="false">IF(AND(DITAR_MBYLLJE_AUTO!$H$37="GATI PËR POSTIM",DITAR_MBYLLJE_AUTO!$F$37&gt;0),DITAR_MBYLLJE_AUTO!$F$37,"")</f>
        <v/>
      </c>
      <c r="H77" s="292" t="str">
        <f aca="false">IF(AND(DITAR_MBYLLJE_AUTO!$H$37="GATI PËR POSTIM",DITAR_MBYLLJE_AUTO!$F$37&gt;0),DITAR_MBYLLJE_AUTO!$B$37,"")</f>
        <v/>
      </c>
      <c r="I77" s="292" t="str">
        <f aca="false">IF(AND(DITAR_MBYLLJE_AUTO!$H$37="GATI PËR POSTIM",DITAR_MBYLLJE_AUTO!$F$37&gt;0),DITAR_MBYLLJE_AUTO!$C$37,"")</f>
        <v/>
      </c>
    </row>
    <row r="78" customFormat="false" ht="15" hidden="false" customHeight="true" outlineLevel="0" collapsed="false">
      <c r="A78" s="291" t="str">
        <f aca="false">IF(AND(DITAR_MBYLLJE_AUTO!$H$38="GATI PËR POSTIM",DITAR_MBYLLJE_AUTO!$F$38&gt;0),MBYLLJA_6_7_AUTO!$B$7,"")</f>
        <v/>
      </c>
      <c r="B78" s="292" t="str">
        <f aca="false">IF(AND(DITAR_MBYLLJE_AUTO!$H$38="GATI PËR POSTIM",DITAR_MBYLLJE_AUTO!$F$38&gt;0),9035,"")</f>
        <v/>
      </c>
      <c r="C78" s="292" t="str">
        <f aca="false">IF(AND(DITAR_MBYLLJE_AUTO!$H$38="GATI PËR POSTIM",DITAR_MBYLLJE_AUTO!$F$38&gt;0),"MB-REG-"&amp;TEXT(35,"00"),"")</f>
        <v/>
      </c>
      <c r="D78" s="292" t="str">
        <f aca="false">IF(AND(DITAR_MBYLLJE_AUTO!$H$38="GATI PËR POSTIM",DITAR_MBYLLJE_AUTO!$F$38&gt;0),DITAR_MBYLLJE_AUTO!$D$38,"")</f>
        <v/>
      </c>
      <c r="E78" s="292" t="str">
        <f aca="false">IF(D78="","",IFERROR(VLOOKUP(D78,PLANI_LLOGARIVE!$A:$B,2,FALSE()),""))</f>
        <v/>
      </c>
      <c r="F78" s="293" t="str">
        <f aca="false">IF(AND(DITAR_MBYLLJE_AUTO!$H$38="GATI PËR POSTIM",DITAR_MBYLLJE_AUTO!$F$38&gt;0),DITAR_MBYLLJE_AUTO!$F$38,"")</f>
        <v/>
      </c>
      <c r="G78" s="294"/>
      <c r="H78" s="292" t="str">
        <f aca="false">IF(AND(DITAR_MBYLLJE_AUTO!$H$38="GATI PËR POSTIM",DITAR_MBYLLJE_AUTO!$F$38&gt;0),DITAR_MBYLLJE_AUTO!$B$38,"")</f>
        <v/>
      </c>
      <c r="I78" s="292" t="str">
        <f aca="false">IF(AND(DITAR_MBYLLJE_AUTO!$H$38="GATI PËR POSTIM",DITAR_MBYLLJE_AUTO!$F$38&gt;0),DITAR_MBYLLJE_AUTO!$C$38,"")</f>
        <v/>
      </c>
    </row>
    <row r="79" customFormat="false" ht="15" hidden="false" customHeight="true" outlineLevel="0" collapsed="false">
      <c r="A79" s="291" t="str">
        <f aca="false">IF(AND(DITAR_MBYLLJE_AUTO!$H$38="GATI PËR POSTIM",DITAR_MBYLLJE_AUTO!$F$38&gt;0),MBYLLJA_6_7_AUTO!$B$7,"")</f>
        <v/>
      </c>
      <c r="B79" s="292" t="str">
        <f aca="false">IF(AND(DITAR_MBYLLJE_AUTO!$H$38="GATI PËR POSTIM",DITAR_MBYLLJE_AUTO!$F$38&gt;0),9035,"")</f>
        <v/>
      </c>
      <c r="C79" s="292" t="str">
        <f aca="false">IF(AND(DITAR_MBYLLJE_AUTO!$H$38="GATI PËR POSTIM",DITAR_MBYLLJE_AUTO!$F$38&gt;0),"MB-REG-"&amp;TEXT(35,"00"),"")</f>
        <v/>
      </c>
      <c r="D79" s="292" t="str">
        <f aca="false">IF(AND(DITAR_MBYLLJE_AUTO!$H$38="GATI PËR POSTIM",DITAR_MBYLLJE_AUTO!$F$38&gt;0),DITAR_MBYLLJE_AUTO!$E$38,"")</f>
        <v/>
      </c>
      <c r="E79" s="292" t="str">
        <f aca="false">IF(D79="","",IFERROR(VLOOKUP(D79,PLANI_LLOGARIVE!$A:$B,2,FALSE()),""))</f>
        <v/>
      </c>
      <c r="F79" s="294"/>
      <c r="G79" s="293" t="str">
        <f aca="false">IF(AND(DITAR_MBYLLJE_AUTO!$H$38="GATI PËR POSTIM",DITAR_MBYLLJE_AUTO!$F$38&gt;0),DITAR_MBYLLJE_AUTO!$F$38,"")</f>
        <v/>
      </c>
      <c r="H79" s="292" t="str">
        <f aca="false">IF(AND(DITAR_MBYLLJE_AUTO!$H$38="GATI PËR POSTIM",DITAR_MBYLLJE_AUTO!$F$38&gt;0),DITAR_MBYLLJE_AUTO!$B$38,"")</f>
        <v/>
      </c>
      <c r="I79" s="292" t="str">
        <f aca="false">IF(AND(DITAR_MBYLLJE_AUTO!$H$38="GATI PËR POSTIM",DITAR_MBYLLJE_AUTO!$F$38&gt;0),DITAR_MBYLLJE_AUTO!$C$38,"")</f>
        <v/>
      </c>
    </row>
    <row r="80" customFormat="false" ht="15" hidden="false" customHeight="true" outlineLevel="0" collapsed="false">
      <c r="A80" s="288"/>
      <c r="B80" s="288"/>
      <c r="C80" s="288"/>
      <c r="D80" s="288"/>
      <c r="E80" s="281"/>
      <c r="F80" s="288"/>
      <c r="G80" s="288"/>
      <c r="H80" s="288"/>
      <c r="I80" s="288"/>
    </row>
    <row r="81" customFormat="false" ht="15" hidden="false" customHeight="true" outlineLevel="0" collapsed="false">
      <c r="A81" s="288"/>
      <c r="B81" s="288"/>
      <c r="C81" s="288"/>
      <c r="D81" s="288"/>
      <c r="E81" s="281"/>
      <c r="F81" s="288"/>
      <c r="G81" s="288"/>
      <c r="H81" s="288"/>
      <c r="I81" s="288"/>
    </row>
    <row r="82" customFormat="false" ht="15" hidden="false" customHeight="true" outlineLevel="0" collapsed="false">
      <c r="A82" s="295" t="s">
        <v>1007</v>
      </c>
      <c r="B82" s="295"/>
      <c r="C82" s="295"/>
      <c r="D82" s="295"/>
      <c r="E82" s="295"/>
      <c r="F82" s="295"/>
      <c r="G82" s="295"/>
      <c r="H82" s="295"/>
      <c r="I82" s="295"/>
    </row>
    <row r="83" customFormat="false" ht="15" hidden="false" customHeight="true" outlineLevel="0" collapsed="false">
      <c r="A83" s="286" t="s">
        <v>740</v>
      </c>
      <c r="B83" s="286" t="s">
        <v>741</v>
      </c>
      <c r="C83" s="286" t="s">
        <v>742</v>
      </c>
      <c r="D83" s="286" t="s">
        <v>743</v>
      </c>
      <c r="E83" s="287" t="s">
        <v>744</v>
      </c>
      <c r="F83" s="286" t="s">
        <v>212</v>
      </c>
      <c r="G83" s="286" t="s">
        <v>745</v>
      </c>
      <c r="H83" s="286" t="s">
        <v>746</v>
      </c>
      <c r="I83" s="286" t="s">
        <v>747</v>
      </c>
    </row>
    <row r="84" customFormat="false" ht="15" hidden="false" customHeight="true" outlineLevel="0" collapsed="false">
      <c r="A84" s="288"/>
      <c r="B84" s="288"/>
      <c r="C84" s="288"/>
      <c r="D84" s="288"/>
      <c r="E84" s="281"/>
      <c r="F84" s="288"/>
      <c r="G84" s="288"/>
      <c r="H84" s="288"/>
      <c r="I84" s="288"/>
    </row>
    <row r="85" customFormat="false" ht="15" hidden="false" customHeight="true" outlineLevel="0" collapsed="false">
      <c r="A85" s="288"/>
      <c r="B85" s="288"/>
      <c r="C85" s="288"/>
      <c r="D85" s="288"/>
      <c r="E85" s="281"/>
      <c r="F85" s="288"/>
      <c r="G85" s="288"/>
      <c r="H85" s="288"/>
      <c r="I85" s="288"/>
    </row>
    <row r="86" customFormat="false" ht="15" hidden="false" customHeight="true" outlineLevel="0" collapsed="false">
      <c r="A86" s="291" t="str">
        <f aca="false">IF(MBYLLJA_6_7_AUTO!$H$17&gt;0,MBYLLJA_6_7_AUTO!$B$7,"")</f>
        <v/>
      </c>
      <c r="B86" s="292" t="str">
        <f aca="false">IF(MBYLLJA_6_7_AUTO!$H$17&gt;0,9901,"")</f>
        <v/>
      </c>
      <c r="C86" s="292" t="str">
        <f aca="false">IF(MBYLLJA_6_7_AUTO!$H$17&gt;0,"MB-CL7","")</f>
        <v/>
      </c>
      <c r="D86" s="292" t="str">
        <f aca="false">IF(MBYLLJA_6_7_AUTO!$H$17&gt;0,MBYLLJA_6_7_AUTO!$B$17,"")</f>
        <v/>
      </c>
      <c r="E86" s="292" t="str">
        <f aca="false">IF(D86="","",IFERROR(VLOOKUP(D86,PLANI_LLOGARIVE!$A:$B,2,FALSE()),""))</f>
        <v/>
      </c>
      <c r="F86" s="293" t="str">
        <f aca="false">IF(MBYLLJA_6_7_AUTO!$H$17&gt;0,MBYLLJA_6_7_AUTO!$H$17,"")</f>
        <v/>
      </c>
      <c r="G86" s="294"/>
      <c r="H86" s="288" t="s">
        <v>1008</v>
      </c>
      <c r="I86" s="288" t="s">
        <v>1009</v>
      </c>
    </row>
    <row r="87" customFormat="false" ht="15" hidden="false" customHeight="true" outlineLevel="0" collapsed="false">
      <c r="A87" s="291" t="str">
        <f aca="false">IF(MBYLLJA_6_7_AUTO!$H$18&gt;0,MBYLLJA_6_7_AUTO!$B$7,"")</f>
        <v/>
      </c>
      <c r="B87" s="292" t="str">
        <f aca="false">IF(MBYLLJA_6_7_AUTO!$H$18&gt;0,9901,"")</f>
        <v/>
      </c>
      <c r="C87" s="292" t="str">
        <f aca="false">IF(MBYLLJA_6_7_AUTO!$H$18&gt;0,"MB-CL7","")</f>
        <v/>
      </c>
      <c r="D87" s="292" t="str">
        <f aca="false">IF(MBYLLJA_6_7_AUTO!$H$18&gt;0,MBYLLJA_6_7_AUTO!$B$18,"")</f>
        <v/>
      </c>
      <c r="E87" s="292" t="str">
        <f aca="false">IF(D87="","",IFERROR(VLOOKUP(D87,PLANI_LLOGARIVE!$A:$B,2,FALSE()),""))</f>
        <v/>
      </c>
      <c r="F87" s="293" t="str">
        <f aca="false">IF(MBYLLJA_6_7_AUTO!$H$18&gt;0,MBYLLJA_6_7_AUTO!$H$18,"")</f>
        <v/>
      </c>
      <c r="G87" s="294"/>
      <c r="H87" s="288" t="s">
        <v>1008</v>
      </c>
      <c r="I87" s="288" t="s">
        <v>1009</v>
      </c>
    </row>
    <row r="88" customFormat="false" ht="15" hidden="false" customHeight="true" outlineLevel="0" collapsed="false">
      <c r="A88" s="291" t="str">
        <f aca="false">IF(MBYLLJA_6_7_AUTO!$H$19&gt;0,MBYLLJA_6_7_AUTO!$B$7,"")</f>
        <v/>
      </c>
      <c r="B88" s="292" t="str">
        <f aca="false">IF(MBYLLJA_6_7_AUTO!$H$19&gt;0,9901,"")</f>
        <v/>
      </c>
      <c r="C88" s="292" t="str">
        <f aca="false">IF(MBYLLJA_6_7_AUTO!$H$19&gt;0,"MB-CL7","")</f>
        <v/>
      </c>
      <c r="D88" s="292" t="str">
        <f aca="false">IF(MBYLLJA_6_7_AUTO!$H$19&gt;0,MBYLLJA_6_7_AUTO!$B$19,"")</f>
        <v/>
      </c>
      <c r="E88" s="292" t="str">
        <f aca="false">IF(D88="","",IFERROR(VLOOKUP(D88,PLANI_LLOGARIVE!$A:$B,2,FALSE()),""))</f>
        <v/>
      </c>
      <c r="F88" s="293" t="str">
        <f aca="false">IF(MBYLLJA_6_7_AUTO!$H$19&gt;0,MBYLLJA_6_7_AUTO!$H$19,"")</f>
        <v/>
      </c>
      <c r="G88" s="294"/>
      <c r="H88" s="288" t="s">
        <v>1008</v>
      </c>
      <c r="I88" s="288" t="s">
        <v>1009</v>
      </c>
    </row>
    <row r="89" customFormat="false" ht="15" hidden="false" customHeight="true" outlineLevel="0" collapsed="false">
      <c r="A89" s="291" t="str">
        <f aca="false">IF(MBYLLJA_6_7_AUTO!$H$20&gt;0,MBYLLJA_6_7_AUTO!$B$7,"")</f>
        <v/>
      </c>
      <c r="B89" s="292" t="str">
        <f aca="false">IF(MBYLLJA_6_7_AUTO!$H$20&gt;0,9901,"")</f>
        <v/>
      </c>
      <c r="C89" s="292" t="str">
        <f aca="false">IF(MBYLLJA_6_7_AUTO!$H$20&gt;0,"MB-CL7","")</f>
        <v/>
      </c>
      <c r="D89" s="292" t="str">
        <f aca="false">IF(MBYLLJA_6_7_AUTO!$H$20&gt;0,MBYLLJA_6_7_AUTO!$B$20,"")</f>
        <v/>
      </c>
      <c r="E89" s="292" t="str">
        <f aca="false">IF(D89="","",IFERROR(VLOOKUP(D89,PLANI_LLOGARIVE!$A:$B,2,FALSE()),""))</f>
        <v/>
      </c>
      <c r="F89" s="293" t="str">
        <f aca="false">IF(MBYLLJA_6_7_AUTO!$H$20&gt;0,MBYLLJA_6_7_AUTO!$H$20,"")</f>
        <v/>
      </c>
      <c r="G89" s="294"/>
      <c r="H89" s="288" t="s">
        <v>1008</v>
      </c>
      <c r="I89" s="288" t="s">
        <v>1009</v>
      </c>
    </row>
    <row r="90" customFormat="false" ht="15" hidden="false" customHeight="true" outlineLevel="0" collapsed="false">
      <c r="A90" s="291" t="str">
        <f aca="false">IF(MBYLLJA_6_7_AUTO!$H$21&gt;0,MBYLLJA_6_7_AUTO!$B$7,"")</f>
        <v/>
      </c>
      <c r="B90" s="292" t="str">
        <f aca="false">IF(MBYLLJA_6_7_AUTO!$H$21&gt;0,9901,"")</f>
        <v/>
      </c>
      <c r="C90" s="292" t="str">
        <f aca="false">IF(MBYLLJA_6_7_AUTO!$H$21&gt;0,"MB-CL7","")</f>
        <v/>
      </c>
      <c r="D90" s="292" t="str">
        <f aca="false">IF(MBYLLJA_6_7_AUTO!$H$21&gt;0,MBYLLJA_6_7_AUTO!$B$21,"")</f>
        <v/>
      </c>
      <c r="E90" s="292" t="str">
        <f aca="false">IF(D90="","",IFERROR(VLOOKUP(D90,PLANI_LLOGARIVE!$A:$B,2,FALSE()),""))</f>
        <v/>
      </c>
      <c r="F90" s="293" t="str">
        <f aca="false">IF(MBYLLJA_6_7_AUTO!$H$21&gt;0,MBYLLJA_6_7_AUTO!$H$21,"")</f>
        <v/>
      </c>
      <c r="G90" s="294"/>
      <c r="H90" s="288" t="s">
        <v>1008</v>
      </c>
      <c r="I90" s="288" t="s">
        <v>1009</v>
      </c>
    </row>
    <row r="91" customFormat="false" ht="15" hidden="false" customHeight="true" outlineLevel="0" collapsed="false">
      <c r="A91" s="291" t="str">
        <f aca="false">IF(MBYLLJA_6_7_AUTO!$H$22&gt;0,MBYLLJA_6_7_AUTO!$B$7,"")</f>
        <v/>
      </c>
      <c r="B91" s="292" t="str">
        <f aca="false">IF(MBYLLJA_6_7_AUTO!$H$22&gt;0,9901,"")</f>
        <v/>
      </c>
      <c r="C91" s="292" t="str">
        <f aca="false">IF(MBYLLJA_6_7_AUTO!$H$22&gt;0,"MB-CL7","")</f>
        <v/>
      </c>
      <c r="D91" s="292" t="str">
        <f aca="false">IF(MBYLLJA_6_7_AUTO!$H$22&gt;0,MBYLLJA_6_7_AUTO!$B$22,"")</f>
        <v/>
      </c>
      <c r="E91" s="292" t="str">
        <f aca="false">IF(D91="","",IFERROR(VLOOKUP(D91,PLANI_LLOGARIVE!$A:$B,2,FALSE()),""))</f>
        <v/>
      </c>
      <c r="F91" s="293" t="str">
        <f aca="false">IF(MBYLLJA_6_7_AUTO!$H$22&gt;0,MBYLLJA_6_7_AUTO!$H$22,"")</f>
        <v/>
      </c>
      <c r="G91" s="294"/>
      <c r="H91" s="288" t="s">
        <v>1008</v>
      </c>
      <c r="I91" s="288" t="s">
        <v>1009</v>
      </c>
    </row>
    <row r="92" customFormat="false" ht="15" hidden="false" customHeight="true" outlineLevel="0" collapsed="false">
      <c r="A92" s="291" t="str">
        <f aca="false">IF(MBYLLJA_6_7_AUTO!$H$23&gt;0,MBYLLJA_6_7_AUTO!$B$7,"")</f>
        <v/>
      </c>
      <c r="B92" s="292" t="str">
        <f aca="false">IF(MBYLLJA_6_7_AUTO!$H$23&gt;0,9901,"")</f>
        <v/>
      </c>
      <c r="C92" s="292" t="str">
        <f aca="false">IF(MBYLLJA_6_7_AUTO!$H$23&gt;0,"MB-CL7","")</f>
        <v/>
      </c>
      <c r="D92" s="292" t="str">
        <f aca="false">IF(MBYLLJA_6_7_AUTO!$H$23&gt;0,MBYLLJA_6_7_AUTO!$B$23,"")</f>
        <v/>
      </c>
      <c r="E92" s="292" t="str">
        <f aca="false">IF(D92="","",IFERROR(VLOOKUP(D92,PLANI_LLOGARIVE!$A:$B,2,FALSE()),""))</f>
        <v/>
      </c>
      <c r="F92" s="293" t="str">
        <f aca="false">IF(MBYLLJA_6_7_AUTO!$H$23&gt;0,MBYLLJA_6_7_AUTO!$H$23,"")</f>
        <v/>
      </c>
      <c r="G92" s="294"/>
      <c r="H92" s="288" t="s">
        <v>1008</v>
      </c>
      <c r="I92" s="288" t="s">
        <v>1009</v>
      </c>
    </row>
    <row r="93" customFormat="false" ht="15" hidden="false" customHeight="true" outlineLevel="0" collapsed="false">
      <c r="A93" s="291" t="str">
        <f aca="false">IF(MBYLLJA_6_7_AUTO!$H$24&gt;0,MBYLLJA_6_7_AUTO!$B$7,"")</f>
        <v/>
      </c>
      <c r="B93" s="292" t="str">
        <f aca="false">IF(MBYLLJA_6_7_AUTO!$H$24&gt;0,9901,"")</f>
        <v/>
      </c>
      <c r="C93" s="292" t="str">
        <f aca="false">IF(MBYLLJA_6_7_AUTO!$H$24&gt;0,"MB-CL7","")</f>
        <v/>
      </c>
      <c r="D93" s="292" t="str">
        <f aca="false">IF(MBYLLJA_6_7_AUTO!$H$24&gt;0,MBYLLJA_6_7_AUTO!$B$24,"")</f>
        <v/>
      </c>
      <c r="E93" s="292" t="str">
        <f aca="false">IF(D93="","",IFERROR(VLOOKUP(D93,PLANI_LLOGARIVE!$A:$B,2,FALSE()),""))</f>
        <v/>
      </c>
      <c r="F93" s="293" t="str">
        <f aca="false">IF(MBYLLJA_6_7_AUTO!$H$24&gt;0,MBYLLJA_6_7_AUTO!$H$24,"")</f>
        <v/>
      </c>
      <c r="G93" s="294"/>
      <c r="H93" s="288" t="s">
        <v>1008</v>
      </c>
      <c r="I93" s="288" t="s">
        <v>1009</v>
      </c>
    </row>
    <row r="94" customFormat="false" ht="15" hidden="false" customHeight="true" outlineLevel="0" collapsed="false">
      <c r="A94" s="291" t="str">
        <f aca="false">IF(MBYLLJA_6_7_AUTO!$H$25&gt;0,MBYLLJA_6_7_AUTO!$B$7,"")</f>
        <v/>
      </c>
      <c r="B94" s="292" t="str">
        <f aca="false">IF(MBYLLJA_6_7_AUTO!$H$25&gt;0,9901,"")</f>
        <v/>
      </c>
      <c r="C94" s="292" t="str">
        <f aca="false">IF(MBYLLJA_6_7_AUTO!$H$25&gt;0,"MB-CL7","")</f>
        <v/>
      </c>
      <c r="D94" s="292" t="str">
        <f aca="false">IF(MBYLLJA_6_7_AUTO!$H$25&gt;0,MBYLLJA_6_7_AUTO!$B$25,"")</f>
        <v/>
      </c>
      <c r="E94" s="292" t="str">
        <f aca="false">IF(D94="","",IFERROR(VLOOKUP(D94,PLANI_LLOGARIVE!$A:$B,2,FALSE()),""))</f>
        <v/>
      </c>
      <c r="F94" s="293" t="str">
        <f aca="false">IF(MBYLLJA_6_7_AUTO!$H$25&gt;0,MBYLLJA_6_7_AUTO!$H$25,"")</f>
        <v/>
      </c>
      <c r="G94" s="294"/>
      <c r="H94" s="288" t="s">
        <v>1008</v>
      </c>
      <c r="I94" s="288" t="s">
        <v>1009</v>
      </c>
    </row>
    <row r="95" customFormat="false" ht="15" hidden="false" customHeight="true" outlineLevel="0" collapsed="false">
      <c r="A95" s="291" t="str">
        <f aca="false">IF(MBYLLJA_6_7_AUTO!$H$26&gt;0,MBYLLJA_6_7_AUTO!$B$7,"")</f>
        <v/>
      </c>
      <c r="B95" s="292" t="str">
        <f aca="false">IF(MBYLLJA_6_7_AUTO!$H$26&gt;0,9901,"")</f>
        <v/>
      </c>
      <c r="C95" s="292" t="str">
        <f aca="false">IF(MBYLLJA_6_7_AUTO!$H$26&gt;0,"MB-CL7","")</f>
        <v/>
      </c>
      <c r="D95" s="292" t="str">
        <f aca="false">IF(MBYLLJA_6_7_AUTO!$H$26&gt;0,MBYLLJA_6_7_AUTO!$B$26,"")</f>
        <v/>
      </c>
      <c r="E95" s="292" t="str">
        <f aca="false">IF(D95="","",IFERROR(VLOOKUP(D95,PLANI_LLOGARIVE!$A:$B,2,FALSE()),""))</f>
        <v/>
      </c>
      <c r="F95" s="293" t="str">
        <f aca="false">IF(MBYLLJA_6_7_AUTO!$H$26&gt;0,MBYLLJA_6_7_AUTO!$H$26,"")</f>
        <v/>
      </c>
      <c r="G95" s="294"/>
      <c r="H95" s="288" t="s">
        <v>1008</v>
      </c>
      <c r="I95" s="288" t="s">
        <v>1009</v>
      </c>
    </row>
    <row r="96" customFormat="false" ht="15" hidden="false" customHeight="true" outlineLevel="0" collapsed="false">
      <c r="A96" s="291" t="str">
        <f aca="false">IF(MBYLLJA_6_7_AUTO!$H$27&gt;0,MBYLLJA_6_7_AUTO!$B$7,"")</f>
        <v/>
      </c>
      <c r="B96" s="292" t="str">
        <f aca="false">IF(MBYLLJA_6_7_AUTO!$H$27&gt;0,9901,"")</f>
        <v/>
      </c>
      <c r="C96" s="292" t="str">
        <f aca="false">IF(MBYLLJA_6_7_AUTO!$H$27&gt;0,"MB-CL7","")</f>
        <v/>
      </c>
      <c r="D96" s="292" t="str">
        <f aca="false">IF(MBYLLJA_6_7_AUTO!$H$27&gt;0,MBYLLJA_6_7_AUTO!$B$27,"")</f>
        <v/>
      </c>
      <c r="E96" s="292" t="str">
        <f aca="false">IF(D96="","",IFERROR(VLOOKUP(D96,PLANI_LLOGARIVE!$A:$B,2,FALSE()),""))</f>
        <v/>
      </c>
      <c r="F96" s="293" t="str">
        <f aca="false">IF(MBYLLJA_6_7_AUTO!$H$27&gt;0,MBYLLJA_6_7_AUTO!$H$27,"")</f>
        <v/>
      </c>
      <c r="G96" s="294"/>
      <c r="H96" s="288" t="s">
        <v>1008</v>
      </c>
      <c r="I96" s="288" t="s">
        <v>1009</v>
      </c>
    </row>
    <row r="97" customFormat="false" ht="15" hidden="false" customHeight="true" outlineLevel="0" collapsed="false">
      <c r="A97" s="291" t="str">
        <f aca="false">IF(MBYLLJA_6_7_AUTO!$H$28&gt;0,MBYLLJA_6_7_AUTO!$B$7,"")</f>
        <v/>
      </c>
      <c r="B97" s="292" t="str">
        <f aca="false">IF(MBYLLJA_6_7_AUTO!$H$28&gt;0,9901,"")</f>
        <v/>
      </c>
      <c r="C97" s="292" t="str">
        <f aca="false">IF(MBYLLJA_6_7_AUTO!$H$28&gt;0,"MB-CL7","")</f>
        <v/>
      </c>
      <c r="D97" s="292" t="str">
        <f aca="false">IF(MBYLLJA_6_7_AUTO!$H$28&gt;0,MBYLLJA_6_7_AUTO!$B$28,"")</f>
        <v/>
      </c>
      <c r="E97" s="292" t="str">
        <f aca="false">IF(D97="","",IFERROR(VLOOKUP(D97,PLANI_LLOGARIVE!$A:$B,2,FALSE()),""))</f>
        <v/>
      </c>
      <c r="F97" s="293" t="str">
        <f aca="false">IF(MBYLLJA_6_7_AUTO!$H$28&gt;0,MBYLLJA_6_7_AUTO!$H$28,"")</f>
        <v/>
      </c>
      <c r="G97" s="294"/>
      <c r="H97" s="288" t="s">
        <v>1008</v>
      </c>
      <c r="I97" s="288" t="s">
        <v>1009</v>
      </c>
    </row>
    <row r="98" customFormat="false" ht="15" hidden="false" customHeight="true" outlineLevel="0" collapsed="false">
      <c r="A98" s="291" t="str">
        <f aca="false">IF(MBYLLJA_6_7_AUTO!$H$29&gt;0,MBYLLJA_6_7_AUTO!$B$7,"")</f>
        <v/>
      </c>
      <c r="B98" s="292" t="str">
        <f aca="false">IF(MBYLLJA_6_7_AUTO!$H$29&gt;0,9901,"")</f>
        <v/>
      </c>
      <c r="C98" s="292" t="str">
        <f aca="false">IF(MBYLLJA_6_7_AUTO!$H$29&gt;0,"MB-CL7","")</f>
        <v/>
      </c>
      <c r="D98" s="292" t="str">
        <f aca="false">IF(MBYLLJA_6_7_AUTO!$H$29&gt;0,MBYLLJA_6_7_AUTO!$B$29,"")</f>
        <v/>
      </c>
      <c r="E98" s="292" t="str">
        <f aca="false">IF(D98="","",IFERROR(VLOOKUP(D98,PLANI_LLOGARIVE!$A:$B,2,FALSE()),""))</f>
        <v/>
      </c>
      <c r="F98" s="293" t="str">
        <f aca="false">IF(MBYLLJA_6_7_AUTO!$H$29&gt;0,MBYLLJA_6_7_AUTO!$H$29,"")</f>
        <v/>
      </c>
      <c r="G98" s="294"/>
      <c r="H98" s="288" t="s">
        <v>1008</v>
      </c>
      <c r="I98" s="288" t="s">
        <v>1009</v>
      </c>
    </row>
    <row r="99" customFormat="false" ht="15" hidden="false" customHeight="true" outlineLevel="0" collapsed="false">
      <c r="A99" s="291" t="str">
        <f aca="false">IF(MBYLLJA_6_7_AUTO!$H$30&gt;0,MBYLLJA_6_7_AUTO!$B$7,"")</f>
        <v/>
      </c>
      <c r="B99" s="292" t="str">
        <f aca="false">IF(MBYLLJA_6_7_AUTO!$H$30&gt;0,9901,"")</f>
        <v/>
      </c>
      <c r="C99" s="292" t="str">
        <f aca="false">IF(MBYLLJA_6_7_AUTO!$H$30&gt;0,"MB-CL7","")</f>
        <v/>
      </c>
      <c r="D99" s="292" t="str">
        <f aca="false">IF(MBYLLJA_6_7_AUTO!$H$30&gt;0,MBYLLJA_6_7_AUTO!$B$30,"")</f>
        <v/>
      </c>
      <c r="E99" s="292" t="str">
        <f aca="false">IF(D99="","",IFERROR(VLOOKUP(D99,PLANI_LLOGARIVE!$A:$B,2,FALSE()),""))</f>
        <v/>
      </c>
      <c r="F99" s="293" t="str">
        <f aca="false">IF(MBYLLJA_6_7_AUTO!$H$30&gt;0,MBYLLJA_6_7_AUTO!$H$30,"")</f>
        <v/>
      </c>
      <c r="G99" s="294"/>
      <c r="H99" s="288" t="s">
        <v>1008</v>
      </c>
      <c r="I99" s="288" t="s">
        <v>1009</v>
      </c>
    </row>
    <row r="100" customFormat="false" ht="15" hidden="false" customHeight="true" outlineLevel="0" collapsed="false">
      <c r="A100" s="291" t="str">
        <f aca="false">IF(MBYLLJA_6_7_AUTO!$H$31&gt;0,MBYLLJA_6_7_AUTO!$B$7,"")</f>
        <v/>
      </c>
      <c r="B100" s="292" t="str">
        <f aca="false">IF(MBYLLJA_6_7_AUTO!$H$31&gt;0,9901,"")</f>
        <v/>
      </c>
      <c r="C100" s="292" t="str">
        <f aca="false">IF(MBYLLJA_6_7_AUTO!$H$31&gt;0,"MB-CL7","")</f>
        <v/>
      </c>
      <c r="D100" s="292" t="str">
        <f aca="false">IF(MBYLLJA_6_7_AUTO!$H$31&gt;0,MBYLLJA_6_7_AUTO!$B$31,"")</f>
        <v/>
      </c>
      <c r="E100" s="292" t="str">
        <f aca="false">IF(D100="","",IFERROR(VLOOKUP(D100,PLANI_LLOGARIVE!$A:$B,2,FALSE()),""))</f>
        <v/>
      </c>
      <c r="F100" s="293" t="str">
        <f aca="false">IF(MBYLLJA_6_7_AUTO!$H$31&gt;0,MBYLLJA_6_7_AUTO!$H$31,"")</f>
        <v/>
      </c>
      <c r="G100" s="294"/>
      <c r="H100" s="288" t="s">
        <v>1008</v>
      </c>
      <c r="I100" s="288" t="s">
        <v>1009</v>
      </c>
    </row>
    <row r="101" customFormat="false" ht="15" hidden="false" customHeight="true" outlineLevel="0" collapsed="false">
      <c r="A101" s="291" t="str">
        <f aca="false">IF(MBYLLJA_6_7_AUTO!$H$32&gt;0,MBYLLJA_6_7_AUTO!$B$7,"")</f>
        <v/>
      </c>
      <c r="B101" s="292" t="str">
        <f aca="false">IF(MBYLLJA_6_7_AUTO!$H$32&gt;0,9901,"")</f>
        <v/>
      </c>
      <c r="C101" s="292" t="str">
        <f aca="false">IF(MBYLLJA_6_7_AUTO!$H$32&gt;0,"MB-CL7","")</f>
        <v/>
      </c>
      <c r="D101" s="292" t="str">
        <f aca="false">IF(MBYLLJA_6_7_AUTO!$H$32&gt;0,MBYLLJA_6_7_AUTO!$B$32,"")</f>
        <v/>
      </c>
      <c r="E101" s="292" t="str">
        <f aca="false">IF(D101="","",IFERROR(VLOOKUP(D101,PLANI_LLOGARIVE!$A:$B,2,FALSE()),""))</f>
        <v/>
      </c>
      <c r="F101" s="293" t="str">
        <f aca="false">IF(MBYLLJA_6_7_AUTO!$H$32&gt;0,MBYLLJA_6_7_AUTO!$H$32,"")</f>
        <v/>
      </c>
      <c r="G101" s="294"/>
      <c r="H101" s="288" t="s">
        <v>1008</v>
      </c>
      <c r="I101" s="288" t="s">
        <v>1009</v>
      </c>
    </row>
    <row r="102" customFormat="false" ht="15" hidden="false" customHeight="true" outlineLevel="0" collapsed="false">
      <c r="A102" s="291" t="str">
        <f aca="false">IF(MBYLLJA_6_7_AUTO!$H$33&gt;0,MBYLLJA_6_7_AUTO!$B$7,"")</f>
        <v/>
      </c>
      <c r="B102" s="292" t="str">
        <f aca="false">IF(MBYLLJA_6_7_AUTO!$H$33&gt;0,9901,"")</f>
        <v/>
      </c>
      <c r="C102" s="292" t="str">
        <f aca="false">IF(MBYLLJA_6_7_AUTO!$H$33&gt;0,"MB-CL7","")</f>
        <v/>
      </c>
      <c r="D102" s="292" t="str">
        <f aca="false">IF(MBYLLJA_6_7_AUTO!$H$33&gt;0,MBYLLJA_6_7_AUTO!$B$33,"")</f>
        <v/>
      </c>
      <c r="E102" s="292" t="str">
        <f aca="false">IF(D102="","",IFERROR(VLOOKUP(D102,PLANI_LLOGARIVE!$A:$B,2,FALSE()),""))</f>
        <v/>
      </c>
      <c r="F102" s="293" t="str">
        <f aca="false">IF(MBYLLJA_6_7_AUTO!$H$33&gt;0,MBYLLJA_6_7_AUTO!$H$33,"")</f>
        <v/>
      </c>
      <c r="G102" s="294"/>
      <c r="H102" s="288" t="s">
        <v>1008</v>
      </c>
      <c r="I102" s="288" t="s">
        <v>1009</v>
      </c>
    </row>
    <row r="103" customFormat="false" ht="15" hidden="false" customHeight="true" outlineLevel="0" collapsed="false">
      <c r="A103" s="291" t="str">
        <f aca="false">IF(MBYLLJA_6_7_AUTO!$H$34&gt;0,MBYLLJA_6_7_AUTO!$B$7,"")</f>
        <v/>
      </c>
      <c r="B103" s="292" t="str">
        <f aca="false">IF(MBYLLJA_6_7_AUTO!$H$34&gt;0,9901,"")</f>
        <v/>
      </c>
      <c r="C103" s="292" t="str">
        <f aca="false">IF(MBYLLJA_6_7_AUTO!$H$34&gt;0,"MB-CL7","")</f>
        <v/>
      </c>
      <c r="D103" s="292" t="str">
        <f aca="false">IF(MBYLLJA_6_7_AUTO!$H$34&gt;0,MBYLLJA_6_7_AUTO!$B$34,"")</f>
        <v/>
      </c>
      <c r="E103" s="292" t="str">
        <f aca="false">IF(D103="","",IFERROR(VLOOKUP(D103,PLANI_LLOGARIVE!$A:$B,2,FALSE()),""))</f>
        <v/>
      </c>
      <c r="F103" s="293" t="str">
        <f aca="false">IF(MBYLLJA_6_7_AUTO!$H$34&gt;0,MBYLLJA_6_7_AUTO!$H$34,"")</f>
        <v/>
      </c>
      <c r="G103" s="294"/>
      <c r="H103" s="288" t="s">
        <v>1008</v>
      </c>
      <c r="I103" s="288" t="s">
        <v>1009</v>
      </c>
    </row>
    <row r="104" customFormat="false" ht="15" hidden="false" customHeight="true" outlineLevel="0" collapsed="false">
      <c r="A104" s="291" t="str">
        <f aca="false">IF(MBYLLJA_6_7_AUTO!$H$35&gt;0,MBYLLJA_6_7_AUTO!$B$7,"")</f>
        <v/>
      </c>
      <c r="B104" s="292" t="str">
        <f aca="false">IF(MBYLLJA_6_7_AUTO!$H$35&gt;0,9901,"")</f>
        <v/>
      </c>
      <c r="C104" s="292" t="str">
        <f aca="false">IF(MBYLLJA_6_7_AUTO!$H$35&gt;0,"MB-CL7","")</f>
        <v/>
      </c>
      <c r="D104" s="292" t="str">
        <f aca="false">IF(MBYLLJA_6_7_AUTO!$H$35&gt;0,MBYLLJA_6_7_AUTO!$B$35,"")</f>
        <v/>
      </c>
      <c r="E104" s="292" t="str">
        <f aca="false">IF(D104="","",IFERROR(VLOOKUP(D104,PLANI_LLOGARIVE!$A:$B,2,FALSE()),""))</f>
        <v/>
      </c>
      <c r="F104" s="293" t="str">
        <f aca="false">IF(MBYLLJA_6_7_AUTO!$H$35&gt;0,MBYLLJA_6_7_AUTO!$H$35,"")</f>
        <v/>
      </c>
      <c r="G104" s="294"/>
      <c r="H104" s="288" t="s">
        <v>1008</v>
      </c>
      <c r="I104" s="288" t="s">
        <v>1009</v>
      </c>
    </row>
    <row r="105" customFormat="false" ht="15" hidden="false" customHeight="true" outlineLevel="0" collapsed="false">
      <c r="A105" s="291" t="str">
        <f aca="false">IF(MBYLLJA_6_7_AUTO!$H$36&gt;0,MBYLLJA_6_7_AUTO!$B$7,"")</f>
        <v/>
      </c>
      <c r="B105" s="292" t="str">
        <f aca="false">IF(MBYLLJA_6_7_AUTO!$H$36&gt;0,9901,"")</f>
        <v/>
      </c>
      <c r="C105" s="292" t="str">
        <f aca="false">IF(MBYLLJA_6_7_AUTO!$H$36&gt;0,"MB-CL7","")</f>
        <v/>
      </c>
      <c r="D105" s="292" t="str">
        <f aca="false">IF(MBYLLJA_6_7_AUTO!$H$36&gt;0,MBYLLJA_6_7_AUTO!$B$36,"")</f>
        <v/>
      </c>
      <c r="E105" s="292" t="str">
        <f aca="false">IF(D105="","",IFERROR(VLOOKUP(D105,PLANI_LLOGARIVE!$A:$B,2,FALSE()),""))</f>
        <v/>
      </c>
      <c r="F105" s="293" t="str">
        <f aca="false">IF(MBYLLJA_6_7_AUTO!$H$36&gt;0,MBYLLJA_6_7_AUTO!$H$36,"")</f>
        <v/>
      </c>
      <c r="G105" s="294"/>
      <c r="H105" s="288" t="s">
        <v>1008</v>
      </c>
      <c r="I105" s="288" t="s">
        <v>1009</v>
      </c>
    </row>
    <row r="106" customFormat="false" ht="15" hidden="false" customHeight="true" outlineLevel="0" collapsed="false">
      <c r="A106" s="291" t="str">
        <f aca="false">IF(MBYLLJA_6_7_AUTO!$H$37&gt;0,MBYLLJA_6_7_AUTO!$B$7,"")</f>
        <v/>
      </c>
      <c r="B106" s="292" t="str">
        <f aca="false">IF(MBYLLJA_6_7_AUTO!$H$37&gt;0,9901,"")</f>
        <v/>
      </c>
      <c r="C106" s="292" t="str">
        <f aca="false">IF(MBYLLJA_6_7_AUTO!$H$37&gt;0,"MB-CL7","")</f>
        <v/>
      </c>
      <c r="D106" s="292" t="str">
        <f aca="false">IF(MBYLLJA_6_7_AUTO!$H$37&gt;0,MBYLLJA_6_7_AUTO!$B$37,"")</f>
        <v/>
      </c>
      <c r="E106" s="292" t="str">
        <f aca="false">IF(D106="","",IFERROR(VLOOKUP(D106,PLANI_LLOGARIVE!$A:$B,2,FALSE()),""))</f>
        <v/>
      </c>
      <c r="F106" s="293" t="str">
        <f aca="false">IF(MBYLLJA_6_7_AUTO!$H$37&gt;0,MBYLLJA_6_7_AUTO!$H$37,"")</f>
        <v/>
      </c>
      <c r="G106" s="294"/>
      <c r="H106" s="288" t="s">
        <v>1008</v>
      </c>
      <c r="I106" s="288" t="s">
        <v>1009</v>
      </c>
    </row>
    <row r="107" customFormat="false" ht="15" hidden="false" customHeight="true" outlineLevel="0" collapsed="false">
      <c r="A107" s="291" t="str">
        <f aca="false">IF(MBYLLJA_6_7_AUTO!$H$38&gt;0,MBYLLJA_6_7_AUTO!$B$7,"")</f>
        <v/>
      </c>
      <c r="B107" s="292" t="str">
        <f aca="false">IF(MBYLLJA_6_7_AUTO!$H$38&gt;0,9901,"")</f>
        <v/>
      </c>
      <c r="C107" s="292" t="str">
        <f aca="false">IF(MBYLLJA_6_7_AUTO!$H$38&gt;0,"MB-CL7","")</f>
        <v/>
      </c>
      <c r="D107" s="292" t="str">
        <f aca="false">IF(MBYLLJA_6_7_AUTO!$H$38&gt;0,MBYLLJA_6_7_AUTO!$B$38,"")</f>
        <v/>
      </c>
      <c r="E107" s="292" t="str">
        <f aca="false">IF(D107="","",IFERROR(VLOOKUP(D107,PLANI_LLOGARIVE!$A:$B,2,FALSE()),""))</f>
        <v/>
      </c>
      <c r="F107" s="293" t="str">
        <f aca="false">IF(MBYLLJA_6_7_AUTO!$H$38&gt;0,MBYLLJA_6_7_AUTO!$H$38,"")</f>
        <v/>
      </c>
      <c r="G107" s="294"/>
      <c r="H107" s="288" t="s">
        <v>1008</v>
      </c>
      <c r="I107" s="288" t="s">
        <v>1009</v>
      </c>
    </row>
    <row r="108" customFormat="false" ht="15" hidden="false" customHeight="true" outlineLevel="0" collapsed="false">
      <c r="A108" s="291" t="str">
        <f aca="false">IF(MBYLLJA_6_7_AUTO!$H$39&gt;0,MBYLLJA_6_7_AUTO!$B$7,"")</f>
        <v/>
      </c>
      <c r="B108" s="292" t="str">
        <f aca="false">IF(MBYLLJA_6_7_AUTO!$H$39&gt;0,9901,"")</f>
        <v/>
      </c>
      <c r="C108" s="292" t="str">
        <f aca="false">IF(MBYLLJA_6_7_AUTO!$H$39&gt;0,"MB-CL7","")</f>
        <v/>
      </c>
      <c r="D108" s="292" t="str">
        <f aca="false">IF(MBYLLJA_6_7_AUTO!$H$39&gt;0,MBYLLJA_6_7_AUTO!$B$39,"")</f>
        <v/>
      </c>
      <c r="E108" s="292" t="str">
        <f aca="false">IF(D108="","",IFERROR(VLOOKUP(D108,PLANI_LLOGARIVE!$A:$B,2,FALSE()),""))</f>
        <v/>
      </c>
      <c r="F108" s="293" t="str">
        <f aca="false">IF(MBYLLJA_6_7_AUTO!$H$39&gt;0,MBYLLJA_6_7_AUTO!$H$39,"")</f>
        <v/>
      </c>
      <c r="G108" s="294"/>
      <c r="H108" s="288" t="s">
        <v>1008</v>
      </c>
      <c r="I108" s="288" t="s">
        <v>1009</v>
      </c>
    </row>
    <row r="109" customFormat="false" ht="15" hidden="false" customHeight="true" outlineLevel="0" collapsed="false">
      <c r="A109" s="291" t="str">
        <f aca="false">IF(MBYLLJA_6_7_AUTO!$H$40&gt;0,MBYLLJA_6_7_AUTO!$B$7,"")</f>
        <v/>
      </c>
      <c r="B109" s="292" t="str">
        <f aca="false">IF(MBYLLJA_6_7_AUTO!$H$40&gt;0,9901,"")</f>
        <v/>
      </c>
      <c r="C109" s="292" t="str">
        <f aca="false">IF(MBYLLJA_6_7_AUTO!$H$40&gt;0,"MB-CL7","")</f>
        <v/>
      </c>
      <c r="D109" s="292" t="str">
        <f aca="false">IF(MBYLLJA_6_7_AUTO!$H$40&gt;0,MBYLLJA_6_7_AUTO!$B$40,"")</f>
        <v/>
      </c>
      <c r="E109" s="292" t="str">
        <f aca="false">IF(D109="","",IFERROR(VLOOKUP(D109,PLANI_LLOGARIVE!$A:$B,2,FALSE()),""))</f>
        <v/>
      </c>
      <c r="F109" s="293" t="str">
        <f aca="false">IF(MBYLLJA_6_7_AUTO!$H$40&gt;0,MBYLLJA_6_7_AUTO!$H$40,"")</f>
        <v/>
      </c>
      <c r="G109" s="294"/>
      <c r="H109" s="288" t="s">
        <v>1008</v>
      </c>
      <c r="I109" s="288" t="s">
        <v>1009</v>
      </c>
    </row>
    <row r="110" customFormat="false" ht="15" hidden="false" customHeight="true" outlineLevel="0" collapsed="false">
      <c r="A110" s="291" t="str">
        <f aca="false">IF(MBYLLJA_6_7_AUTO!$H$41&gt;0,MBYLLJA_6_7_AUTO!$B$7,"")</f>
        <v/>
      </c>
      <c r="B110" s="292" t="str">
        <f aca="false">IF(MBYLLJA_6_7_AUTO!$H$41&gt;0,9901,"")</f>
        <v/>
      </c>
      <c r="C110" s="292" t="str">
        <f aca="false">IF(MBYLLJA_6_7_AUTO!$H$41&gt;0,"MB-CL7","")</f>
        <v/>
      </c>
      <c r="D110" s="292" t="str">
        <f aca="false">IF(MBYLLJA_6_7_AUTO!$H$41&gt;0,MBYLLJA_6_7_AUTO!$B$41,"")</f>
        <v/>
      </c>
      <c r="E110" s="292" t="str">
        <f aca="false">IF(D110="","",IFERROR(VLOOKUP(D110,PLANI_LLOGARIVE!$A:$B,2,FALSE()),""))</f>
        <v/>
      </c>
      <c r="F110" s="293" t="str">
        <f aca="false">IF(MBYLLJA_6_7_AUTO!$H$41&gt;0,MBYLLJA_6_7_AUTO!$H$41,"")</f>
        <v/>
      </c>
      <c r="G110" s="294"/>
      <c r="H110" s="288" t="s">
        <v>1008</v>
      </c>
      <c r="I110" s="288" t="s">
        <v>1009</v>
      </c>
    </row>
    <row r="111" customFormat="false" ht="15" hidden="false" customHeight="true" outlineLevel="0" collapsed="false">
      <c r="A111" s="291" t="str">
        <f aca="false">IF(MBYLLJA_6_7_AUTO!$H$42&gt;0,MBYLLJA_6_7_AUTO!$B$7,"")</f>
        <v/>
      </c>
      <c r="B111" s="292" t="str">
        <f aca="false">IF(MBYLLJA_6_7_AUTO!$H$42&gt;0,9901,"")</f>
        <v/>
      </c>
      <c r="C111" s="292" t="str">
        <f aca="false">IF(MBYLLJA_6_7_AUTO!$H$42&gt;0,"MB-CL7","")</f>
        <v/>
      </c>
      <c r="D111" s="292" t="str">
        <f aca="false">IF(MBYLLJA_6_7_AUTO!$H$42&gt;0,MBYLLJA_6_7_AUTO!$B$42,"")</f>
        <v/>
      </c>
      <c r="E111" s="292" t="str">
        <f aca="false">IF(D111="","",IFERROR(VLOOKUP(D111,PLANI_LLOGARIVE!$A:$B,2,FALSE()),""))</f>
        <v/>
      </c>
      <c r="F111" s="293" t="str">
        <f aca="false">IF(MBYLLJA_6_7_AUTO!$H$42&gt;0,MBYLLJA_6_7_AUTO!$H$42,"")</f>
        <v/>
      </c>
      <c r="G111" s="294"/>
      <c r="H111" s="288" t="s">
        <v>1008</v>
      </c>
      <c r="I111" s="288" t="s">
        <v>1009</v>
      </c>
    </row>
    <row r="112" customFormat="false" ht="15" hidden="false" customHeight="true" outlineLevel="0" collapsed="false">
      <c r="A112" s="291" t="str">
        <f aca="false">IF(MBYLLJA_6_7_AUTO!$H$43&gt;0,MBYLLJA_6_7_AUTO!$B$7,"")</f>
        <v/>
      </c>
      <c r="B112" s="292" t="str">
        <f aca="false">IF(MBYLLJA_6_7_AUTO!$H$43&gt;0,9901,"")</f>
        <v/>
      </c>
      <c r="C112" s="292" t="str">
        <f aca="false">IF(MBYLLJA_6_7_AUTO!$H$43&gt;0,"MB-CL7","")</f>
        <v/>
      </c>
      <c r="D112" s="292" t="str">
        <f aca="false">IF(MBYLLJA_6_7_AUTO!$H$43&gt;0,MBYLLJA_6_7_AUTO!$B$43,"")</f>
        <v/>
      </c>
      <c r="E112" s="292" t="str">
        <f aca="false">IF(D112="","",IFERROR(VLOOKUP(D112,PLANI_LLOGARIVE!$A:$B,2,FALSE()),""))</f>
        <v/>
      </c>
      <c r="F112" s="293" t="str">
        <f aca="false">IF(MBYLLJA_6_7_AUTO!$H$43&gt;0,MBYLLJA_6_7_AUTO!$H$43,"")</f>
        <v/>
      </c>
      <c r="G112" s="294"/>
      <c r="H112" s="288" t="s">
        <v>1008</v>
      </c>
      <c r="I112" s="288" t="s">
        <v>1009</v>
      </c>
    </row>
    <row r="113" customFormat="false" ht="15" hidden="false" customHeight="true" outlineLevel="0" collapsed="false">
      <c r="A113" s="291" t="str">
        <f aca="false">IF(MBYLLJA_6_7_AUTO!$H$44&gt;0,MBYLLJA_6_7_AUTO!$B$7,"")</f>
        <v/>
      </c>
      <c r="B113" s="292" t="str">
        <f aca="false">IF(MBYLLJA_6_7_AUTO!$H$44&gt;0,9901,"")</f>
        <v/>
      </c>
      <c r="C113" s="292" t="str">
        <f aca="false">IF(MBYLLJA_6_7_AUTO!$H$44&gt;0,"MB-CL7","")</f>
        <v/>
      </c>
      <c r="D113" s="292" t="str">
        <f aca="false">IF(MBYLLJA_6_7_AUTO!$H$44&gt;0,MBYLLJA_6_7_AUTO!$B$44,"")</f>
        <v/>
      </c>
      <c r="E113" s="292" t="str">
        <f aca="false">IF(D113="","",IFERROR(VLOOKUP(D113,PLANI_LLOGARIVE!$A:$B,2,FALSE()),""))</f>
        <v/>
      </c>
      <c r="F113" s="293" t="str">
        <f aca="false">IF(MBYLLJA_6_7_AUTO!$H$44&gt;0,MBYLLJA_6_7_AUTO!$H$44,"")</f>
        <v/>
      </c>
      <c r="G113" s="294"/>
      <c r="H113" s="288" t="s">
        <v>1008</v>
      </c>
      <c r="I113" s="288" t="s">
        <v>1009</v>
      </c>
    </row>
    <row r="114" customFormat="false" ht="15" hidden="false" customHeight="true" outlineLevel="0" collapsed="false">
      <c r="A114" s="291" t="str">
        <f aca="false">IF(MBYLLJA_6_7_AUTO!$H$45&gt;0,MBYLLJA_6_7_AUTO!$B$7,"")</f>
        <v/>
      </c>
      <c r="B114" s="292" t="str">
        <f aca="false">IF(MBYLLJA_6_7_AUTO!$H$45&gt;0,9901,"")</f>
        <v/>
      </c>
      <c r="C114" s="292" t="str">
        <f aca="false">IF(MBYLLJA_6_7_AUTO!$H$45&gt;0,"MB-CL7","")</f>
        <v/>
      </c>
      <c r="D114" s="292" t="str">
        <f aca="false">IF(MBYLLJA_6_7_AUTO!$H$45&gt;0,MBYLLJA_6_7_AUTO!$B$45,"")</f>
        <v/>
      </c>
      <c r="E114" s="292" t="str">
        <f aca="false">IF(D114="","",IFERROR(VLOOKUP(D114,PLANI_LLOGARIVE!$A:$B,2,FALSE()),""))</f>
        <v/>
      </c>
      <c r="F114" s="293" t="str">
        <f aca="false">IF(MBYLLJA_6_7_AUTO!$H$45&gt;0,MBYLLJA_6_7_AUTO!$H$45,"")</f>
        <v/>
      </c>
      <c r="G114" s="294"/>
      <c r="H114" s="288" t="s">
        <v>1008</v>
      </c>
      <c r="I114" s="288" t="s">
        <v>1009</v>
      </c>
    </row>
    <row r="115" customFormat="false" ht="15" hidden="false" customHeight="true" outlineLevel="0" collapsed="false">
      <c r="A115" s="291" t="str">
        <f aca="false">IF(MBYLLJA_6_7_AUTO!$H$46&gt;0,MBYLLJA_6_7_AUTO!$B$7,"")</f>
        <v/>
      </c>
      <c r="B115" s="292" t="str">
        <f aca="false">IF(MBYLLJA_6_7_AUTO!$H$46&gt;0,9901,"")</f>
        <v/>
      </c>
      <c r="C115" s="292" t="str">
        <f aca="false">IF(MBYLLJA_6_7_AUTO!$H$46&gt;0,"MB-CL7","")</f>
        <v/>
      </c>
      <c r="D115" s="292" t="str">
        <f aca="false">IF(MBYLLJA_6_7_AUTO!$H$46&gt;0,MBYLLJA_6_7_AUTO!$B$46,"")</f>
        <v/>
      </c>
      <c r="E115" s="292" t="str">
        <f aca="false">IF(D115="","",IFERROR(VLOOKUP(D115,PLANI_LLOGARIVE!$A:$B,2,FALSE()),""))</f>
        <v/>
      </c>
      <c r="F115" s="293" t="str">
        <f aca="false">IF(MBYLLJA_6_7_AUTO!$H$46&gt;0,MBYLLJA_6_7_AUTO!$H$46,"")</f>
        <v/>
      </c>
      <c r="G115" s="294"/>
      <c r="H115" s="288" t="s">
        <v>1008</v>
      </c>
      <c r="I115" s="288" t="s">
        <v>1009</v>
      </c>
    </row>
    <row r="116" customFormat="false" ht="15" hidden="false" customHeight="true" outlineLevel="0" collapsed="false">
      <c r="A116" s="291" t="str">
        <f aca="false">IF(MBYLLJA_6_7_AUTO!$H$47&gt;0,MBYLLJA_6_7_AUTO!$B$7,"")</f>
        <v/>
      </c>
      <c r="B116" s="292" t="str">
        <f aca="false">IF(MBYLLJA_6_7_AUTO!$H$47&gt;0,9901,"")</f>
        <v/>
      </c>
      <c r="C116" s="292" t="str">
        <f aca="false">IF(MBYLLJA_6_7_AUTO!$H$47&gt;0,"MB-CL7","")</f>
        <v/>
      </c>
      <c r="D116" s="292" t="str">
        <f aca="false">IF(MBYLLJA_6_7_AUTO!$H$47&gt;0,MBYLLJA_6_7_AUTO!$B$47,"")</f>
        <v/>
      </c>
      <c r="E116" s="292" t="str">
        <f aca="false">IF(D116="","",IFERROR(VLOOKUP(D116,PLANI_LLOGARIVE!$A:$B,2,FALSE()),""))</f>
        <v/>
      </c>
      <c r="F116" s="293" t="str">
        <f aca="false">IF(MBYLLJA_6_7_AUTO!$H$47&gt;0,MBYLLJA_6_7_AUTO!$H$47,"")</f>
        <v/>
      </c>
      <c r="G116" s="294"/>
      <c r="H116" s="288" t="s">
        <v>1008</v>
      </c>
      <c r="I116" s="288" t="s">
        <v>1009</v>
      </c>
    </row>
    <row r="117" customFormat="false" ht="15" hidden="false" customHeight="true" outlineLevel="0" collapsed="false">
      <c r="A117" s="296"/>
      <c r="B117" s="288"/>
      <c r="C117" s="288"/>
      <c r="D117" s="288"/>
      <c r="E117" s="281"/>
      <c r="F117" s="294"/>
      <c r="G117" s="294"/>
      <c r="H117" s="288"/>
      <c r="I117" s="288"/>
    </row>
    <row r="118" customFormat="false" ht="15" hidden="false" customHeight="true" outlineLevel="0" collapsed="false">
      <c r="A118" s="296"/>
      <c r="B118" s="288"/>
      <c r="C118" s="288"/>
      <c r="D118" s="288"/>
      <c r="E118" s="281"/>
      <c r="F118" s="294"/>
      <c r="G118" s="294"/>
      <c r="H118" s="288"/>
      <c r="I118" s="288"/>
    </row>
    <row r="119" customFormat="false" ht="15" hidden="false" customHeight="true" outlineLevel="0" collapsed="false">
      <c r="A119" s="296"/>
      <c r="B119" s="288"/>
      <c r="C119" s="288"/>
      <c r="D119" s="288"/>
      <c r="E119" s="281"/>
      <c r="F119" s="294"/>
      <c r="G119" s="294"/>
      <c r="H119" s="288"/>
      <c r="I119" s="288"/>
    </row>
    <row r="120" customFormat="false" ht="15" hidden="false" customHeight="true" outlineLevel="0" collapsed="false">
      <c r="A120" s="296"/>
      <c r="B120" s="288"/>
      <c r="C120" s="288"/>
      <c r="D120" s="288"/>
      <c r="E120" s="281"/>
      <c r="F120" s="294"/>
      <c r="G120" s="294"/>
      <c r="H120" s="288"/>
      <c r="I120" s="288"/>
    </row>
    <row r="121" customFormat="false" ht="15" hidden="false" customHeight="true" outlineLevel="0" collapsed="false">
      <c r="A121" s="296"/>
      <c r="B121" s="288"/>
      <c r="C121" s="288"/>
      <c r="D121" s="288"/>
      <c r="E121" s="281"/>
      <c r="F121" s="294"/>
      <c r="G121" s="294"/>
      <c r="H121" s="288"/>
      <c r="I121" s="288"/>
    </row>
    <row r="122" customFormat="false" ht="15" hidden="false" customHeight="true" outlineLevel="0" collapsed="false">
      <c r="A122" s="296"/>
      <c r="B122" s="288"/>
      <c r="C122" s="288"/>
      <c r="D122" s="288"/>
      <c r="E122" s="281"/>
      <c r="F122" s="294"/>
      <c r="G122" s="294"/>
      <c r="H122" s="288"/>
      <c r="I122" s="288"/>
    </row>
    <row r="123" customFormat="false" ht="15" hidden="false" customHeight="true" outlineLevel="0" collapsed="false">
      <c r="A123" s="291" t="str">
        <f aca="false">IF(SUM($G$86:$G$114)&gt;0,MBYLLJA_6_7_AUTO!$B$7,"")</f>
        <v/>
      </c>
      <c r="B123" s="292" t="str">
        <f aca="false">IF($A123&lt;&gt;"",9901,"")</f>
        <v/>
      </c>
      <c r="C123" s="292" t="str">
        <f aca="false">IF($A123&lt;&gt;"","MB-CL7","")</f>
        <v/>
      </c>
      <c r="D123" s="292" t="str">
        <f aca="false">IF($A123&lt;&gt;"","121","")</f>
        <v/>
      </c>
      <c r="E123" s="292" t="str">
        <f aca="false">IF($D123="","",IFERROR(VLOOKUP($D123,PLANI_LLOGARIVE!$A:$B,2,FALSE()),""))</f>
        <v/>
      </c>
      <c r="F123" s="293" t="str">
        <f aca="false">IF(SUM($G$86:$G$114)&gt;0,SUM($G$86:$G$114),"")</f>
        <v/>
      </c>
      <c r="G123" s="294"/>
      <c r="H123" s="288" t="s">
        <v>1008</v>
      </c>
      <c r="I123" s="288" t="s">
        <v>1010</v>
      </c>
    </row>
    <row r="124" customFormat="false" ht="15" hidden="false" customHeight="true" outlineLevel="0" collapsed="false">
      <c r="A124" s="291" t="str">
        <f aca="false">IF(SUM($F$86:$F$114)&gt;0,MBYLLJA_6_7_AUTO!$B$7,"")</f>
        <v/>
      </c>
      <c r="B124" s="292" t="str">
        <f aca="false">IF($A124&lt;&gt;"",9901,"")</f>
        <v/>
      </c>
      <c r="C124" s="292" t="str">
        <f aca="false">IF($A124&lt;&gt;"","MB-CL7","")</f>
        <v/>
      </c>
      <c r="D124" s="292" t="str">
        <f aca="false">IF($A124&lt;&gt;"","121","")</f>
        <v/>
      </c>
      <c r="E124" s="292" t="str">
        <f aca="false">IF($D124="","",IFERROR(VLOOKUP($D124,PLANI_LLOGARIVE!$A:$B,2,FALSE()),""))</f>
        <v/>
      </c>
      <c r="F124" s="294"/>
      <c r="G124" s="293" t="str">
        <f aca="false">IF(SUM($F$86:$F$114)&gt;0,SUM($F$86:$F$114),"")</f>
        <v/>
      </c>
      <c r="H124" s="288" t="s">
        <v>1008</v>
      </c>
      <c r="I124" s="288" t="s">
        <v>1011</v>
      </c>
    </row>
    <row r="125" customFormat="false" ht="15" hidden="false" customHeight="true" outlineLevel="0" collapsed="false">
      <c r="A125" s="288"/>
      <c r="B125" s="288"/>
      <c r="C125" s="288"/>
      <c r="D125" s="288"/>
      <c r="E125" s="281"/>
      <c r="F125" s="288"/>
      <c r="G125" s="288"/>
      <c r="H125" s="288"/>
      <c r="I125" s="288"/>
    </row>
    <row r="126" customFormat="false" ht="15" hidden="false" customHeight="true" outlineLevel="0" collapsed="false">
      <c r="A126" s="288"/>
      <c r="B126" s="288"/>
      <c r="C126" s="288"/>
      <c r="D126" s="288"/>
      <c r="E126" s="281"/>
      <c r="F126" s="288"/>
      <c r="G126" s="288"/>
      <c r="H126" s="288"/>
      <c r="I126" s="288"/>
    </row>
    <row r="127" customFormat="false" ht="15" hidden="false" customHeight="true" outlineLevel="0" collapsed="false">
      <c r="A127" s="288"/>
      <c r="B127" s="288"/>
      <c r="C127" s="288"/>
      <c r="D127" s="288"/>
      <c r="E127" s="281"/>
      <c r="F127" s="288"/>
      <c r="G127" s="288"/>
      <c r="H127" s="288"/>
      <c r="I127" s="288"/>
    </row>
    <row r="128" customFormat="false" ht="15" hidden="false" customHeight="true" outlineLevel="0" collapsed="false">
      <c r="A128" s="288"/>
      <c r="B128" s="288"/>
      <c r="C128" s="288"/>
      <c r="D128" s="288"/>
      <c r="E128" s="281"/>
      <c r="F128" s="288"/>
      <c r="G128" s="288"/>
      <c r="H128" s="288"/>
      <c r="I128" s="288"/>
    </row>
    <row r="129" customFormat="false" ht="15" hidden="false" customHeight="true" outlineLevel="0" collapsed="false">
      <c r="A129" s="295" t="s">
        <v>1012</v>
      </c>
      <c r="B129" s="295"/>
      <c r="C129" s="295"/>
      <c r="D129" s="295"/>
      <c r="E129" s="295"/>
      <c r="F129" s="295"/>
      <c r="G129" s="295"/>
      <c r="H129" s="295"/>
      <c r="I129" s="295"/>
    </row>
    <row r="130" customFormat="false" ht="15" hidden="false" customHeight="true" outlineLevel="0" collapsed="false">
      <c r="A130" s="286" t="s">
        <v>740</v>
      </c>
      <c r="B130" s="286" t="s">
        <v>741</v>
      </c>
      <c r="C130" s="286" t="s">
        <v>742</v>
      </c>
      <c r="D130" s="286" t="s">
        <v>743</v>
      </c>
      <c r="E130" s="287" t="s">
        <v>744</v>
      </c>
      <c r="F130" s="286" t="s">
        <v>212</v>
      </c>
      <c r="G130" s="286" t="s">
        <v>745</v>
      </c>
      <c r="H130" s="286" t="s">
        <v>746</v>
      </c>
      <c r="I130" s="286" t="s">
        <v>747</v>
      </c>
    </row>
    <row r="131" customFormat="false" ht="15" hidden="false" customHeight="true" outlineLevel="0" collapsed="false">
      <c r="A131" s="288"/>
      <c r="B131" s="288"/>
      <c r="C131" s="288"/>
      <c r="D131" s="288"/>
      <c r="E131" s="281"/>
      <c r="F131" s="288"/>
      <c r="G131" s="288"/>
      <c r="H131" s="288"/>
      <c r="I131" s="288"/>
    </row>
    <row r="132" customFormat="false" ht="15" hidden="false" customHeight="true" outlineLevel="0" collapsed="false">
      <c r="A132" s="288"/>
      <c r="B132" s="288"/>
      <c r="C132" s="288"/>
      <c r="D132" s="288"/>
      <c r="E132" s="281"/>
      <c r="F132" s="288"/>
      <c r="G132" s="288"/>
      <c r="H132" s="288"/>
      <c r="I132" s="288"/>
    </row>
    <row r="133" customFormat="false" ht="15" hidden="false" customHeight="true" outlineLevel="0" collapsed="false">
      <c r="A133" s="291" t="str">
        <f aca="false">IF(SUM($G$136:$G$188)&gt;0,MBYLLJA_6_7_AUTO!$B$7,"")</f>
        <v/>
      </c>
      <c r="B133" s="292" t="str">
        <f aca="false">IF($A133&lt;&gt;"",9902,"")</f>
        <v/>
      </c>
      <c r="C133" s="292" t="str">
        <f aca="false">IF($A133&lt;&gt;"","MB-CL6","")</f>
        <v/>
      </c>
      <c r="D133" s="292" t="str">
        <f aca="false">IF($A133&lt;&gt;"","121","")</f>
        <v/>
      </c>
      <c r="E133" s="292" t="str">
        <f aca="false">IF($D133="","",IFERROR(VLOOKUP($D133,PLANI_LLOGARIVE!$A:$B,2,FALSE()),""))</f>
        <v/>
      </c>
      <c r="F133" s="293" t="str">
        <f aca="false">IF(SUM($G$136:$G$188)&gt;0,SUM($G$136:$G$188),"")</f>
        <v/>
      </c>
      <c r="G133" s="294"/>
      <c r="H133" s="288" t="s">
        <v>1008</v>
      </c>
      <c r="I133" s="288" t="s">
        <v>1013</v>
      </c>
    </row>
    <row r="134" customFormat="false" ht="15" hidden="false" customHeight="true" outlineLevel="0" collapsed="false">
      <c r="A134" s="291" t="str">
        <f aca="false">IF(SUM($F$136:$F$188)&gt;0,MBYLLJA_6_7_AUTO!$B$7,"")</f>
        <v/>
      </c>
      <c r="B134" s="292" t="str">
        <f aca="false">IF($A134&lt;&gt;"",9902,"")</f>
        <v/>
      </c>
      <c r="C134" s="292" t="str">
        <f aca="false">IF($A134&lt;&gt;"","MB-CL6","")</f>
        <v/>
      </c>
      <c r="D134" s="292" t="str">
        <f aca="false">IF($A134&lt;&gt;"","121","")</f>
        <v/>
      </c>
      <c r="E134" s="292" t="str">
        <f aca="false">IF($D134="","",IFERROR(VLOOKUP($D134,PLANI_LLOGARIVE!$A:$B,2,FALSE()),""))</f>
        <v/>
      </c>
      <c r="F134" s="294"/>
      <c r="G134" s="293" t="str">
        <f aca="false">IF(SUM($F$136:$F$188)&gt;0,SUM($F$136:$F$188),"")</f>
        <v/>
      </c>
      <c r="H134" s="288" t="s">
        <v>1008</v>
      </c>
      <c r="I134" s="288" t="s">
        <v>1014</v>
      </c>
    </row>
    <row r="135" customFormat="false" ht="15" hidden="false" customHeight="true" outlineLevel="0" collapsed="false">
      <c r="A135" s="296"/>
      <c r="B135" s="288"/>
      <c r="C135" s="288"/>
      <c r="D135" s="288"/>
      <c r="E135" s="281"/>
      <c r="F135" s="294"/>
      <c r="G135" s="294"/>
      <c r="H135" s="288"/>
      <c r="I135" s="288"/>
    </row>
    <row r="136" customFormat="false" ht="15" hidden="false" customHeight="true" outlineLevel="0" collapsed="false">
      <c r="A136" s="291" t="str">
        <f aca="false">IF(MBYLLJA_6_7_AUTO!$H$50&gt;0,MBYLLJA_6_7_AUTO!$B$7,"")</f>
        <v/>
      </c>
      <c r="B136" s="292" t="str">
        <f aca="false">IF(MBYLLJA_6_7_AUTO!$H$50&gt;0,9902,"")</f>
        <v/>
      </c>
      <c r="C136" s="292" t="str">
        <f aca="false">IF(MBYLLJA_6_7_AUTO!$H$50&gt;0,"MB-CL6","")</f>
        <v/>
      </c>
      <c r="D136" s="292" t="str">
        <f aca="false">IF(MBYLLJA_6_7_AUTO!$H$50&gt;0,MBYLLJA_6_7_AUTO!$B$50,"")</f>
        <v/>
      </c>
      <c r="E136" s="292" t="str">
        <f aca="false">IF(D136="","",IFERROR(VLOOKUP(D136,PLANI_LLOGARIVE!$A:$B,2,FALSE()),""))</f>
        <v/>
      </c>
      <c r="F136" s="294"/>
      <c r="G136" s="293" t="str">
        <f aca="false">IF(MBYLLJA_6_7_AUTO!$H$50&gt;0,MBYLLJA_6_7_AUTO!$H$50,"")</f>
        <v/>
      </c>
      <c r="H136" s="288" t="s">
        <v>1008</v>
      </c>
      <c r="I136" s="288" t="s">
        <v>1015</v>
      </c>
    </row>
    <row r="137" customFormat="false" ht="15" hidden="false" customHeight="true" outlineLevel="0" collapsed="false">
      <c r="A137" s="291" t="str">
        <f aca="false">IF(MBYLLJA_6_7_AUTO!$H$51&gt;0,MBYLLJA_6_7_AUTO!$B$7,"")</f>
        <v/>
      </c>
      <c r="B137" s="292" t="str">
        <f aca="false">IF(MBYLLJA_6_7_AUTO!$H$51&gt;0,9902,"")</f>
        <v/>
      </c>
      <c r="C137" s="292" t="str">
        <f aca="false">IF(MBYLLJA_6_7_AUTO!$H$51&gt;0,"MB-CL6","")</f>
        <v/>
      </c>
      <c r="D137" s="292" t="str">
        <f aca="false">IF(MBYLLJA_6_7_AUTO!$H$51&gt;0,MBYLLJA_6_7_AUTO!$B$51,"")</f>
        <v/>
      </c>
      <c r="E137" s="292" t="str">
        <f aca="false">IF(D137="","",IFERROR(VLOOKUP(D137,PLANI_LLOGARIVE!$A:$B,2,FALSE()),""))</f>
        <v/>
      </c>
      <c r="F137" s="294"/>
      <c r="G137" s="293" t="str">
        <f aca="false">IF(MBYLLJA_6_7_AUTO!$H$51&gt;0,MBYLLJA_6_7_AUTO!$H$51,"")</f>
        <v/>
      </c>
      <c r="H137" s="288" t="s">
        <v>1008</v>
      </c>
      <c r="I137" s="288" t="s">
        <v>1015</v>
      </c>
    </row>
    <row r="138" customFormat="false" ht="15" hidden="false" customHeight="true" outlineLevel="0" collapsed="false">
      <c r="A138" s="291" t="str">
        <f aca="false">IF(MBYLLJA_6_7_AUTO!$H$52&gt;0,MBYLLJA_6_7_AUTO!$B$7,"")</f>
        <v/>
      </c>
      <c r="B138" s="292" t="str">
        <f aca="false">IF(MBYLLJA_6_7_AUTO!$H$52&gt;0,9902,"")</f>
        <v/>
      </c>
      <c r="C138" s="292" t="str">
        <f aca="false">IF(MBYLLJA_6_7_AUTO!$H$52&gt;0,"MB-CL6","")</f>
        <v/>
      </c>
      <c r="D138" s="292" t="str">
        <f aca="false">IF(MBYLLJA_6_7_AUTO!$H$52&gt;0,MBYLLJA_6_7_AUTO!$B$52,"")</f>
        <v/>
      </c>
      <c r="E138" s="292" t="str">
        <f aca="false">IF(D138="","",IFERROR(VLOOKUP(D138,PLANI_LLOGARIVE!$A:$B,2,FALSE()),""))</f>
        <v/>
      </c>
      <c r="F138" s="294"/>
      <c r="G138" s="293" t="str">
        <f aca="false">IF(MBYLLJA_6_7_AUTO!$H$52&gt;0,MBYLLJA_6_7_AUTO!$H$52,"")</f>
        <v/>
      </c>
      <c r="H138" s="288" t="s">
        <v>1008</v>
      </c>
      <c r="I138" s="288" t="s">
        <v>1015</v>
      </c>
    </row>
    <row r="139" customFormat="false" ht="15" hidden="false" customHeight="true" outlineLevel="0" collapsed="false">
      <c r="A139" s="291" t="str">
        <f aca="false">IF(MBYLLJA_6_7_AUTO!$H$53&gt;0,MBYLLJA_6_7_AUTO!$B$7,"")</f>
        <v/>
      </c>
      <c r="B139" s="292" t="str">
        <f aca="false">IF(MBYLLJA_6_7_AUTO!$H$53&gt;0,9902,"")</f>
        <v/>
      </c>
      <c r="C139" s="292" t="str">
        <f aca="false">IF(MBYLLJA_6_7_AUTO!$H$53&gt;0,"MB-CL6","")</f>
        <v/>
      </c>
      <c r="D139" s="292" t="str">
        <f aca="false">IF(MBYLLJA_6_7_AUTO!$H$53&gt;0,MBYLLJA_6_7_AUTO!$B$53,"")</f>
        <v/>
      </c>
      <c r="E139" s="292" t="str">
        <f aca="false">IF(D139="","",IFERROR(VLOOKUP(D139,PLANI_LLOGARIVE!$A:$B,2,FALSE()),""))</f>
        <v/>
      </c>
      <c r="F139" s="294"/>
      <c r="G139" s="293" t="str">
        <f aca="false">IF(MBYLLJA_6_7_AUTO!$H$53&gt;0,MBYLLJA_6_7_AUTO!$H$53,"")</f>
        <v/>
      </c>
      <c r="H139" s="288" t="s">
        <v>1008</v>
      </c>
      <c r="I139" s="288" t="s">
        <v>1015</v>
      </c>
    </row>
    <row r="140" customFormat="false" ht="15" hidden="false" customHeight="true" outlineLevel="0" collapsed="false">
      <c r="A140" s="291" t="str">
        <f aca="false">IF(MBYLLJA_6_7_AUTO!$H$54&gt;0,MBYLLJA_6_7_AUTO!$B$7,"")</f>
        <v/>
      </c>
      <c r="B140" s="292" t="str">
        <f aca="false">IF(MBYLLJA_6_7_AUTO!$H$54&gt;0,9902,"")</f>
        <v/>
      </c>
      <c r="C140" s="292" t="str">
        <f aca="false">IF(MBYLLJA_6_7_AUTO!$H$54&gt;0,"MB-CL6","")</f>
        <v/>
      </c>
      <c r="D140" s="292" t="str">
        <f aca="false">IF(MBYLLJA_6_7_AUTO!$H$54&gt;0,MBYLLJA_6_7_AUTO!$B$54,"")</f>
        <v/>
      </c>
      <c r="E140" s="292" t="str">
        <f aca="false">IF(D140="","",IFERROR(VLOOKUP(D140,PLANI_LLOGARIVE!$A:$B,2,FALSE()),""))</f>
        <v/>
      </c>
      <c r="F140" s="294"/>
      <c r="G140" s="293" t="str">
        <f aca="false">IF(MBYLLJA_6_7_AUTO!$H$54&gt;0,MBYLLJA_6_7_AUTO!$H$54,"")</f>
        <v/>
      </c>
      <c r="H140" s="288" t="s">
        <v>1008</v>
      </c>
      <c r="I140" s="288" t="s">
        <v>1015</v>
      </c>
    </row>
    <row r="141" customFormat="false" ht="15" hidden="false" customHeight="true" outlineLevel="0" collapsed="false">
      <c r="A141" s="291" t="str">
        <f aca="false">IF(MBYLLJA_6_7_AUTO!$H$55&gt;0,MBYLLJA_6_7_AUTO!$B$7,"")</f>
        <v/>
      </c>
      <c r="B141" s="292" t="str">
        <f aca="false">IF(MBYLLJA_6_7_AUTO!$H$55&gt;0,9902,"")</f>
        <v/>
      </c>
      <c r="C141" s="292" t="str">
        <f aca="false">IF(MBYLLJA_6_7_AUTO!$H$55&gt;0,"MB-CL6","")</f>
        <v/>
      </c>
      <c r="D141" s="292" t="str">
        <f aca="false">IF(MBYLLJA_6_7_AUTO!$H$55&gt;0,MBYLLJA_6_7_AUTO!$B$55,"")</f>
        <v/>
      </c>
      <c r="E141" s="292" t="str">
        <f aca="false">IF(D141="","",IFERROR(VLOOKUP(D141,PLANI_LLOGARIVE!$A:$B,2,FALSE()),""))</f>
        <v/>
      </c>
      <c r="F141" s="294"/>
      <c r="G141" s="293" t="str">
        <f aca="false">IF(MBYLLJA_6_7_AUTO!$H$55&gt;0,MBYLLJA_6_7_AUTO!$H$55,"")</f>
        <v/>
      </c>
      <c r="H141" s="288" t="s">
        <v>1008</v>
      </c>
      <c r="I141" s="288" t="s">
        <v>1015</v>
      </c>
    </row>
    <row r="142" customFormat="false" ht="15" hidden="false" customHeight="true" outlineLevel="0" collapsed="false">
      <c r="A142" s="291" t="str">
        <f aca="false">IF(MBYLLJA_6_7_AUTO!$H$56&gt;0,MBYLLJA_6_7_AUTO!$B$7,"")</f>
        <v/>
      </c>
      <c r="B142" s="292" t="str">
        <f aca="false">IF(MBYLLJA_6_7_AUTO!$H$56&gt;0,9902,"")</f>
        <v/>
      </c>
      <c r="C142" s="292" t="str">
        <f aca="false">IF(MBYLLJA_6_7_AUTO!$H$56&gt;0,"MB-CL6","")</f>
        <v/>
      </c>
      <c r="D142" s="292" t="str">
        <f aca="false">IF(MBYLLJA_6_7_AUTO!$H$56&gt;0,MBYLLJA_6_7_AUTO!$B$56,"")</f>
        <v/>
      </c>
      <c r="E142" s="292" t="str">
        <f aca="false">IF(D142="","",IFERROR(VLOOKUP(D142,PLANI_LLOGARIVE!$A:$B,2,FALSE()),""))</f>
        <v/>
      </c>
      <c r="F142" s="294"/>
      <c r="G142" s="293" t="str">
        <f aca="false">IF(MBYLLJA_6_7_AUTO!$H$56&gt;0,MBYLLJA_6_7_AUTO!$H$56,"")</f>
        <v/>
      </c>
      <c r="H142" s="288" t="s">
        <v>1008</v>
      </c>
      <c r="I142" s="288" t="s">
        <v>1015</v>
      </c>
    </row>
    <row r="143" customFormat="false" ht="15" hidden="false" customHeight="true" outlineLevel="0" collapsed="false">
      <c r="A143" s="291" t="str">
        <f aca="false">IF(MBYLLJA_6_7_AUTO!$H$57&gt;0,MBYLLJA_6_7_AUTO!$B$7,"")</f>
        <v/>
      </c>
      <c r="B143" s="292" t="str">
        <f aca="false">IF(MBYLLJA_6_7_AUTO!$H$57&gt;0,9902,"")</f>
        <v/>
      </c>
      <c r="C143" s="292" t="str">
        <f aca="false">IF(MBYLLJA_6_7_AUTO!$H$57&gt;0,"MB-CL6","")</f>
        <v/>
      </c>
      <c r="D143" s="292" t="str">
        <f aca="false">IF(MBYLLJA_6_7_AUTO!$H$57&gt;0,MBYLLJA_6_7_AUTO!$B$57,"")</f>
        <v/>
      </c>
      <c r="E143" s="292" t="str">
        <f aca="false">IF(D143="","",IFERROR(VLOOKUP(D143,PLANI_LLOGARIVE!$A:$B,2,FALSE()),""))</f>
        <v/>
      </c>
      <c r="F143" s="294"/>
      <c r="G143" s="293" t="str">
        <f aca="false">IF(MBYLLJA_6_7_AUTO!$H$57&gt;0,MBYLLJA_6_7_AUTO!$H$57,"")</f>
        <v/>
      </c>
      <c r="H143" s="288" t="s">
        <v>1008</v>
      </c>
      <c r="I143" s="288" t="s">
        <v>1015</v>
      </c>
    </row>
    <row r="144" customFormat="false" ht="15" hidden="false" customHeight="true" outlineLevel="0" collapsed="false">
      <c r="A144" s="291" t="str">
        <f aca="false">IF(MBYLLJA_6_7_AUTO!$H$58&gt;0,MBYLLJA_6_7_AUTO!$B$7,"")</f>
        <v/>
      </c>
      <c r="B144" s="292" t="str">
        <f aca="false">IF(MBYLLJA_6_7_AUTO!$H$58&gt;0,9902,"")</f>
        <v/>
      </c>
      <c r="C144" s="292" t="str">
        <f aca="false">IF(MBYLLJA_6_7_AUTO!$H$58&gt;0,"MB-CL6","")</f>
        <v/>
      </c>
      <c r="D144" s="292" t="str">
        <f aca="false">IF(MBYLLJA_6_7_AUTO!$H$58&gt;0,MBYLLJA_6_7_AUTO!$B$58,"")</f>
        <v/>
      </c>
      <c r="E144" s="292" t="str">
        <f aca="false">IF(D144="","",IFERROR(VLOOKUP(D144,PLANI_LLOGARIVE!$A:$B,2,FALSE()),""))</f>
        <v/>
      </c>
      <c r="F144" s="294"/>
      <c r="G144" s="293" t="str">
        <f aca="false">IF(MBYLLJA_6_7_AUTO!$H$58&gt;0,MBYLLJA_6_7_AUTO!$H$58,"")</f>
        <v/>
      </c>
      <c r="H144" s="288" t="s">
        <v>1008</v>
      </c>
      <c r="I144" s="288" t="s">
        <v>1015</v>
      </c>
    </row>
    <row r="145" customFormat="false" ht="15" hidden="false" customHeight="true" outlineLevel="0" collapsed="false">
      <c r="A145" s="291" t="str">
        <f aca="false">IF(MBYLLJA_6_7_AUTO!$H$59&gt;0,MBYLLJA_6_7_AUTO!$B$7,"")</f>
        <v/>
      </c>
      <c r="B145" s="292" t="str">
        <f aca="false">IF(MBYLLJA_6_7_AUTO!$H$59&gt;0,9902,"")</f>
        <v/>
      </c>
      <c r="C145" s="292" t="str">
        <f aca="false">IF(MBYLLJA_6_7_AUTO!$H$59&gt;0,"MB-CL6","")</f>
        <v/>
      </c>
      <c r="D145" s="292" t="str">
        <f aca="false">IF(MBYLLJA_6_7_AUTO!$H$59&gt;0,MBYLLJA_6_7_AUTO!$B$59,"")</f>
        <v/>
      </c>
      <c r="E145" s="292" t="str">
        <f aca="false">IF(D145="","",IFERROR(VLOOKUP(D145,PLANI_LLOGARIVE!$A:$B,2,FALSE()),""))</f>
        <v/>
      </c>
      <c r="F145" s="294"/>
      <c r="G145" s="293" t="str">
        <f aca="false">IF(MBYLLJA_6_7_AUTO!$H$59&gt;0,MBYLLJA_6_7_AUTO!$H$59,"")</f>
        <v/>
      </c>
      <c r="H145" s="288" t="s">
        <v>1008</v>
      </c>
      <c r="I145" s="288" t="s">
        <v>1015</v>
      </c>
    </row>
    <row r="146" customFormat="false" ht="15" hidden="false" customHeight="true" outlineLevel="0" collapsed="false">
      <c r="A146" s="291" t="str">
        <f aca="false">IF(MBYLLJA_6_7_AUTO!$H$60&gt;0,MBYLLJA_6_7_AUTO!$B$7,"")</f>
        <v/>
      </c>
      <c r="B146" s="292" t="str">
        <f aca="false">IF(MBYLLJA_6_7_AUTO!$H$60&gt;0,9902,"")</f>
        <v/>
      </c>
      <c r="C146" s="292" t="str">
        <f aca="false">IF(MBYLLJA_6_7_AUTO!$H$60&gt;0,"MB-CL6","")</f>
        <v/>
      </c>
      <c r="D146" s="292" t="str">
        <f aca="false">IF(MBYLLJA_6_7_AUTO!$H$60&gt;0,MBYLLJA_6_7_AUTO!$B$60,"")</f>
        <v/>
      </c>
      <c r="E146" s="292" t="str">
        <f aca="false">IF(D146="","",IFERROR(VLOOKUP(D146,PLANI_LLOGARIVE!$A:$B,2,FALSE()),""))</f>
        <v/>
      </c>
      <c r="F146" s="294"/>
      <c r="G146" s="293" t="str">
        <f aca="false">IF(MBYLLJA_6_7_AUTO!$H$60&gt;0,MBYLLJA_6_7_AUTO!$H$60,"")</f>
        <v/>
      </c>
      <c r="H146" s="288" t="s">
        <v>1008</v>
      </c>
      <c r="I146" s="288" t="s">
        <v>1015</v>
      </c>
    </row>
    <row r="147" customFormat="false" ht="15" hidden="false" customHeight="true" outlineLevel="0" collapsed="false">
      <c r="A147" s="291" t="str">
        <f aca="false">IF(MBYLLJA_6_7_AUTO!$H$61&gt;0,MBYLLJA_6_7_AUTO!$B$7,"")</f>
        <v/>
      </c>
      <c r="B147" s="292" t="str">
        <f aca="false">IF(MBYLLJA_6_7_AUTO!$H$61&gt;0,9902,"")</f>
        <v/>
      </c>
      <c r="C147" s="292" t="str">
        <f aca="false">IF(MBYLLJA_6_7_AUTO!$H$61&gt;0,"MB-CL6","")</f>
        <v/>
      </c>
      <c r="D147" s="292" t="str">
        <f aca="false">IF(MBYLLJA_6_7_AUTO!$H$61&gt;0,MBYLLJA_6_7_AUTO!$B$61,"")</f>
        <v/>
      </c>
      <c r="E147" s="292" t="str">
        <f aca="false">IF(D147="","",IFERROR(VLOOKUP(D147,PLANI_LLOGARIVE!$A:$B,2,FALSE()),""))</f>
        <v/>
      </c>
      <c r="F147" s="294"/>
      <c r="G147" s="293" t="str">
        <f aca="false">IF(MBYLLJA_6_7_AUTO!$H$61&gt;0,MBYLLJA_6_7_AUTO!$H$61,"")</f>
        <v/>
      </c>
      <c r="H147" s="288" t="s">
        <v>1008</v>
      </c>
      <c r="I147" s="288" t="s">
        <v>1015</v>
      </c>
    </row>
    <row r="148" customFormat="false" ht="15" hidden="false" customHeight="true" outlineLevel="0" collapsed="false">
      <c r="A148" s="291" t="str">
        <f aca="false">IF(MBYLLJA_6_7_AUTO!$H$62&gt;0,MBYLLJA_6_7_AUTO!$B$7,"")</f>
        <v/>
      </c>
      <c r="B148" s="292" t="str">
        <f aca="false">IF(MBYLLJA_6_7_AUTO!$H$62&gt;0,9902,"")</f>
        <v/>
      </c>
      <c r="C148" s="292" t="str">
        <f aca="false">IF(MBYLLJA_6_7_AUTO!$H$62&gt;0,"MB-CL6","")</f>
        <v/>
      </c>
      <c r="D148" s="292" t="str">
        <f aca="false">IF(MBYLLJA_6_7_AUTO!$H$62&gt;0,MBYLLJA_6_7_AUTO!$B$62,"")</f>
        <v/>
      </c>
      <c r="E148" s="292" t="str">
        <f aca="false">IF(D148="","",IFERROR(VLOOKUP(D148,PLANI_LLOGARIVE!$A:$B,2,FALSE()),""))</f>
        <v/>
      </c>
      <c r="F148" s="294"/>
      <c r="G148" s="293" t="str">
        <f aca="false">IF(MBYLLJA_6_7_AUTO!$H$62&gt;0,MBYLLJA_6_7_AUTO!$H$62,"")</f>
        <v/>
      </c>
      <c r="H148" s="288" t="s">
        <v>1008</v>
      </c>
      <c r="I148" s="288" t="s">
        <v>1015</v>
      </c>
    </row>
    <row r="149" customFormat="false" ht="15" hidden="false" customHeight="true" outlineLevel="0" collapsed="false">
      <c r="A149" s="291" t="str">
        <f aca="false">IF(MBYLLJA_6_7_AUTO!$H$63&gt;0,MBYLLJA_6_7_AUTO!$B$7,"")</f>
        <v/>
      </c>
      <c r="B149" s="292" t="str">
        <f aca="false">IF(MBYLLJA_6_7_AUTO!$H$63&gt;0,9902,"")</f>
        <v/>
      </c>
      <c r="C149" s="292" t="str">
        <f aca="false">IF(MBYLLJA_6_7_AUTO!$H$63&gt;0,"MB-CL6","")</f>
        <v/>
      </c>
      <c r="D149" s="292" t="str">
        <f aca="false">IF(MBYLLJA_6_7_AUTO!$H$63&gt;0,MBYLLJA_6_7_AUTO!$B$63,"")</f>
        <v/>
      </c>
      <c r="E149" s="292" t="str">
        <f aca="false">IF(D149="","",IFERROR(VLOOKUP(D149,PLANI_LLOGARIVE!$A:$B,2,FALSE()),""))</f>
        <v/>
      </c>
      <c r="F149" s="294"/>
      <c r="G149" s="293" t="str">
        <f aca="false">IF(MBYLLJA_6_7_AUTO!$H$63&gt;0,MBYLLJA_6_7_AUTO!$H$63,"")</f>
        <v/>
      </c>
      <c r="H149" s="288" t="s">
        <v>1008</v>
      </c>
      <c r="I149" s="288" t="s">
        <v>1015</v>
      </c>
    </row>
    <row r="150" customFormat="false" ht="15" hidden="false" customHeight="true" outlineLevel="0" collapsed="false">
      <c r="A150" s="291" t="str">
        <f aca="false">IF(MBYLLJA_6_7_AUTO!$H$64&gt;0,MBYLLJA_6_7_AUTO!$B$7,"")</f>
        <v/>
      </c>
      <c r="B150" s="292" t="str">
        <f aca="false">IF(MBYLLJA_6_7_AUTO!$H$64&gt;0,9902,"")</f>
        <v/>
      </c>
      <c r="C150" s="292" t="str">
        <f aca="false">IF(MBYLLJA_6_7_AUTO!$H$64&gt;0,"MB-CL6","")</f>
        <v/>
      </c>
      <c r="D150" s="292" t="str">
        <f aca="false">IF(MBYLLJA_6_7_AUTO!$H$64&gt;0,MBYLLJA_6_7_AUTO!$B$64,"")</f>
        <v/>
      </c>
      <c r="E150" s="292" t="str">
        <f aca="false">IF(D150="","",IFERROR(VLOOKUP(D150,PLANI_LLOGARIVE!$A:$B,2,FALSE()),""))</f>
        <v/>
      </c>
      <c r="F150" s="294"/>
      <c r="G150" s="293" t="str">
        <f aca="false">IF(MBYLLJA_6_7_AUTO!$H$64&gt;0,MBYLLJA_6_7_AUTO!$H$64,"")</f>
        <v/>
      </c>
      <c r="H150" s="288" t="s">
        <v>1008</v>
      </c>
      <c r="I150" s="288" t="s">
        <v>1015</v>
      </c>
    </row>
    <row r="151" customFormat="false" ht="15" hidden="false" customHeight="true" outlineLevel="0" collapsed="false">
      <c r="A151" s="291" t="str">
        <f aca="false">IF(MBYLLJA_6_7_AUTO!$H$65&gt;0,MBYLLJA_6_7_AUTO!$B$7,"")</f>
        <v/>
      </c>
      <c r="B151" s="292" t="str">
        <f aca="false">IF(MBYLLJA_6_7_AUTO!$H$65&gt;0,9902,"")</f>
        <v/>
      </c>
      <c r="C151" s="292" t="str">
        <f aca="false">IF(MBYLLJA_6_7_AUTO!$H$65&gt;0,"MB-CL6","")</f>
        <v/>
      </c>
      <c r="D151" s="292" t="str">
        <f aca="false">IF(MBYLLJA_6_7_AUTO!$H$65&gt;0,MBYLLJA_6_7_AUTO!$B$65,"")</f>
        <v/>
      </c>
      <c r="E151" s="292" t="str">
        <f aca="false">IF(D151="","",IFERROR(VLOOKUP(D151,PLANI_LLOGARIVE!$A:$B,2,FALSE()),""))</f>
        <v/>
      </c>
      <c r="F151" s="294"/>
      <c r="G151" s="293" t="str">
        <f aca="false">IF(MBYLLJA_6_7_AUTO!$H$65&gt;0,MBYLLJA_6_7_AUTO!$H$65,"")</f>
        <v/>
      </c>
      <c r="H151" s="288" t="s">
        <v>1008</v>
      </c>
      <c r="I151" s="288" t="s">
        <v>1015</v>
      </c>
    </row>
    <row r="152" customFormat="false" ht="15" hidden="false" customHeight="true" outlineLevel="0" collapsed="false">
      <c r="A152" s="291" t="str">
        <f aca="false">IF(MBYLLJA_6_7_AUTO!$H$66&gt;0,MBYLLJA_6_7_AUTO!$B$7,"")</f>
        <v/>
      </c>
      <c r="B152" s="292" t="str">
        <f aca="false">IF(MBYLLJA_6_7_AUTO!$H$66&gt;0,9902,"")</f>
        <v/>
      </c>
      <c r="C152" s="292" t="str">
        <f aca="false">IF(MBYLLJA_6_7_AUTO!$H$66&gt;0,"MB-CL6","")</f>
        <v/>
      </c>
      <c r="D152" s="292" t="str">
        <f aca="false">IF(MBYLLJA_6_7_AUTO!$H$66&gt;0,MBYLLJA_6_7_AUTO!$B$66,"")</f>
        <v/>
      </c>
      <c r="E152" s="292" t="str">
        <f aca="false">IF(D152="","",IFERROR(VLOOKUP(D152,PLANI_LLOGARIVE!$A:$B,2,FALSE()),""))</f>
        <v/>
      </c>
      <c r="F152" s="294"/>
      <c r="G152" s="293" t="str">
        <f aca="false">IF(MBYLLJA_6_7_AUTO!$H$66&gt;0,MBYLLJA_6_7_AUTO!$H$66,"")</f>
        <v/>
      </c>
      <c r="H152" s="288" t="s">
        <v>1008</v>
      </c>
      <c r="I152" s="288" t="s">
        <v>1015</v>
      </c>
    </row>
    <row r="153" customFormat="false" ht="15" hidden="false" customHeight="true" outlineLevel="0" collapsed="false">
      <c r="A153" s="291" t="str">
        <f aca="false">IF(MBYLLJA_6_7_AUTO!$H$67&gt;0,MBYLLJA_6_7_AUTO!$B$7,"")</f>
        <v/>
      </c>
      <c r="B153" s="292" t="str">
        <f aca="false">IF(MBYLLJA_6_7_AUTO!$H$67&gt;0,9902,"")</f>
        <v/>
      </c>
      <c r="C153" s="292" t="str">
        <f aca="false">IF(MBYLLJA_6_7_AUTO!$H$67&gt;0,"MB-CL6","")</f>
        <v/>
      </c>
      <c r="D153" s="292" t="str">
        <f aca="false">IF(MBYLLJA_6_7_AUTO!$H$67&gt;0,MBYLLJA_6_7_AUTO!$B$67,"")</f>
        <v/>
      </c>
      <c r="E153" s="292" t="str">
        <f aca="false">IF(D153="","",IFERROR(VLOOKUP(D153,PLANI_LLOGARIVE!$A:$B,2,FALSE()),""))</f>
        <v/>
      </c>
      <c r="F153" s="294"/>
      <c r="G153" s="293" t="str">
        <f aca="false">IF(MBYLLJA_6_7_AUTO!$H$67&gt;0,MBYLLJA_6_7_AUTO!$H$67,"")</f>
        <v/>
      </c>
      <c r="H153" s="288" t="s">
        <v>1008</v>
      </c>
      <c r="I153" s="288" t="s">
        <v>1015</v>
      </c>
    </row>
    <row r="154" customFormat="false" ht="15" hidden="false" customHeight="true" outlineLevel="0" collapsed="false">
      <c r="A154" s="291" t="str">
        <f aca="false">IF(MBYLLJA_6_7_AUTO!$H$68&gt;0,MBYLLJA_6_7_AUTO!$B$7,"")</f>
        <v/>
      </c>
      <c r="B154" s="292" t="str">
        <f aca="false">IF(MBYLLJA_6_7_AUTO!$H$68&gt;0,9902,"")</f>
        <v/>
      </c>
      <c r="C154" s="292" t="str">
        <f aca="false">IF(MBYLLJA_6_7_AUTO!$H$68&gt;0,"MB-CL6","")</f>
        <v/>
      </c>
      <c r="D154" s="292" t="str">
        <f aca="false">IF(MBYLLJA_6_7_AUTO!$H$68&gt;0,MBYLLJA_6_7_AUTO!$B$68,"")</f>
        <v/>
      </c>
      <c r="E154" s="292" t="str">
        <f aca="false">IF(D154="","",IFERROR(VLOOKUP(D154,PLANI_LLOGARIVE!$A:$B,2,FALSE()),""))</f>
        <v/>
      </c>
      <c r="F154" s="294"/>
      <c r="G154" s="293" t="str">
        <f aca="false">IF(MBYLLJA_6_7_AUTO!$H$68&gt;0,MBYLLJA_6_7_AUTO!$H$68,"")</f>
        <v/>
      </c>
      <c r="H154" s="288" t="s">
        <v>1008</v>
      </c>
      <c r="I154" s="288" t="s">
        <v>1015</v>
      </c>
    </row>
    <row r="155" customFormat="false" ht="15" hidden="false" customHeight="true" outlineLevel="0" collapsed="false">
      <c r="A155" s="291" t="str">
        <f aca="false">IF(MBYLLJA_6_7_AUTO!$H$69&gt;0,MBYLLJA_6_7_AUTO!$B$7,"")</f>
        <v/>
      </c>
      <c r="B155" s="292" t="str">
        <f aca="false">IF(MBYLLJA_6_7_AUTO!$H$69&gt;0,9902,"")</f>
        <v/>
      </c>
      <c r="C155" s="292" t="str">
        <f aca="false">IF(MBYLLJA_6_7_AUTO!$H$69&gt;0,"MB-CL6","")</f>
        <v/>
      </c>
      <c r="D155" s="292" t="str">
        <f aca="false">IF(MBYLLJA_6_7_AUTO!$H$69&gt;0,MBYLLJA_6_7_AUTO!$B$69,"")</f>
        <v/>
      </c>
      <c r="E155" s="292" t="str">
        <f aca="false">IF(D155="","",IFERROR(VLOOKUP(D155,PLANI_LLOGARIVE!$A:$B,2,FALSE()),""))</f>
        <v/>
      </c>
      <c r="F155" s="294"/>
      <c r="G155" s="293" t="str">
        <f aca="false">IF(MBYLLJA_6_7_AUTO!$H$69&gt;0,MBYLLJA_6_7_AUTO!$H$69,"")</f>
        <v/>
      </c>
      <c r="H155" s="288" t="s">
        <v>1008</v>
      </c>
      <c r="I155" s="288" t="s">
        <v>1015</v>
      </c>
    </row>
    <row r="156" customFormat="false" ht="15" hidden="false" customHeight="true" outlineLevel="0" collapsed="false">
      <c r="A156" s="291" t="str">
        <f aca="false">IF(MBYLLJA_6_7_AUTO!$H$70&gt;0,MBYLLJA_6_7_AUTO!$B$7,"")</f>
        <v/>
      </c>
      <c r="B156" s="292" t="str">
        <f aca="false">IF(MBYLLJA_6_7_AUTO!$H$70&gt;0,9902,"")</f>
        <v/>
      </c>
      <c r="C156" s="292" t="str">
        <f aca="false">IF(MBYLLJA_6_7_AUTO!$H$70&gt;0,"MB-CL6","")</f>
        <v/>
      </c>
      <c r="D156" s="292" t="str">
        <f aca="false">IF(MBYLLJA_6_7_AUTO!$H$70&gt;0,MBYLLJA_6_7_AUTO!$B$70,"")</f>
        <v/>
      </c>
      <c r="E156" s="292" t="str">
        <f aca="false">IF(D156="","",IFERROR(VLOOKUP(D156,PLANI_LLOGARIVE!$A:$B,2,FALSE()),""))</f>
        <v/>
      </c>
      <c r="F156" s="294"/>
      <c r="G156" s="293" t="str">
        <f aca="false">IF(MBYLLJA_6_7_AUTO!$H$70&gt;0,MBYLLJA_6_7_AUTO!$H$70,"")</f>
        <v/>
      </c>
      <c r="H156" s="288" t="s">
        <v>1008</v>
      </c>
      <c r="I156" s="288" t="s">
        <v>1015</v>
      </c>
    </row>
    <row r="157" customFormat="false" ht="15" hidden="false" customHeight="true" outlineLevel="0" collapsed="false">
      <c r="A157" s="291" t="str">
        <f aca="false">IF(MBYLLJA_6_7_AUTO!$H$71&gt;0,MBYLLJA_6_7_AUTO!$B$7,"")</f>
        <v/>
      </c>
      <c r="B157" s="292" t="str">
        <f aca="false">IF(MBYLLJA_6_7_AUTO!$H$71&gt;0,9902,"")</f>
        <v/>
      </c>
      <c r="C157" s="292" t="str">
        <f aca="false">IF(MBYLLJA_6_7_AUTO!$H$71&gt;0,"MB-CL6","")</f>
        <v/>
      </c>
      <c r="D157" s="292" t="str">
        <f aca="false">IF(MBYLLJA_6_7_AUTO!$H$71&gt;0,MBYLLJA_6_7_AUTO!$B$71,"")</f>
        <v/>
      </c>
      <c r="E157" s="292" t="str">
        <f aca="false">IF(D157="","",IFERROR(VLOOKUP(D157,PLANI_LLOGARIVE!$A:$B,2,FALSE()),""))</f>
        <v/>
      </c>
      <c r="F157" s="294"/>
      <c r="G157" s="293" t="str">
        <f aca="false">IF(MBYLLJA_6_7_AUTO!$H$71&gt;0,MBYLLJA_6_7_AUTO!$H$71,"")</f>
        <v/>
      </c>
      <c r="H157" s="288" t="s">
        <v>1008</v>
      </c>
      <c r="I157" s="288" t="s">
        <v>1015</v>
      </c>
    </row>
    <row r="158" customFormat="false" ht="15" hidden="false" customHeight="true" outlineLevel="0" collapsed="false">
      <c r="A158" s="291" t="str">
        <f aca="false">IF(MBYLLJA_6_7_AUTO!$H$72&gt;0,MBYLLJA_6_7_AUTO!$B$7,"")</f>
        <v/>
      </c>
      <c r="B158" s="292" t="str">
        <f aca="false">IF(MBYLLJA_6_7_AUTO!$H$72&gt;0,9902,"")</f>
        <v/>
      </c>
      <c r="C158" s="292" t="str">
        <f aca="false">IF(MBYLLJA_6_7_AUTO!$H$72&gt;0,"MB-CL6","")</f>
        <v/>
      </c>
      <c r="D158" s="292" t="str">
        <f aca="false">IF(MBYLLJA_6_7_AUTO!$H$72&gt;0,MBYLLJA_6_7_AUTO!$B$72,"")</f>
        <v/>
      </c>
      <c r="E158" s="292" t="str">
        <f aca="false">IF(D158="","",IFERROR(VLOOKUP(D158,PLANI_LLOGARIVE!$A:$B,2,FALSE()),""))</f>
        <v/>
      </c>
      <c r="F158" s="294"/>
      <c r="G158" s="293" t="str">
        <f aca="false">IF(MBYLLJA_6_7_AUTO!$H$72&gt;0,MBYLLJA_6_7_AUTO!$H$72,"")</f>
        <v/>
      </c>
      <c r="H158" s="288" t="s">
        <v>1008</v>
      </c>
      <c r="I158" s="288" t="s">
        <v>1015</v>
      </c>
    </row>
    <row r="159" customFormat="false" ht="15" hidden="false" customHeight="true" outlineLevel="0" collapsed="false">
      <c r="A159" s="291" t="str">
        <f aca="false">IF(MBYLLJA_6_7_AUTO!$H$73&gt;0,MBYLLJA_6_7_AUTO!$B$7,"")</f>
        <v/>
      </c>
      <c r="B159" s="292" t="str">
        <f aca="false">IF(MBYLLJA_6_7_AUTO!$H$73&gt;0,9902,"")</f>
        <v/>
      </c>
      <c r="C159" s="292" t="str">
        <f aca="false">IF(MBYLLJA_6_7_AUTO!$H$73&gt;0,"MB-CL6","")</f>
        <v/>
      </c>
      <c r="D159" s="292" t="str">
        <f aca="false">IF(MBYLLJA_6_7_AUTO!$H$73&gt;0,MBYLLJA_6_7_AUTO!$B$73,"")</f>
        <v/>
      </c>
      <c r="E159" s="292" t="str">
        <f aca="false">IF(D159="","",IFERROR(VLOOKUP(D159,PLANI_LLOGARIVE!$A:$B,2,FALSE()),""))</f>
        <v/>
      </c>
      <c r="F159" s="294"/>
      <c r="G159" s="293" t="str">
        <f aca="false">IF(MBYLLJA_6_7_AUTO!$H$73&gt;0,MBYLLJA_6_7_AUTO!$H$73,"")</f>
        <v/>
      </c>
      <c r="H159" s="288" t="s">
        <v>1008</v>
      </c>
      <c r="I159" s="288" t="s">
        <v>1015</v>
      </c>
    </row>
    <row r="160" customFormat="false" ht="15" hidden="false" customHeight="true" outlineLevel="0" collapsed="false">
      <c r="A160" s="291" t="str">
        <f aca="false">IF(MBYLLJA_6_7_AUTO!$H$74&gt;0,MBYLLJA_6_7_AUTO!$B$7,"")</f>
        <v/>
      </c>
      <c r="B160" s="292" t="str">
        <f aca="false">IF(MBYLLJA_6_7_AUTO!$H$74&gt;0,9902,"")</f>
        <v/>
      </c>
      <c r="C160" s="292" t="str">
        <f aca="false">IF(MBYLLJA_6_7_AUTO!$H$74&gt;0,"MB-CL6","")</f>
        <v/>
      </c>
      <c r="D160" s="292" t="str">
        <f aca="false">IF(MBYLLJA_6_7_AUTO!$H$74&gt;0,MBYLLJA_6_7_AUTO!$B$74,"")</f>
        <v/>
      </c>
      <c r="E160" s="292" t="str">
        <f aca="false">IF(D160="","",IFERROR(VLOOKUP(D160,PLANI_LLOGARIVE!$A:$B,2,FALSE()),""))</f>
        <v/>
      </c>
      <c r="F160" s="294"/>
      <c r="G160" s="293" t="str">
        <f aca="false">IF(MBYLLJA_6_7_AUTO!$H$74&gt;0,MBYLLJA_6_7_AUTO!$H$74,"")</f>
        <v/>
      </c>
      <c r="H160" s="288" t="s">
        <v>1008</v>
      </c>
      <c r="I160" s="288" t="s">
        <v>1015</v>
      </c>
    </row>
    <row r="161" customFormat="false" ht="15" hidden="false" customHeight="true" outlineLevel="0" collapsed="false">
      <c r="A161" s="291" t="str">
        <f aca="false">IF(MBYLLJA_6_7_AUTO!$H$75&gt;0,MBYLLJA_6_7_AUTO!$B$7,"")</f>
        <v/>
      </c>
      <c r="B161" s="292" t="str">
        <f aca="false">IF(MBYLLJA_6_7_AUTO!$H$75&gt;0,9902,"")</f>
        <v/>
      </c>
      <c r="C161" s="292" t="str">
        <f aca="false">IF(MBYLLJA_6_7_AUTO!$H$75&gt;0,"MB-CL6","")</f>
        <v/>
      </c>
      <c r="D161" s="292" t="str">
        <f aca="false">IF(MBYLLJA_6_7_AUTO!$H$75&gt;0,MBYLLJA_6_7_AUTO!$B$75,"")</f>
        <v/>
      </c>
      <c r="E161" s="292" t="str">
        <f aca="false">IF(D161="","",IFERROR(VLOOKUP(D161,PLANI_LLOGARIVE!$A:$B,2,FALSE()),""))</f>
        <v/>
      </c>
      <c r="F161" s="294"/>
      <c r="G161" s="293" t="str">
        <f aca="false">IF(MBYLLJA_6_7_AUTO!$H$75&gt;0,MBYLLJA_6_7_AUTO!$H$75,"")</f>
        <v/>
      </c>
      <c r="H161" s="288" t="s">
        <v>1008</v>
      </c>
      <c r="I161" s="288" t="s">
        <v>1015</v>
      </c>
    </row>
    <row r="162" customFormat="false" ht="15" hidden="false" customHeight="true" outlineLevel="0" collapsed="false">
      <c r="A162" s="291" t="str">
        <f aca="false">IF(MBYLLJA_6_7_AUTO!$H$76&gt;0,MBYLLJA_6_7_AUTO!$B$7,"")</f>
        <v/>
      </c>
      <c r="B162" s="292" t="str">
        <f aca="false">IF(MBYLLJA_6_7_AUTO!$H$76&gt;0,9902,"")</f>
        <v/>
      </c>
      <c r="C162" s="292" t="str">
        <f aca="false">IF(MBYLLJA_6_7_AUTO!$H$76&gt;0,"MB-CL6","")</f>
        <v/>
      </c>
      <c r="D162" s="292" t="str">
        <f aca="false">IF(MBYLLJA_6_7_AUTO!$H$76&gt;0,MBYLLJA_6_7_AUTO!$B$76,"")</f>
        <v/>
      </c>
      <c r="E162" s="292" t="str">
        <f aca="false">IF(D162="","",IFERROR(VLOOKUP(D162,PLANI_LLOGARIVE!$A:$B,2,FALSE()),""))</f>
        <v/>
      </c>
      <c r="F162" s="294"/>
      <c r="G162" s="293" t="str">
        <f aca="false">IF(MBYLLJA_6_7_AUTO!$H$76&gt;0,MBYLLJA_6_7_AUTO!$H$76,"")</f>
        <v/>
      </c>
      <c r="H162" s="288" t="s">
        <v>1008</v>
      </c>
      <c r="I162" s="288" t="s">
        <v>1015</v>
      </c>
    </row>
    <row r="163" customFormat="false" ht="15" hidden="false" customHeight="true" outlineLevel="0" collapsed="false">
      <c r="A163" s="291" t="str">
        <f aca="false">IF(MBYLLJA_6_7_AUTO!$H$77&gt;0,MBYLLJA_6_7_AUTO!$B$7,"")</f>
        <v/>
      </c>
      <c r="B163" s="292" t="str">
        <f aca="false">IF(MBYLLJA_6_7_AUTO!$H$77&gt;0,9902,"")</f>
        <v/>
      </c>
      <c r="C163" s="292" t="str">
        <f aca="false">IF(MBYLLJA_6_7_AUTO!$H$77&gt;0,"MB-CL6","")</f>
        <v/>
      </c>
      <c r="D163" s="292" t="str">
        <f aca="false">IF(MBYLLJA_6_7_AUTO!$H$77&gt;0,MBYLLJA_6_7_AUTO!$B$77,"")</f>
        <v/>
      </c>
      <c r="E163" s="292" t="str">
        <f aca="false">IF(D163="","",IFERROR(VLOOKUP(D163,PLANI_LLOGARIVE!$A:$B,2,FALSE()),""))</f>
        <v/>
      </c>
      <c r="F163" s="294"/>
      <c r="G163" s="293" t="str">
        <f aca="false">IF(MBYLLJA_6_7_AUTO!$H$77&gt;0,MBYLLJA_6_7_AUTO!$H$77,"")</f>
        <v/>
      </c>
      <c r="H163" s="288" t="s">
        <v>1008</v>
      </c>
      <c r="I163" s="288" t="s">
        <v>1015</v>
      </c>
    </row>
    <row r="164" customFormat="false" ht="15" hidden="false" customHeight="true" outlineLevel="0" collapsed="false">
      <c r="A164" s="291" t="str">
        <f aca="false">IF(MBYLLJA_6_7_AUTO!$H$78&gt;0,MBYLLJA_6_7_AUTO!$B$7,"")</f>
        <v/>
      </c>
      <c r="B164" s="292" t="str">
        <f aca="false">IF(MBYLLJA_6_7_AUTO!$H$78&gt;0,9902,"")</f>
        <v/>
      </c>
      <c r="C164" s="292" t="str">
        <f aca="false">IF(MBYLLJA_6_7_AUTO!$H$78&gt;0,"MB-CL6","")</f>
        <v/>
      </c>
      <c r="D164" s="292" t="str">
        <f aca="false">IF(MBYLLJA_6_7_AUTO!$H$78&gt;0,MBYLLJA_6_7_AUTO!$B$78,"")</f>
        <v/>
      </c>
      <c r="E164" s="292" t="str">
        <f aca="false">IF(D164="","",IFERROR(VLOOKUP(D164,PLANI_LLOGARIVE!$A:$B,2,FALSE()),""))</f>
        <v/>
      </c>
      <c r="F164" s="294"/>
      <c r="G164" s="293" t="str">
        <f aca="false">IF(MBYLLJA_6_7_AUTO!$H$78&gt;0,MBYLLJA_6_7_AUTO!$H$78,"")</f>
        <v/>
      </c>
      <c r="H164" s="288" t="s">
        <v>1008</v>
      </c>
      <c r="I164" s="288" t="s">
        <v>1015</v>
      </c>
    </row>
    <row r="165" customFormat="false" ht="15" hidden="false" customHeight="true" outlineLevel="0" collapsed="false">
      <c r="A165" s="291" t="str">
        <f aca="false">IF(MBYLLJA_6_7_AUTO!$H$79&gt;0,MBYLLJA_6_7_AUTO!$B$7,"")</f>
        <v/>
      </c>
      <c r="B165" s="292" t="str">
        <f aca="false">IF(MBYLLJA_6_7_AUTO!$H$79&gt;0,9902,"")</f>
        <v/>
      </c>
      <c r="C165" s="292" t="str">
        <f aca="false">IF(MBYLLJA_6_7_AUTO!$H$79&gt;0,"MB-CL6","")</f>
        <v/>
      </c>
      <c r="D165" s="292" t="str">
        <f aca="false">IF(MBYLLJA_6_7_AUTO!$H$79&gt;0,MBYLLJA_6_7_AUTO!$B$79,"")</f>
        <v/>
      </c>
      <c r="E165" s="292" t="str">
        <f aca="false">IF(D165="","",IFERROR(VLOOKUP(D165,PLANI_LLOGARIVE!$A:$B,2,FALSE()),""))</f>
        <v/>
      </c>
      <c r="F165" s="294"/>
      <c r="G165" s="293" t="str">
        <f aca="false">IF(MBYLLJA_6_7_AUTO!$H$79&gt;0,MBYLLJA_6_7_AUTO!$H$79,"")</f>
        <v/>
      </c>
      <c r="H165" s="288" t="s">
        <v>1008</v>
      </c>
      <c r="I165" s="288" t="s">
        <v>1015</v>
      </c>
    </row>
    <row r="166" customFormat="false" ht="15" hidden="false" customHeight="true" outlineLevel="0" collapsed="false">
      <c r="A166" s="291" t="str">
        <f aca="false">IF(MBYLLJA_6_7_AUTO!$H$80&gt;0,MBYLLJA_6_7_AUTO!$B$7,"")</f>
        <v/>
      </c>
      <c r="B166" s="292" t="str">
        <f aca="false">IF(MBYLLJA_6_7_AUTO!$H$80&gt;0,9902,"")</f>
        <v/>
      </c>
      <c r="C166" s="292" t="str">
        <f aca="false">IF(MBYLLJA_6_7_AUTO!$H$80&gt;0,"MB-CL6","")</f>
        <v/>
      </c>
      <c r="D166" s="292" t="str">
        <f aca="false">IF(MBYLLJA_6_7_AUTO!$H$80&gt;0,MBYLLJA_6_7_AUTO!$B$80,"")</f>
        <v/>
      </c>
      <c r="E166" s="292" t="str">
        <f aca="false">IF(D166="","",IFERROR(VLOOKUP(D166,PLANI_LLOGARIVE!$A:$B,2,FALSE()),""))</f>
        <v/>
      </c>
      <c r="F166" s="294"/>
      <c r="G166" s="293" t="str">
        <f aca="false">IF(MBYLLJA_6_7_AUTO!$H$80&gt;0,MBYLLJA_6_7_AUTO!$H$80,"")</f>
        <v/>
      </c>
      <c r="H166" s="288" t="s">
        <v>1008</v>
      </c>
      <c r="I166" s="288" t="s">
        <v>1015</v>
      </c>
    </row>
    <row r="167" customFormat="false" ht="15" hidden="false" customHeight="true" outlineLevel="0" collapsed="false">
      <c r="A167" s="291" t="str">
        <f aca="false">IF(MBYLLJA_6_7_AUTO!$H$81&gt;0,MBYLLJA_6_7_AUTO!$B$7,"")</f>
        <v/>
      </c>
      <c r="B167" s="292" t="str">
        <f aca="false">IF(MBYLLJA_6_7_AUTO!$H$81&gt;0,9902,"")</f>
        <v/>
      </c>
      <c r="C167" s="292" t="str">
        <f aca="false">IF(MBYLLJA_6_7_AUTO!$H$81&gt;0,"MB-CL6","")</f>
        <v/>
      </c>
      <c r="D167" s="292" t="str">
        <f aca="false">IF(MBYLLJA_6_7_AUTO!$H$81&gt;0,MBYLLJA_6_7_AUTO!$B$81,"")</f>
        <v/>
      </c>
      <c r="E167" s="292" t="str">
        <f aca="false">IF(D167="","",IFERROR(VLOOKUP(D167,PLANI_LLOGARIVE!$A:$B,2,FALSE()),""))</f>
        <v/>
      </c>
      <c r="F167" s="294"/>
      <c r="G167" s="293" t="str">
        <f aca="false">IF(MBYLLJA_6_7_AUTO!$H$81&gt;0,MBYLLJA_6_7_AUTO!$H$81,"")</f>
        <v/>
      </c>
      <c r="H167" s="288" t="s">
        <v>1008</v>
      </c>
      <c r="I167" s="288" t="s">
        <v>1015</v>
      </c>
    </row>
    <row r="168" customFormat="false" ht="15" hidden="false" customHeight="true" outlineLevel="0" collapsed="false">
      <c r="A168" s="291" t="str">
        <f aca="false">IF(MBYLLJA_6_7_AUTO!$H$82&gt;0,MBYLLJA_6_7_AUTO!$B$7,"")</f>
        <v/>
      </c>
      <c r="B168" s="292" t="str">
        <f aca="false">IF(MBYLLJA_6_7_AUTO!$H$82&gt;0,9902,"")</f>
        <v/>
      </c>
      <c r="C168" s="292" t="str">
        <f aca="false">IF(MBYLLJA_6_7_AUTO!$H$82&gt;0,"MB-CL6","")</f>
        <v/>
      </c>
      <c r="D168" s="292" t="str">
        <f aca="false">IF(MBYLLJA_6_7_AUTO!$H$82&gt;0,MBYLLJA_6_7_AUTO!$B$82,"")</f>
        <v/>
      </c>
      <c r="E168" s="292" t="str">
        <f aca="false">IF(D168="","",IFERROR(VLOOKUP(D168,PLANI_LLOGARIVE!$A:$B,2,FALSE()),""))</f>
        <v/>
      </c>
      <c r="F168" s="294"/>
      <c r="G168" s="293" t="str">
        <f aca="false">IF(MBYLLJA_6_7_AUTO!$H$82&gt;0,MBYLLJA_6_7_AUTO!$H$82,"")</f>
        <v/>
      </c>
      <c r="H168" s="288" t="s">
        <v>1008</v>
      </c>
      <c r="I168" s="288" t="s">
        <v>1015</v>
      </c>
    </row>
    <row r="169" customFormat="false" ht="15" hidden="false" customHeight="true" outlineLevel="0" collapsed="false">
      <c r="A169" s="291" t="str">
        <f aca="false">IF(MBYLLJA_6_7_AUTO!$H$83&gt;0,MBYLLJA_6_7_AUTO!$B$7,"")</f>
        <v/>
      </c>
      <c r="B169" s="292" t="str">
        <f aca="false">IF(MBYLLJA_6_7_AUTO!$H$83&gt;0,9902,"")</f>
        <v/>
      </c>
      <c r="C169" s="292" t="str">
        <f aca="false">IF(MBYLLJA_6_7_AUTO!$H$83&gt;0,"MB-CL6","")</f>
        <v/>
      </c>
      <c r="D169" s="292" t="str">
        <f aca="false">IF(MBYLLJA_6_7_AUTO!$H$83&gt;0,MBYLLJA_6_7_AUTO!$B$83,"")</f>
        <v/>
      </c>
      <c r="E169" s="292" t="str">
        <f aca="false">IF(D169="","",IFERROR(VLOOKUP(D169,PLANI_LLOGARIVE!$A:$B,2,FALSE()),""))</f>
        <v/>
      </c>
      <c r="F169" s="294"/>
      <c r="G169" s="293" t="str">
        <f aca="false">IF(MBYLLJA_6_7_AUTO!$H$83&gt;0,MBYLLJA_6_7_AUTO!$H$83,"")</f>
        <v/>
      </c>
      <c r="H169" s="288" t="s">
        <v>1008</v>
      </c>
      <c r="I169" s="288" t="s">
        <v>1015</v>
      </c>
    </row>
    <row r="170" customFormat="false" ht="15" hidden="false" customHeight="true" outlineLevel="0" collapsed="false">
      <c r="A170" s="291" t="str">
        <f aca="false">IF(MBYLLJA_6_7_AUTO!$H$84&gt;0,MBYLLJA_6_7_AUTO!$B$7,"")</f>
        <v/>
      </c>
      <c r="B170" s="292" t="str">
        <f aca="false">IF(MBYLLJA_6_7_AUTO!$H$84&gt;0,9902,"")</f>
        <v/>
      </c>
      <c r="C170" s="292" t="str">
        <f aca="false">IF(MBYLLJA_6_7_AUTO!$H$84&gt;0,"MB-CL6","")</f>
        <v/>
      </c>
      <c r="D170" s="292" t="str">
        <f aca="false">IF(MBYLLJA_6_7_AUTO!$H$84&gt;0,MBYLLJA_6_7_AUTO!$B$84,"")</f>
        <v/>
      </c>
      <c r="E170" s="292" t="str">
        <f aca="false">IF(D170="","",IFERROR(VLOOKUP(D170,PLANI_LLOGARIVE!$A:$B,2,FALSE()),""))</f>
        <v/>
      </c>
      <c r="F170" s="294"/>
      <c r="G170" s="293" t="str">
        <f aca="false">IF(MBYLLJA_6_7_AUTO!$H$84&gt;0,MBYLLJA_6_7_AUTO!$H$84,"")</f>
        <v/>
      </c>
      <c r="H170" s="288" t="s">
        <v>1008</v>
      </c>
      <c r="I170" s="288" t="s">
        <v>1015</v>
      </c>
    </row>
    <row r="171" customFormat="false" ht="15" hidden="false" customHeight="true" outlineLevel="0" collapsed="false">
      <c r="A171" s="291" t="str">
        <f aca="false">IF(MBYLLJA_6_7_AUTO!$H$85&gt;0,MBYLLJA_6_7_AUTO!$B$7,"")</f>
        <v/>
      </c>
      <c r="B171" s="292" t="str">
        <f aca="false">IF(MBYLLJA_6_7_AUTO!$H$85&gt;0,9902,"")</f>
        <v/>
      </c>
      <c r="C171" s="292" t="str">
        <f aca="false">IF(MBYLLJA_6_7_AUTO!$H$85&gt;0,"MB-CL6","")</f>
        <v/>
      </c>
      <c r="D171" s="292" t="str">
        <f aca="false">IF(MBYLLJA_6_7_AUTO!$H$85&gt;0,MBYLLJA_6_7_AUTO!$B$85,"")</f>
        <v/>
      </c>
      <c r="E171" s="292" t="str">
        <f aca="false">IF(D171="","",IFERROR(VLOOKUP(D171,PLANI_LLOGARIVE!$A:$B,2,FALSE()),""))</f>
        <v/>
      </c>
      <c r="F171" s="294"/>
      <c r="G171" s="293" t="str">
        <f aca="false">IF(MBYLLJA_6_7_AUTO!$H$85&gt;0,MBYLLJA_6_7_AUTO!$H$85,"")</f>
        <v/>
      </c>
      <c r="H171" s="288" t="s">
        <v>1008</v>
      </c>
      <c r="I171" s="288" t="s">
        <v>1015</v>
      </c>
    </row>
    <row r="172" customFormat="false" ht="15" hidden="false" customHeight="true" outlineLevel="0" collapsed="false">
      <c r="A172" s="291" t="str">
        <f aca="false">IF(MBYLLJA_6_7_AUTO!$H$86&gt;0,MBYLLJA_6_7_AUTO!$B$7,"")</f>
        <v/>
      </c>
      <c r="B172" s="292" t="str">
        <f aca="false">IF(MBYLLJA_6_7_AUTO!$H$86&gt;0,9902,"")</f>
        <v/>
      </c>
      <c r="C172" s="292" t="str">
        <f aca="false">IF(MBYLLJA_6_7_AUTO!$H$86&gt;0,"MB-CL6","")</f>
        <v/>
      </c>
      <c r="D172" s="292" t="str">
        <f aca="false">IF(MBYLLJA_6_7_AUTO!$H$86&gt;0,MBYLLJA_6_7_AUTO!$B$86,"")</f>
        <v/>
      </c>
      <c r="E172" s="292" t="str">
        <f aca="false">IF(D172="","",IFERROR(VLOOKUP(D172,PLANI_LLOGARIVE!$A:$B,2,FALSE()),""))</f>
        <v/>
      </c>
      <c r="F172" s="294"/>
      <c r="G172" s="293" t="str">
        <f aca="false">IF(MBYLLJA_6_7_AUTO!$H$86&gt;0,MBYLLJA_6_7_AUTO!$H$86,"")</f>
        <v/>
      </c>
      <c r="H172" s="288" t="s">
        <v>1008</v>
      </c>
      <c r="I172" s="288" t="s">
        <v>1015</v>
      </c>
    </row>
    <row r="173" customFormat="false" ht="15" hidden="false" customHeight="true" outlineLevel="0" collapsed="false">
      <c r="A173" s="291" t="str">
        <f aca="false">IF(MBYLLJA_6_7_AUTO!$H$87&gt;0,MBYLLJA_6_7_AUTO!$B$7,"")</f>
        <v/>
      </c>
      <c r="B173" s="292" t="str">
        <f aca="false">IF(MBYLLJA_6_7_AUTO!$H$87&gt;0,9902,"")</f>
        <v/>
      </c>
      <c r="C173" s="292" t="str">
        <f aca="false">IF(MBYLLJA_6_7_AUTO!$H$87&gt;0,"MB-CL6","")</f>
        <v/>
      </c>
      <c r="D173" s="292" t="str">
        <f aca="false">IF(MBYLLJA_6_7_AUTO!$H$87&gt;0,MBYLLJA_6_7_AUTO!$B$87,"")</f>
        <v/>
      </c>
      <c r="E173" s="292" t="str">
        <f aca="false">IF(D173="","",IFERROR(VLOOKUP(D173,PLANI_LLOGARIVE!$A:$B,2,FALSE()),""))</f>
        <v/>
      </c>
      <c r="F173" s="294"/>
      <c r="G173" s="293" t="str">
        <f aca="false">IF(MBYLLJA_6_7_AUTO!$H$87&gt;0,MBYLLJA_6_7_AUTO!$H$87,"")</f>
        <v/>
      </c>
      <c r="H173" s="288" t="s">
        <v>1008</v>
      </c>
      <c r="I173" s="288" t="s">
        <v>1015</v>
      </c>
    </row>
    <row r="174" customFormat="false" ht="15" hidden="false" customHeight="true" outlineLevel="0" collapsed="false">
      <c r="A174" s="291" t="str">
        <f aca="false">IF(MBYLLJA_6_7_AUTO!$H$88&gt;0,MBYLLJA_6_7_AUTO!$B$7,"")</f>
        <v/>
      </c>
      <c r="B174" s="292" t="str">
        <f aca="false">IF(MBYLLJA_6_7_AUTO!$H$88&gt;0,9902,"")</f>
        <v/>
      </c>
      <c r="C174" s="292" t="str">
        <f aca="false">IF(MBYLLJA_6_7_AUTO!$H$88&gt;0,"MB-CL6","")</f>
        <v/>
      </c>
      <c r="D174" s="292" t="str">
        <f aca="false">IF(MBYLLJA_6_7_AUTO!$H$88&gt;0,MBYLLJA_6_7_AUTO!$B$88,"")</f>
        <v/>
      </c>
      <c r="E174" s="292" t="str">
        <f aca="false">IF(D174="","",IFERROR(VLOOKUP(D174,PLANI_LLOGARIVE!$A:$B,2,FALSE()),""))</f>
        <v/>
      </c>
      <c r="F174" s="294"/>
      <c r="G174" s="293" t="str">
        <f aca="false">IF(MBYLLJA_6_7_AUTO!$H$88&gt;0,MBYLLJA_6_7_AUTO!$H$88,"")</f>
        <v/>
      </c>
      <c r="H174" s="288" t="s">
        <v>1008</v>
      </c>
      <c r="I174" s="288" t="s">
        <v>1015</v>
      </c>
    </row>
    <row r="175" customFormat="false" ht="15" hidden="false" customHeight="true" outlineLevel="0" collapsed="false">
      <c r="A175" s="291" t="str">
        <f aca="false">IF(MBYLLJA_6_7_AUTO!$H$89&gt;0,MBYLLJA_6_7_AUTO!$B$7,"")</f>
        <v/>
      </c>
      <c r="B175" s="292" t="str">
        <f aca="false">IF(MBYLLJA_6_7_AUTO!$H$89&gt;0,9902,"")</f>
        <v/>
      </c>
      <c r="C175" s="292" t="str">
        <f aca="false">IF(MBYLLJA_6_7_AUTO!$H$89&gt;0,"MB-CL6","")</f>
        <v/>
      </c>
      <c r="D175" s="292" t="str">
        <f aca="false">IF(MBYLLJA_6_7_AUTO!$H$89&gt;0,MBYLLJA_6_7_AUTO!$B$89,"")</f>
        <v/>
      </c>
      <c r="E175" s="292" t="str">
        <f aca="false">IF(D175="","",IFERROR(VLOOKUP(D175,PLANI_LLOGARIVE!$A:$B,2,FALSE()),""))</f>
        <v/>
      </c>
      <c r="F175" s="294"/>
      <c r="G175" s="293" t="str">
        <f aca="false">IF(MBYLLJA_6_7_AUTO!$H$89&gt;0,MBYLLJA_6_7_AUTO!$H$89,"")</f>
        <v/>
      </c>
      <c r="H175" s="288" t="s">
        <v>1008</v>
      </c>
      <c r="I175" s="288" t="s">
        <v>1015</v>
      </c>
    </row>
    <row r="176" customFormat="false" ht="15" hidden="false" customHeight="true" outlineLevel="0" collapsed="false">
      <c r="A176" s="291" t="str">
        <f aca="false">IF(MBYLLJA_6_7_AUTO!$H$90&gt;0,MBYLLJA_6_7_AUTO!$B$7,"")</f>
        <v/>
      </c>
      <c r="B176" s="292" t="str">
        <f aca="false">IF(MBYLLJA_6_7_AUTO!$H$90&gt;0,9902,"")</f>
        <v/>
      </c>
      <c r="C176" s="292" t="str">
        <f aca="false">IF(MBYLLJA_6_7_AUTO!$H$90&gt;0,"MB-CL6","")</f>
        <v/>
      </c>
      <c r="D176" s="292" t="str">
        <f aca="false">IF(MBYLLJA_6_7_AUTO!$H$90&gt;0,MBYLLJA_6_7_AUTO!$B$90,"")</f>
        <v/>
      </c>
      <c r="E176" s="292" t="str">
        <f aca="false">IF(D176="","",IFERROR(VLOOKUP(D176,PLANI_LLOGARIVE!$A:$B,2,FALSE()),""))</f>
        <v/>
      </c>
      <c r="F176" s="294"/>
      <c r="G176" s="293" t="str">
        <f aca="false">IF(MBYLLJA_6_7_AUTO!$H$90&gt;0,MBYLLJA_6_7_AUTO!$H$90,"")</f>
        <v/>
      </c>
      <c r="H176" s="288" t="s">
        <v>1008</v>
      </c>
      <c r="I176" s="288" t="s">
        <v>1015</v>
      </c>
    </row>
    <row r="177" customFormat="false" ht="15" hidden="false" customHeight="true" outlineLevel="0" collapsed="false">
      <c r="A177" s="291" t="str">
        <f aca="false">IF(MBYLLJA_6_7_AUTO!$H$91&gt;0,MBYLLJA_6_7_AUTO!$B$7,"")</f>
        <v/>
      </c>
      <c r="B177" s="292" t="str">
        <f aca="false">IF(MBYLLJA_6_7_AUTO!$H$91&gt;0,9902,"")</f>
        <v/>
      </c>
      <c r="C177" s="292" t="str">
        <f aca="false">IF(MBYLLJA_6_7_AUTO!$H$91&gt;0,"MB-CL6","")</f>
        <v/>
      </c>
      <c r="D177" s="292" t="str">
        <f aca="false">IF(MBYLLJA_6_7_AUTO!$H$91&gt;0,MBYLLJA_6_7_AUTO!$B$91,"")</f>
        <v/>
      </c>
      <c r="E177" s="292" t="str">
        <f aca="false">IF(D177="","",IFERROR(VLOOKUP(D177,PLANI_LLOGARIVE!$A:$B,2,FALSE()),""))</f>
        <v/>
      </c>
      <c r="F177" s="294"/>
      <c r="G177" s="293" t="str">
        <f aca="false">IF(MBYLLJA_6_7_AUTO!$H$91&gt;0,MBYLLJA_6_7_AUTO!$H$91,"")</f>
        <v/>
      </c>
      <c r="H177" s="288" t="s">
        <v>1008</v>
      </c>
      <c r="I177" s="288" t="s">
        <v>1015</v>
      </c>
    </row>
    <row r="178" customFormat="false" ht="15" hidden="false" customHeight="true" outlineLevel="0" collapsed="false">
      <c r="A178" s="291" t="str">
        <f aca="false">IF(MBYLLJA_6_7_AUTO!$H$92&gt;0,MBYLLJA_6_7_AUTO!$B$7,"")</f>
        <v/>
      </c>
      <c r="B178" s="292" t="str">
        <f aca="false">IF(MBYLLJA_6_7_AUTO!$H$92&gt;0,9902,"")</f>
        <v/>
      </c>
      <c r="C178" s="292" t="str">
        <f aca="false">IF(MBYLLJA_6_7_AUTO!$H$92&gt;0,"MB-CL6","")</f>
        <v/>
      </c>
      <c r="D178" s="292" t="str">
        <f aca="false">IF(MBYLLJA_6_7_AUTO!$H$92&gt;0,MBYLLJA_6_7_AUTO!$B$92,"")</f>
        <v/>
      </c>
      <c r="E178" s="292" t="str">
        <f aca="false">IF(D178="","",IFERROR(VLOOKUP(D178,PLANI_LLOGARIVE!$A:$B,2,FALSE()),""))</f>
        <v/>
      </c>
      <c r="F178" s="294"/>
      <c r="G178" s="293" t="str">
        <f aca="false">IF(MBYLLJA_6_7_AUTO!$H$92&gt;0,MBYLLJA_6_7_AUTO!$H$92,"")</f>
        <v/>
      </c>
      <c r="H178" s="288" t="s">
        <v>1008</v>
      </c>
      <c r="I178" s="288" t="s">
        <v>1015</v>
      </c>
    </row>
    <row r="179" customFormat="false" ht="23.25" hidden="false" customHeight="true" outlineLevel="0" collapsed="false">
      <c r="A179" s="291" t="str">
        <f aca="false">IF(MBYLLJA_6_7_AUTO!$H$93&gt;0,MBYLLJA_6_7_AUTO!$B$7,"")</f>
        <v/>
      </c>
      <c r="B179" s="292" t="str">
        <f aca="false">IF(MBYLLJA_6_7_AUTO!$H$93&gt;0,9902,"")</f>
        <v/>
      </c>
      <c r="C179" s="292" t="str">
        <f aca="false">IF(MBYLLJA_6_7_AUTO!$H$93&gt;0,"MB-CL6","")</f>
        <v/>
      </c>
      <c r="D179" s="292" t="str">
        <f aca="false">IF(MBYLLJA_6_7_AUTO!$H$93&gt;0,MBYLLJA_6_7_AUTO!$B$93,"")</f>
        <v/>
      </c>
      <c r="E179" s="292" t="str">
        <f aca="false">IF(D179="","",IFERROR(VLOOKUP(D179,PLANI_LLOGARIVE!$A:$B,2,FALSE()),""))</f>
        <v/>
      </c>
      <c r="F179" s="294"/>
      <c r="G179" s="293" t="str">
        <f aca="false">IF(MBYLLJA_6_7_AUTO!$H$93&gt;0,MBYLLJA_6_7_AUTO!$H$93,"")</f>
        <v/>
      </c>
      <c r="H179" s="288" t="s">
        <v>1008</v>
      </c>
      <c r="I179" s="288" t="s">
        <v>1015</v>
      </c>
    </row>
    <row r="180" customFormat="false" ht="15" hidden="false" customHeight="true" outlineLevel="0" collapsed="false">
      <c r="A180" s="291" t="str">
        <f aca="false">IF(MBYLLJA_6_7_AUTO!$H$94&gt;0,MBYLLJA_6_7_AUTO!$B$7,"")</f>
        <v/>
      </c>
      <c r="B180" s="292" t="str">
        <f aca="false">IF(MBYLLJA_6_7_AUTO!$H$94&gt;0,9902,"")</f>
        <v/>
      </c>
      <c r="C180" s="292" t="str">
        <f aca="false">IF(MBYLLJA_6_7_AUTO!$H$94&gt;0,"MB-CL6","")</f>
        <v/>
      </c>
      <c r="D180" s="292" t="str">
        <f aca="false">IF(MBYLLJA_6_7_AUTO!$H$94&gt;0,MBYLLJA_6_7_AUTO!$B$94,"")</f>
        <v/>
      </c>
      <c r="E180" s="292" t="str">
        <f aca="false">IF(D180="","",IFERROR(VLOOKUP(D180,PLANI_LLOGARIVE!$A:$B,2,FALSE()),""))</f>
        <v/>
      </c>
      <c r="F180" s="294"/>
      <c r="G180" s="293" t="str">
        <f aca="false">IF(MBYLLJA_6_7_AUTO!$H$94&gt;0,MBYLLJA_6_7_AUTO!$H$94,"")</f>
        <v/>
      </c>
      <c r="H180" s="288" t="s">
        <v>1008</v>
      </c>
      <c r="I180" s="288" t="s">
        <v>1015</v>
      </c>
    </row>
    <row r="181" customFormat="false" ht="15" hidden="false" customHeight="true" outlineLevel="0" collapsed="false">
      <c r="A181" s="291" t="str">
        <f aca="false">IF(MBYLLJA_6_7_AUTO!$H$95&gt;0,MBYLLJA_6_7_AUTO!$B$7,"")</f>
        <v/>
      </c>
      <c r="B181" s="292" t="str">
        <f aca="false">IF(MBYLLJA_6_7_AUTO!$H$95&gt;0,9902,"")</f>
        <v/>
      </c>
      <c r="C181" s="292" t="str">
        <f aca="false">IF(MBYLLJA_6_7_AUTO!$H$95&gt;0,"MB-CL6","")</f>
        <v/>
      </c>
      <c r="D181" s="292" t="str">
        <f aca="false">IF(MBYLLJA_6_7_AUTO!$H$95&gt;0,MBYLLJA_6_7_AUTO!$B$95,"")</f>
        <v/>
      </c>
      <c r="E181" s="292" t="str">
        <f aca="false">IF(D181="","",IFERROR(VLOOKUP(D181,PLANI_LLOGARIVE!$A:$B,2,FALSE()),""))</f>
        <v/>
      </c>
      <c r="F181" s="294"/>
      <c r="G181" s="293" t="str">
        <f aca="false">IF(MBYLLJA_6_7_AUTO!$H$95&gt;0,MBYLLJA_6_7_AUTO!$H$95,"")</f>
        <v/>
      </c>
      <c r="H181" s="288" t="s">
        <v>1008</v>
      </c>
      <c r="I181" s="288" t="s">
        <v>1015</v>
      </c>
    </row>
    <row r="182" customFormat="false" ht="15" hidden="false" customHeight="true" outlineLevel="0" collapsed="false">
      <c r="A182" s="291" t="str">
        <f aca="false">IF(MBYLLJA_6_7_AUTO!$H$96&gt;0,MBYLLJA_6_7_AUTO!$B$7,"")</f>
        <v/>
      </c>
      <c r="B182" s="292" t="str">
        <f aca="false">IF(MBYLLJA_6_7_AUTO!$H$96&gt;0,9902,"")</f>
        <v/>
      </c>
      <c r="C182" s="292" t="str">
        <f aca="false">IF(MBYLLJA_6_7_AUTO!$H$96&gt;0,"MB-CL6","")</f>
        <v/>
      </c>
      <c r="D182" s="292" t="str">
        <f aca="false">IF(MBYLLJA_6_7_AUTO!$H$96&gt;0,MBYLLJA_6_7_AUTO!$B$96,"")</f>
        <v/>
      </c>
      <c r="E182" s="292" t="str">
        <f aca="false">IF(D182="","",IFERROR(VLOOKUP(D182,PLANI_LLOGARIVE!$A:$B,2,FALSE()),""))</f>
        <v/>
      </c>
      <c r="F182" s="294"/>
      <c r="G182" s="293" t="str">
        <f aca="false">IF(MBYLLJA_6_7_AUTO!$H$96&gt;0,MBYLLJA_6_7_AUTO!$H$96,"")</f>
        <v/>
      </c>
      <c r="H182" s="288" t="s">
        <v>1008</v>
      </c>
      <c r="I182" s="288" t="s">
        <v>1015</v>
      </c>
    </row>
    <row r="183" customFormat="false" ht="15" hidden="false" customHeight="true" outlineLevel="0" collapsed="false">
      <c r="A183" s="291" t="str">
        <f aca="false">IF(MBYLLJA_6_7_AUTO!$H$97&gt;0,MBYLLJA_6_7_AUTO!$B$7,"")</f>
        <v/>
      </c>
      <c r="B183" s="292" t="str">
        <f aca="false">IF(MBYLLJA_6_7_AUTO!$H$97&gt;0,9902,"")</f>
        <v/>
      </c>
      <c r="C183" s="292" t="str">
        <f aca="false">IF(MBYLLJA_6_7_AUTO!$H$97&gt;0,"MB-CL6","")</f>
        <v/>
      </c>
      <c r="D183" s="292" t="str">
        <f aca="false">IF(MBYLLJA_6_7_AUTO!$H$97&gt;0,MBYLLJA_6_7_AUTO!$B$97,"")</f>
        <v/>
      </c>
      <c r="E183" s="292" t="str">
        <f aca="false">IF(D183="","",IFERROR(VLOOKUP(D183,PLANI_LLOGARIVE!$A:$B,2,FALSE()),""))</f>
        <v/>
      </c>
      <c r="F183" s="294"/>
      <c r="G183" s="293" t="str">
        <f aca="false">IF(MBYLLJA_6_7_AUTO!$H$97&gt;0,MBYLLJA_6_7_AUTO!$H$97,"")</f>
        <v/>
      </c>
      <c r="H183" s="288" t="s">
        <v>1008</v>
      </c>
      <c r="I183" s="288" t="s">
        <v>1015</v>
      </c>
    </row>
    <row r="184" customFormat="false" ht="15" hidden="false" customHeight="true" outlineLevel="0" collapsed="false">
      <c r="A184" s="291" t="str">
        <f aca="false">IF(MBYLLJA_6_7_AUTO!$H$98&gt;0,MBYLLJA_6_7_AUTO!$B$7,"")</f>
        <v/>
      </c>
      <c r="B184" s="292" t="str">
        <f aca="false">IF(MBYLLJA_6_7_AUTO!$H$98&gt;0,9902,"")</f>
        <v/>
      </c>
      <c r="C184" s="292" t="str">
        <f aca="false">IF(MBYLLJA_6_7_AUTO!$H$98&gt;0,"MB-CL6","")</f>
        <v/>
      </c>
      <c r="D184" s="292" t="str">
        <f aca="false">IF(MBYLLJA_6_7_AUTO!$H$98&gt;0,MBYLLJA_6_7_AUTO!$B$98,"")</f>
        <v/>
      </c>
      <c r="E184" s="292" t="str">
        <f aca="false">IF(D184="","",IFERROR(VLOOKUP(D184,PLANI_LLOGARIVE!$A:$B,2,FALSE()),""))</f>
        <v/>
      </c>
      <c r="F184" s="294"/>
      <c r="G184" s="293" t="str">
        <f aca="false">IF(MBYLLJA_6_7_AUTO!$H$98&gt;0,MBYLLJA_6_7_AUTO!$H$98,"")</f>
        <v/>
      </c>
      <c r="H184" s="288" t="s">
        <v>1008</v>
      </c>
      <c r="I184" s="288" t="s">
        <v>1015</v>
      </c>
    </row>
    <row r="185" customFormat="false" ht="15" hidden="false" customHeight="true" outlineLevel="0" collapsed="false">
      <c r="A185" s="291" t="str">
        <f aca="false">IF(MBYLLJA_6_7_AUTO!$H$99&gt;0,MBYLLJA_6_7_AUTO!$B$7,"")</f>
        <v/>
      </c>
      <c r="B185" s="292" t="str">
        <f aca="false">IF(MBYLLJA_6_7_AUTO!$H$99&gt;0,9902,"")</f>
        <v/>
      </c>
      <c r="C185" s="292" t="str">
        <f aca="false">IF(MBYLLJA_6_7_AUTO!$H$99&gt;0,"MB-CL6","")</f>
        <v/>
      </c>
      <c r="D185" s="292" t="str">
        <f aca="false">IF(MBYLLJA_6_7_AUTO!$H$99&gt;0,MBYLLJA_6_7_AUTO!$B$99,"")</f>
        <v/>
      </c>
      <c r="E185" s="292" t="str">
        <f aca="false">IF(D185="","",IFERROR(VLOOKUP(D185,PLANI_LLOGARIVE!$A:$B,2,FALSE()),""))</f>
        <v/>
      </c>
      <c r="F185" s="294"/>
      <c r="G185" s="293" t="str">
        <f aca="false">IF(MBYLLJA_6_7_AUTO!$H$99&gt;0,MBYLLJA_6_7_AUTO!$H$99,"")</f>
        <v/>
      </c>
      <c r="H185" s="288" t="s">
        <v>1008</v>
      </c>
      <c r="I185" s="288" t="s">
        <v>1015</v>
      </c>
    </row>
    <row r="186" customFormat="false" ht="15" hidden="false" customHeight="true" outlineLevel="0" collapsed="false">
      <c r="A186" s="291" t="str">
        <f aca="false">IF(MBYLLJA_6_7_AUTO!$H$100&gt;0,MBYLLJA_6_7_AUTO!$B$7,"")</f>
        <v/>
      </c>
      <c r="B186" s="292" t="str">
        <f aca="false">IF(MBYLLJA_6_7_AUTO!$H$100&gt;0,9902,"")</f>
        <v/>
      </c>
      <c r="C186" s="292" t="str">
        <f aca="false">IF(MBYLLJA_6_7_AUTO!$H$100&gt;0,"MB-CL6","")</f>
        <v/>
      </c>
      <c r="D186" s="292" t="str">
        <f aca="false">IF(MBYLLJA_6_7_AUTO!$H$100&gt;0,MBYLLJA_6_7_AUTO!$B$100,"")</f>
        <v/>
      </c>
      <c r="E186" s="292" t="str">
        <f aca="false">IF(D186="","",IFERROR(VLOOKUP(D186,PLANI_LLOGARIVE!$A:$B,2,FALSE()),""))</f>
        <v/>
      </c>
      <c r="F186" s="294"/>
      <c r="G186" s="293" t="str">
        <f aca="false">IF(MBYLLJA_6_7_AUTO!$H$100&gt;0,MBYLLJA_6_7_AUTO!$H$100,"")</f>
        <v/>
      </c>
      <c r="H186" s="288" t="s">
        <v>1008</v>
      </c>
      <c r="I186" s="288" t="s">
        <v>1015</v>
      </c>
    </row>
    <row r="187" customFormat="false" ht="15" hidden="false" customHeight="true" outlineLevel="0" collapsed="false">
      <c r="A187" s="291" t="str">
        <f aca="false">IF(MBYLLJA_6_7_AUTO!$H$101&gt;0,MBYLLJA_6_7_AUTO!$B$7,"")</f>
        <v/>
      </c>
      <c r="B187" s="292" t="str">
        <f aca="false">IF(MBYLLJA_6_7_AUTO!$H$101&gt;0,9902,"")</f>
        <v/>
      </c>
      <c r="C187" s="292" t="str">
        <f aca="false">IF(MBYLLJA_6_7_AUTO!$H$101&gt;0,"MB-CL6","")</f>
        <v/>
      </c>
      <c r="D187" s="292" t="str">
        <f aca="false">IF(MBYLLJA_6_7_AUTO!$H$101&gt;0,MBYLLJA_6_7_AUTO!$B$101,"")</f>
        <v/>
      </c>
      <c r="E187" s="292" t="str">
        <f aca="false">IF(D187="","",IFERROR(VLOOKUP(D187,PLANI_LLOGARIVE!$A:$B,2,FALSE()),""))</f>
        <v/>
      </c>
      <c r="F187" s="294"/>
      <c r="G187" s="293" t="str">
        <f aca="false">IF(MBYLLJA_6_7_AUTO!$H$101&gt;0,MBYLLJA_6_7_AUTO!$H$101,"")</f>
        <v/>
      </c>
      <c r="H187" s="288" t="s">
        <v>1008</v>
      </c>
      <c r="I187" s="288" t="s">
        <v>1015</v>
      </c>
    </row>
    <row r="188" customFormat="false" ht="15" hidden="false" customHeight="true" outlineLevel="0" collapsed="false">
      <c r="A188" s="291" t="str">
        <f aca="false">IF(MBYLLJA_6_7_AUTO!$H$102&gt;0,MBYLLJA_6_7_AUTO!$B$7,"")</f>
        <v/>
      </c>
      <c r="B188" s="292" t="str">
        <f aca="false">IF(MBYLLJA_6_7_AUTO!$H$102&gt;0,9902,"")</f>
        <v/>
      </c>
      <c r="C188" s="292" t="str">
        <f aca="false">IF(MBYLLJA_6_7_AUTO!$H$102&gt;0,"MB-CL6","")</f>
        <v/>
      </c>
      <c r="D188" s="292" t="str">
        <f aca="false">IF(MBYLLJA_6_7_AUTO!$H$102&gt;0,MBYLLJA_6_7_AUTO!$B$102,"")</f>
        <v/>
      </c>
      <c r="E188" s="292" t="str">
        <f aca="false">IF(D188="","",IFERROR(VLOOKUP(D188,PLANI_LLOGARIVE!$A:$B,2,FALSE()),""))</f>
        <v/>
      </c>
      <c r="F188" s="294"/>
      <c r="G188" s="293" t="str">
        <f aca="false">IF(MBYLLJA_6_7_AUTO!$H$102&gt;0,MBYLLJA_6_7_AUTO!$H$102,"")</f>
        <v/>
      </c>
      <c r="H188" s="288" t="s">
        <v>1008</v>
      </c>
      <c r="I188" s="288" t="s">
        <v>1015</v>
      </c>
    </row>
    <row r="189" customFormat="false" ht="15" hidden="false" customHeight="true" outlineLevel="0" collapsed="false">
      <c r="A189" s="291" t="str">
        <f aca="false">IF(MBYLLJA_6_7_AUTO!$H$103&gt;0,MBYLLJA_6_7_AUTO!$B$7,"")</f>
        <v/>
      </c>
      <c r="B189" s="292" t="str">
        <f aca="false">IF(MBYLLJA_6_7_AUTO!$H$103&gt;0,9902,"")</f>
        <v/>
      </c>
      <c r="C189" s="292" t="str">
        <f aca="false">IF(MBYLLJA_6_7_AUTO!$H$103&gt;0,"MB-CL6","")</f>
        <v/>
      </c>
      <c r="D189" s="292" t="str">
        <f aca="false">IF(MBYLLJA_6_7_AUTO!$H$103&gt;0,MBYLLJA_6_7_AUTO!$B$103,"")</f>
        <v/>
      </c>
      <c r="E189" s="292" t="str">
        <f aca="false">IF(D189="","",IFERROR(VLOOKUP(D189,PLANI_LLOGARIVE!$A:$B,2,FALSE()),""))</f>
        <v/>
      </c>
      <c r="F189" s="294"/>
      <c r="G189" s="293" t="str">
        <f aca="false">IF(MBYLLJA_6_7_AUTO!$H$103&gt;0,MBYLLJA_6_7_AUTO!$H$103,"")</f>
        <v/>
      </c>
      <c r="H189" s="288" t="s">
        <v>1008</v>
      </c>
      <c r="I189" s="288" t="s">
        <v>1015</v>
      </c>
    </row>
    <row r="190" customFormat="false" ht="15" hidden="false" customHeight="true" outlineLevel="0" collapsed="false">
      <c r="A190" s="296"/>
      <c r="B190" s="288"/>
      <c r="C190" s="288"/>
      <c r="D190" s="288"/>
      <c r="E190" s="281"/>
      <c r="F190" s="294"/>
      <c r="G190" s="294"/>
      <c r="H190" s="288"/>
      <c r="I190" s="288"/>
    </row>
    <row r="191" customFormat="false" ht="15" hidden="false" customHeight="true" outlineLevel="0" collapsed="false">
      <c r="A191" s="296"/>
      <c r="B191" s="288"/>
      <c r="C191" s="288"/>
      <c r="D191" s="288"/>
      <c r="E191" s="281"/>
      <c r="F191" s="294"/>
      <c r="G191" s="294"/>
      <c r="H191" s="288"/>
      <c r="I191" s="288"/>
    </row>
    <row r="192" customFormat="false" ht="15" hidden="false" customHeight="true" outlineLevel="0" collapsed="false">
      <c r="A192" s="296"/>
      <c r="B192" s="288"/>
      <c r="C192" s="288"/>
      <c r="D192" s="288"/>
      <c r="E192" s="281"/>
      <c r="F192" s="294"/>
      <c r="G192" s="294"/>
      <c r="H192" s="288"/>
      <c r="I192" s="288"/>
    </row>
    <row r="193" customFormat="false" ht="15" hidden="false" customHeight="true" outlineLevel="0" collapsed="false">
      <c r="A193" s="296"/>
      <c r="B193" s="288"/>
      <c r="C193" s="288"/>
      <c r="D193" s="288"/>
      <c r="E193" s="281"/>
      <c r="F193" s="294"/>
      <c r="G193" s="294"/>
      <c r="H193" s="288"/>
      <c r="I193" s="288"/>
    </row>
    <row r="194" customFormat="false" ht="15" hidden="false" customHeight="true" outlineLevel="0" collapsed="false">
      <c r="A194" s="296"/>
      <c r="B194" s="288"/>
      <c r="C194" s="288"/>
      <c r="D194" s="288"/>
      <c r="E194" s="281"/>
      <c r="F194" s="294"/>
      <c r="G194" s="294"/>
      <c r="H194" s="288"/>
      <c r="I194" s="288"/>
    </row>
    <row r="195" customFormat="false" ht="15" hidden="false" customHeight="true" outlineLevel="0" collapsed="false">
      <c r="A195" s="296"/>
      <c r="B195" s="288"/>
      <c r="C195" s="288"/>
      <c r="D195" s="288"/>
      <c r="E195" s="281"/>
      <c r="F195" s="294"/>
      <c r="G195" s="294"/>
      <c r="H195" s="288"/>
      <c r="I195" s="288"/>
    </row>
    <row r="196" customFormat="false" ht="15" hidden="false" customHeight="true" outlineLevel="0" collapsed="false">
      <c r="A196" s="288"/>
      <c r="B196" s="288"/>
      <c r="C196" s="288"/>
      <c r="D196" s="288"/>
      <c r="E196" s="281"/>
      <c r="F196" s="288"/>
      <c r="G196" s="288"/>
      <c r="H196" s="288"/>
      <c r="I196" s="288"/>
    </row>
    <row r="197" customFormat="false" ht="15" hidden="false" customHeight="true" outlineLevel="0" collapsed="false">
      <c r="A197" s="288"/>
      <c r="B197" s="288"/>
      <c r="C197" s="288"/>
      <c r="D197" s="288"/>
      <c r="E197" s="281"/>
      <c r="F197" s="288"/>
      <c r="G197" s="288"/>
      <c r="H197" s="288"/>
      <c r="I197" s="288"/>
    </row>
    <row r="198" customFormat="false" ht="24" hidden="false" customHeight="true" outlineLevel="0" collapsed="false">
      <c r="A198" s="297" t="s">
        <v>1016</v>
      </c>
      <c r="B198" s="297"/>
      <c r="C198" s="297"/>
      <c r="D198" s="297"/>
      <c r="E198" s="297"/>
      <c r="F198" s="297"/>
      <c r="G198" s="297"/>
      <c r="H198" s="297"/>
      <c r="I198" s="297"/>
    </row>
    <row r="199" customFormat="false" ht="15" hidden="false" customHeight="true" outlineLevel="0" collapsed="false">
      <c r="A199" s="298" t="s">
        <v>740</v>
      </c>
      <c r="B199" s="298" t="s">
        <v>741</v>
      </c>
      <c r="C199" s="298" t="s">
        <v>742</v>
      </c>
      <c r="D199" s="298" t="s">
        <v>743</v>
      </c>
      <c r="E199" s="299" t="s">
        <v>744</v>
      </c>
      <c r="F199" s="298" t="s">
        <v>212</v>
      </c>
      <c r="G199" s="298" t="s">
        <v>745</v>
      </c>
      <c r="H199" s="298" t="s">
        <v>746</v>
      </c>
      <c r="I199" s="298" t="s">
        <v>747</v>
      </c>
    </row>
    <row r="200" customFormat="false" ht="15" hidden="false" customHeight="true" outlineLevel="0" collapsed="false">
      <c r="A200" s="292" t="str">
        <f aca="false">IF(MBYLLJA_6_7_AUTO!$D$107&gt;0,MBYLLJA_6_7_AUTO!$B$7,"")</f>
        <v/>
      </c>
      <c r="B200" s="292" t="str">
        <f aca="false">IF($A200&lt;&gt;"",9903,"")</f>
        <v/>
      </c>
      <c r="C200" s="292" t="str">
        <f aca="false">IF($A200&lt;&gt;"","MB-RES","")</f>
        <v/>
      </c>
      <c r="D200" s="292" t="str">
        <f aca="false">MBYLLJA_6_7_AUTO!$B$107</f>
        <v/>
      </c>
      <c r="E200" s="292" t="str">
        <f aca="false">IF($D200="","",IFERROR(VLOOKUP($D200,PLANI_LLOGARIVE!$A:$B,2,FALSE()),""))</f>
        <v/>
      </c>
      <c r="F200" s="300" t="n">
        <f aca="false">MBYLLJA_6_7_AUTO!$D$107</f>
        <v>0</v>
      </c>
      <c r="G200" s="288"/>
      <c r="H200" s="288" t="s">
        <v>1008</v>
      </c>
      <c r="I200" s="288" t="s">
        <v>1017</v>
      </c>
    </row>
    <row r="201" customFormat="false" ht="12.75" hidden="false" customHeight="true" outlineLevel="0" collapsed="false">
      <c r="A201" s="101" t="str">
        <f aca="false">IF(MBYLLJA_6_7_AUTO!$D$107&gt;0,MBYLLJA_6_7_AUTO!$B$7,"")</f>
        <v/>
      </c>
      <c r="B201" s="101" t="str">
        <f aca="false">IF($A201&lt;&gt;"",9903,"")</f>
        <v/>
      </c>
      <c r="C201" s="101" t="str">
        <f aca="false">IF($A201&lt;&gt;"","MB-RES","")</f>
        <v/>
      </c>
      <c r="D201" s="101" t="str">
        <f aca="false">MBYLLJA_6_7_AUTO!$C$107</f>
        <v/>
      </c>
      <c r="E201" s="101" t="str">
        <f aca="false">IF($D201="","",IFERROR(VLOOKUP($D201,PLANI_LLOGARIVE!$A:$B,2,FALSE()),""))</f>
        <v/>
      </c>
      <c r="F201" s="199"/>
      <c r="G201" s="301" t="n">
        <f aca="false">MBYLLJA_6_7_AUTO!$D$107</f>
        <v>0</v>
      </c>
      <c r="H201" s="302" t="s">
        <v>1008</v>
      </c>
      <c r="I201" s="302" t="s">
        <v>1017</v>
      </c>
    </row>
    <row r="202" customFormat="false" ht="12.75" hidden="false" customHeight="true" outlineLevel="0" collapsed="false">
      <c r="A202" s="199"/>
      <c r="B202" s="199"/>
      <c r="C202" s="199"/>
      <c r="D202" s="199"/>
      <c r="F202" s="199"/>
      <c r="G202" s="199"/>
      <c r="H202" s="199"/>
      <c r="I202" s="199"/>
    </row>
    <row r="203" customFormat="false" ht="12.75" hidden="false" customHeight="true" outlineLevel="0" collapsed="false">
      <c r="A203" s="199"/>
      <c r="B203" s="199"/>
      <c r="C203" s="199"/>
      <c r="D203" s="199"/>
      <c r="F203" s="199"/>
      <c r="G203" s="199"/>
      <c r="H203" s="199"/>
      <c r="I203" s="199"/>
    </row>
    <row r="204" customFormat="false" ht="12.75" hidden="false" customHeight="true" outlineLevel="0" collapsed="false">
      <c r="A204" s="199"/>
      <c r="B204" s="199"/>
      <c r="C204" s="199"/>
      <c r="D204" s="199"/>
      <c r="F204" s="199"/>
      <c r="G204" s="199"/>
      <c r="H204" s="199"/>
      <c r="I204" s="199"/>
    </row>
    <row r="205" customFormat="false" ht="12.75" hidden="false" customHeight="true" outlineLevel="0" collapsed="false">
      <c r="A205" s="199"/>
      <c r="B205" s="199"/>
      <c r="C205" s="199"/>
      <c r="D205" s="199"/>
      <c r="F205" s="199"/>
      <c r="G205" s="199"/>
      <c r="H205" s="199"/>
      <c r="I205" s="199"/>
    </row>
    <row r="206" customFormat="false" ht="12.75" hidden="false" customHeight="true" outlineLevel="0" collapsed="false">
      <c r="A206" s="199"/>
      <c r="B206" s="199"/>
      <c r="C206" s="199"/>
      <c r="D206" s="199"/>
      <c r="F206" s="199"/>
      <c r="G206" s="199"/>
      <c r="H206" s="199"/>
      <c r="I206" s="199"/>
    </row>
    <row r="207" customFormat="false" ht="12.75" hidden="false" customHeight="true" outlineLevel="0" collapsed="false">
      <c r="A207" s="199"/>
      <c r="B207" s="199"/>
      <c r="C207" s="199"/>
      <c r="D207" s="199"/>
      <c r="F207" s="199"/>
      <c r="G207" s="199"/>
      <c r="H207" s="199"/>
      <c r="I207" s="199"/>
    </row>
    <row r="208" customFormat="false" ht="12.75" hidden="false" customHeight="true" outlineLevel="0" collapsed="false">
      <c r="A208" s="199"/>
      <c r="B208" s="199"/>
      <c r="C208" s="199"/>
      <c r="D208" s="199"/>
      <c r="F208" s="199"/>
      <c r="G208" s="199"/>
      <c r="H208" s="199"/>
      <c r="I208" s="199"/>
    </row>
    <row r="209" customFormat="false" ht="12.75" hidden="false" customHeight="true" outlineLevel="0" collapsed="false">
      <c r="A209" s="199"/>
      <c r="B209" s="199"/>
      <c r="C209" s="199"/>
      <c r="D209" s="199"/>
      <c r="F209" s="199"/>
      <c r="G209" s="199"/>
      <c r="H209" s="199"/>
      <c r="I209" s="199"/>
    </row>
    <row r="210" customFormat="false" ht="12.75" hidden="false" customHeight="true" outlineLevel="0" collapsed="false">
      <c r="A210" s="199"/>
      <c r="B210" s="199"/>
      <c r="C210" s="199"/>
      <c r="D210" s="199"/>
      <c r="F210" s="199"/>
      <c r="G210" s="199"/>
      <c r="H210" s="199"/>
      <c r="I210" s="199"/>
    </row>
    <row r="211" customFormat="false" ht="12.75" hidden="false" customHeight="true" outlineLevel="0" collapsed="false">
      <c r="A211" s="199"/>
      <c r="B211" s="199"/>
      <c r="C211" s="199"/>
      <c r="D211" s="199"/>
      <c r="F211" s="199"/>
      <c r="G211" s="199"/>
      <c r="H211" s="199"/>
      <c r="I211" s="199"/>
    </row>
    <row r="212" customFormat="false" ht="12.75" hidden="false" customHeight="true" outlineLevel="0" collapsed="false">
      <c r="A212" s="199"/>
      <c r="B212" s="199"/>
      <c r="C212" s="199"/>
      <c r="D212" s="199"/>
      <c r="F212" s="199"/>
      <c r="G212" s="199"/>
      <c r="H212" s="199"/>
      <c r="I212" s="199"/>
    </row>
    <row r="213" customFormat="false" ht="12.75" hidden="false" customHeight="true" outlineLevel="0" collapsed="false">
      <c r="A213" s="199"/>
      <c r="B213" s="199"/>
      <c r="C213" s="199"/>
      <c r="D213" s="199"/>
      <c r="F213" s="199"/>
      <c r="G213" s="199"/>
      <c r="H213" s="199"/>
      <c r="I213" s="199"/>
    </row>
    <row r="214" customFormat="false" ht="12.75" hidden="false" customHeight="true" outlineLevel="0" collapsed="false">
      <c r="A214" s="199"/>
      <c r="B214" s="199"/>
      <c r="C214" s="199"/>
      <c r="D214" s="199"/>
      <c r="F214" s="199"/>
      <c r="G214" s="199"/>
      <c r="H214" s="199"/>
      <c r="I214" s="199"/>
    </row>
    <row r="215" customFormat="false" ht="12.75" hidden="false" customHeight="true" outlineLevel="0" collapsed="false">
      <c r="A215" s="199"/>
      <c r="B215" s="199"/>
      <c r="C215" s="199"/>
      <c r="D215" s="199"/>
      <c r="F215" s="199"/>
      <c r="G215" s="199"/>
      <c r="H215" s="199"/>
      <c r="I215" s="199"/>
    </row>
    <row r="216" customFormat="false" ht="12.75" hidden="false" customHeight="true" outlineLevel="0" collapsed="false">
      <c r="A216" s="199"/>
      <c r="B216" s="199"/>
      <c r="C216" s="199"/>
      <c r="D216" s="199"/>
      <c r="F216" s="199"/>
      <c r="G216" s="199"/>
      <c r="H216" s="199"/>
      <c r="I216" s="199"/>
    </row>
    <row r="217" customFormat="false" ht="12.75" hidden="false" customHeight="true" outlineLevel="0" collapsed="false">
      <c r="A217" s="199"/>
      <c r="B217" s="199"/>
      <c r="C217" s="199"/>
      <c r="D217" s="199"/>
      <c r="F217" s="199"/>
      <c r="G217" s="199"/>
      <c r="H217" s="199"/>
      <c r="I217" s="199"/>
    </row>
    <row r="218" customFormat="false" ht="12.75" hidden="false" customHeight="true" outlineLevel="0" collapsed="false">
      <c r="A218" s="199"/>
      <c r="B218" s="199"/>
      <c r="C218" s="199"/>
      <c r="D218" s="199"/>
      <c r="F218" s="199"/>
      <c r="G218" s="199"/>
      <c r="H218" s="199"/>
      <c r="I218" s="199"/>
    </row>
    <row r="219" customFormat="false" ht="12.75" hidden="false" customHeight="true" outlineLevel="0" collapsed="false">
      <c r="A219" s="199"/>
      <c r="B219" s="199"/>
      <c r="C219" s="199"/>
      <c r="D219" s="199"/>
      <c r="F219" s="199"/>
      <c r="G219" s="199"/>
      <c r="H219" s="199"/>
      <c r="I219" s="199"/>
    </row>
    <row r="220" customFormat="false" ht="12.75" hidden="false" customHeight="true" outlineLevel="0" collapsed="false">
      <c r="A220" s="199"/>
      <c r="B220" s="199"/>
      <c r="C220" s="199"/>
      <c r="D220" s="199"/>
      <c r="F220" s="199"/>
      <c r="G220" s="199"/>
      <c r="H220" s="199"/>
      <c r="I220" s="199"/>
    </row>
    <row r="221" customFormat="false" ht="12.75" hidden="false" customHeight="true" outlineLevel="0" collapsed="false">
      <c r="A221" s="199"/>
      <c r="B221" s="199"/>
      <c r="C221" s="199"/>
      <c r="D221" s="199"/>
      <c r="F221" s="199"/>
      <c r="G221" s="199"/>
      <c r="H221" s="199"/>
      <c r="I221" s="199"/>
    </row>
    <row r="222" customFormat="false" ht="12.75" hidden="false" customHeight="true" outlineLevel="0" collapsed="false">
      <c r="A222" s="199"/>
      <c r="B222" s="199"/>
      <c r="C222" s="199"/>
      <c r="D222" s="199"/>
      <c r="F222" s="199"/>
      <c r="G222" s="199"/>
      <c r="H222" s="199"/>
      <c r="I222" s="199"/>
    </row>
    <row r="223" customFormat="false" ht="12.75" hidden="false" customHeight="true" outlineLevel="0" collapsed="false">
      <c r="A223" s="199"/>
      <c r="B223" s="199"/>
      <c r="C223" s="199"/>
      <c r="D223" s="199"/>
      <c r="F223" s="199"/>
      <c r="G223" s="199"/>
      <c r="H223" s="199"/>
      <c r="I223" s="199"/>
    </row>
    <row r="224" customFormat="false" ht="12.75" hidden="false" customHeight="true" outlineLevel="0" collapsed="false">
      <c r="A224" s="199"/>
      <c r="B224" s="199"/>
      <c r="C224" s="199"/>
      <c r="D224" s="199"/>
      <c r="F224" s="199"/>
      <c r="G224" s="199"/>
      <c r="H224" s="199"/>
      <c r="I224" s="199"/>
    </row>
    <row r="225" customFormat="false" ht="12.75" hidden="false" customHeight="true" outlineLevel="0" collapsed="false">
      <c r="A225" s="199"/>
      <c r="B225" s="199"/>
      <c r="C225" s="199"/>
      <c r="D225" s="199"/>
      <c r="F225" s="199"/>
      <c r="G225" s="199"/>
      <c r="H225" s="199"/>
      <c r="I225" s="199"/>
    </row>
    <row r="226" customFormat="false" ht="12.75" hidden="false" customHeight="true" outlineLevel="0" collapsed="false">
      <c r="A226" s="199"/>
      <c r="B226" s="199"/>
      <c r="C226" s="199"/>
      <c r="D226" s="199"/>
      <c r="F226" s="199"/>
      <c r="G226" s="199"/>
      <c r="H226" s="199"/>
      <c r="I226" s="199"/>
    </row>
    <row r="227" customFormat="false" ht="12.75" hidden="false" customHeight="true" outlineLevel="0" collapsed="false">
      <c r="A227" s="199"/>
      <c r="B227" s="199"/>
      <c r="C227" s="199"/>
      <c r="D227" s="199"/>
      <c r="F227" s="199"/>
      <c r="G227" s="199"/>
      <c r="H227" s="199"/>
      <c r="I227" s="199"/>
    </row>
    <row r="228" customFormat="false" ht="12.75" hidden="false" customHeight="true" outlineLevel="0" collapsed="false">
      <c r="A228" s="199"/>
      <c r="B228" s="199"/>
      <c r="C228" s="199"/>
      <c r="D228" s="199"/>
      <c r="F228" s="199"/>
      <c r="G228" s="199"/>
      <c r="H228" s="199"/>
      <c r="I228" s="199"/>
    </row>
    <row r="229" customFormat="false" ht="12.75" hidden="false" customHeight="true" outlineLevel="0" collapsed="false">
      <c r="A229" s="199"/>
      <c r="B229" s="199"/>
      <c r="C229" s="199"/>
      <c r="D229" s="199"/>
      <c r="F229" s="199"/>
      <c r="G229" s="199"/>
      <c r="H229" s="199"/>
      <c r="I229" s="199"/>
    </row>
    <row r="230" customFormat="false" ht="12.75" hidden="false" customHeight="true" outlineLevel="0" collapsed="false">
      <c r="A230" s="199"/>
      <c r="B230" s="199"/>
      <c r="C230" s="199"/>
      <c r="D230" s="199"/>
      <c r="F230" s="199"/>
      <c r="G230" s="199"/>
      <c r="H230" s="199"/>
      <c r="I230" s="199"/>
    </row>
    <row r="231" customFormat="false" ht="12.75" hidden="false" customHeight="true" outlineLevel="0" collapsed="false">
      <c r="A231" s="199"/>
      <c r="B231" s="199"/>
      <c r="C231" s="199"/>
      <c r="D231" s="199"/>
      <c r="F231" s="199"/>
      <c r="G231" s="199"/>
      <c r="H231" s="199"/>
      <c r="I231" s="199"/>
    </row>
    <row r="232" customFormat="false" ht="12.75" hidden="false" customHeight="true" outlineLevel="0" collapsed="false">
      <c r="A232" s="199"/>
      <c r="B232" s="199"/>
      <c r="C232" s="199"/>
      <c r="D232" s="199"/>
      <c r="F232" s="199"/>
      <c r="G232" s="199"/>
      <c r="H232" s="199"/>
      <c r="I232" s="199"/>
    </row>
    <row r="233" customFormat="false" ht="12.75" hidden="false" customHeight="true" outlineLevel="0" collapsed="false">
      <c r="A233" s="199"/>
      <c r="B233" s="199"/>
      <c r="C233" s="199"/>
      <c r="D233" s="199"/>
      <c r="F233" s="199"/>
      <c r="G233" s="199"/>
      <c r="H233" s="199"/>
      <c r="I233" s="199"/>
    </row>
    <row r="234" customFormat="false" ht="12.75" hidden="false" customHeight="true" outlineLevel="0" collapsed="false">
      <c r="A234" s="199"/>
      <c r="B234" s="199"/>
      <c r="C234" s="199"/>
      <c r="D234" s="199"/>
      <c r="F234" s="199"/>
      <c r="G234" s="199"/>
      <c r="H234" s="199"/>
      <c r="I234" s="199"/>
    </row>
    <row r="235" customFormat="false" ht="12.75" hidden="false" customHeight="true" outlineLevel="0" collapsed="false">
      <c r="A235" s="199"/>
      <c r="B235" s="199"/>
      <c r="C235" s="199"/>
      <c r="D235" s="199"/>
      <c r="F235" s="199"/>
      <c r="G235" s="199"/>
      <c r="H235" s="199"/>
      <c r="I235" s="199"/>
    </row>
    <row r="236" customFormat="false" ht="12.75" hidden="false" customHeight="true" outlineLevel="0" collapsed="false">
      <c r="A236" s="199"/>
      <c r="B236" s="199"/>
      <c r="C236" s="199"/>
      <c r="D236" s="199"/>
      <c r="F236" s="199"/>
      <c r="G236" s="199"/>
      <c r="H236" s="199"/>
      <c r="I236" s="199"/>
    </row>
    <row r="237" customFormat="false" ht="12.75" hidden="false" customHeight="true" outlineLevel="0" collapsed="false">
      <c r="A237" s="199"/>
      <c r="B237" s="199"/>
      <c r="C237" s="199"/>
      <c r="D237" s="199"/>
      <c r="F237" s="199"/>
      <c r="G237" s="199"/>
      <c r="H237" s="199"/>
      <c r="I237" s="199"/>
    </row>
    <row r="238" customFormat="false" ht="12.75" hidden="false" customHeight="true" outlineLevel="0" collapsed="false">
      <c r="A238" s="199"/>
      <c r="B238" s="199"/>
      <c r="C238" s="199"/>
      <c r="D238" s="199"/>
      <c r="F238" s="199"/>
      <c r="G238" s="199"/>
      <c r="H238" s="199"/>
      <c r="I238" s="199"/>
    </row>
    <row r="239" customFormat="false" ht="12.75" hidden="false" customHeight="true" outlineLevel="0" collapsed="false">
      <c r="A239" s="199"/>
      <c r="B239" s="199"/>
      <c r="C239" s="199"/>
      <c r="D239" s="199"/>
      <c r="F239" s="199"/>
      <c r="G239" s="199"/>
      <c r="H239" s="199"/>
      <c r="I239" s="199"/>
    </row>
    <row r="240" customFormat="false" ht="12.75" hidden="false" customHeight="true" outlineLevel="0" collapsed="false">
      <c r="A240" s="199"/>
      <c r="B240" s="199"/>
      <c r="C240" s="199"/>
      <c r="D240" s="199"/>
      <c r="F240" s="199"/>
      <c r="G240" s="199"/>
      <c r="H240" s="199"/>
      <c r="I240" s="199"/>
    </row>
    <row r="241" customFormat="false" ht="12.75" hidden="false" customHeight="true" outlineLevel="0" collapsed="false">
      <c r="A241" s="199"/>
      <c r="B241" s="199"/>
      <c r="C241" s="199"/>
      <c r="D241" s="199"/>
      <c r="F241" s="199"/>
      <c r="G241" s="199"/>
      <c r="H241" s="199"/>
      <c r="I241" s="199"/>
    </row>
    <row r="242" customFormat="false" ht="12.75" hidden="false" customHeight="true" outlineLevel="0" collapsed="false">
      <c r="A242" s="199"/>
      <c r="B242" s="199"/>
      <c r="C242" s="199"/>
      <c r="D242" s="199"/>
      <c r="F242" s="199"/>
      <c r="G242" s="199"/>
      <c r="H242" s="199"/>
      <c r="I242" s="199"/>
    </row>
    <row r="243" customFormat="false" ht="12.75" hidden="false" customHeight="true" outlineLevel="0" collapsed="false">
      <c r="A243" s="199"/>
      <c r="B243" s="199"/>
      <c r="C243" s="199"/>
      <c r="D243" s="199"/>
      <c r="F243" s="199"/>
      <c r="G243" s="199"/>
      <c r="H243" s="199"/>
      <c r="I243" s="199"/>
    </row>
    <row r="244" customFormat="false" ht="12.75" hidden="false" customHeight="true" outlineLevel="0" collapsed="false">
      <c r="A244" s="199"/>
      <c r="B244" s="199"/>
      <c r="C244" s="199"/>
      <c r="D244" s="199"/>
      <c r="F244" s="199"/>
      <c r="G244" s="199"/>
      <c r="H244" s="199"/>
      <c r="I244" s="199"/>
    </row>
    <row r="245" customFormat="false" ht="12.75" hidden="false" customHeight="true" outlineLevel="0" collapsed="false">
      <c r="A245" s="199"/>
      <c r="B245" s="199"/>
      <c r="C245" s="199"/>
      <c r="D245" s="199"/>
      <c r="F245" s="199"/>
      <c r="G245" s="199"/>
      <c r="H245" s="199"/>
      <c r="I245" s="199"/>
    </row>
    <row r="246" customFormat="false" ht="12.75" hidden="false" customHeight="true" outlineLevel="0" collapsed="false">
      <c r="A246" s="199"/>
      <c r="B246" s="199"/>
      <c r="C246" s="199"/>
      <c r="D246" s="199"/>
      <c r="F246" s="199"/>
      <c r="G246" s="199"/>
      <c r="H246" s="199"/>
      <c r="I246" s="199"/>
    </row>
    <row r="247" customFormat="false" ht="12.75" hidden="false" customHeight="true" outlineLevel="0" collapsed="false">
      <c r="A247" s="199"/>
      <c r="B247" s="199"/>
      <c r="C247" s="199"/>
      <c r="D247" s="199"/>
      <c r="F247" s="199"/>
      <c r="G247" s="199"/>
      <c r="H247" s="199"/>
      <c r="I247" s="199"/>
    </row>
    <row r="248" customFormat="false" ht="12.75" hidden="false" customHeight="true" outlineLevel="0" collapsed="false">
      <c r="A248" s="199"/>
      <c r="B248" s="199"/>
      <c r="C248" s="199"/>
      <c r="D248" s="199"/>
      <c r="F248" s="199"/>
      <c r="G248" s="199"/>
      <c r="H248" s="199"/>
      <c r="I248" s="199"/>
    </row>
    <row r="249" customFormat="false" ht="12.75" hidden="false" customHeight="true" outlineLevel="0" collapsed="false">
      <c r="A249" s="199"/>
      <c r="B249" s="199"/>
      <c r="C249" s="199"/>
      <c r="D249" s="199"/>
      <c r="F249" s="199"/>
      <c r="G249" s="199"/>
      <c r="H249" s="199"/>
      <c r="I249" s="199"/>
    </row>
    <row r="250" customFormat="false" ht="12.75" hidden="false" customHeight="true" outlineLevel="0" collapsed="false">
      <c r="A250" s="199"/>
      <c r="B250" s="199"/>
      <c r="C250" s="199"/>
      <c r="D250" s="199"/>
      <c r="F250" s="199"/>
      <c r="G250" s="199"/>
      <c r="H250" s="199"/>
      <c r="I250" s="199"/>
    </row>
    <row r="251" customFormat="false" ht="12.75" hidden="false" customHeight="true" outlineLevel="0" collapsed="false">
      <c r="A251" s="199"/>
      <c r="B251" s="199"/>
      <c r="C251" s="199"/>
      <c r="D251" s="199"/>
      <c r="F251" s="199"/>
      <c r="G251" s="199"/>
      <c r="H251" s="199"/>
      <c r="I251" s="199"/>
    </row>
    <row r="252" customFormat="false" ht="12.75" hidden="false" customHeight="true" outlineLevel="0" collapsed="false">
      <c r="A252" s="199"/>
      <c r="B252" s="199"/>
      <c r="C252" s="199"/>
      <c r="D252" s="199"/>
      <c r="F252" s="199"/>
      <c r="G252" s="199"/>
      <c r="H252" s="199"/>
      <c r="I252" s="199"/>
    </row>
    <row r="253" customFormat="false" ht="12.75" hidden="false" customHeight="true" outlineLevel="0" collapsed="false">
      <c r="A253" s="199"/>
      <c r="B253" s="199"/>
      <c r="C253" s="199"/>
      <c r="D253" s="199"/>
      <c r="F253" s="199"/>
      <c r="G253" s="199"/>
      <c r="H253" s="199"/>
      <c r="I253" s="199"/>
    </row>
    <row r="254" customFormat="false" ht="12.75" hidden="false" customHeight="true" outlineLevel="0" collapsed="false">
      <c r="A254" s="199"/>
      <c r="B254" s="199"/>
      <c r="C254" s="199"/>
      <c r="D254" s="199"/>
      <c r="F254" s="199"/>
      <c r="G254" s="199"/>
      <c r="H254" s="199"/>
      <c r="I254" s="199"/>
    </row>
    <row r="255" customFormat="false" ht="12.75" hidden="false" customHeight="true" outlineLevel="0" collapsed="false">
      <c r="A255" s="199"/>
      <c r="B255" s="199"/>
      <c r="C255" s="199"/>
      <c r="D255" s="199"/>
      <c r="F255" s="199"/>
      <c r="G255" s="199"/>
      <c r="H255" s="199"/>
      <c r="I255" s="199"/>
    </row>
    <row r="256" customFormat="false" ht="12.75" hidden="false" customHeight="true" outlineLevel="0" collapsed="false">
      <c r="A256" s="199"/>
      <c r="B256" s="199"/>
      <c r="C256" s="199"/>
      <c r="D256" s="199"/>
      <c r="F256" s="199"/>
      <c r="G256" s="199"/>
      <c r="H256" s="199"/>
      <c r="I256" s="199"/>
    </row>
    <row r="257" customFormat="false" ht="12.75" hidden="false" customHeight="true" outlineLevel="0" collapsed="false">
      <c r="A257" s="199"/>
      <c r="B257" s="199"/>
      <c r="C257" s="199"/>
      <c r="D257" s="199"/>
      <c r="F257" s="199"/>
      <c r="G257" s="199"/>
      <c r="H257" s="199"/>
      <c r="I257" s="199"/>
    </row>
    <row r="258" customFormat="false" ht="12.75" hidden="false" customHeight="true" outlineLevel="0" collapsed="false">
      <c r="A258" s="199"/>
      <c r="B258" s="199"/>
      <c r="C258" s="199"/>
      <c r="D258" s="199"/>
      <c r="F258" s="199"/>
      <c r="G258" s="199"/>
      <c r="H258" s="199"/>
      <c r="I258" s="199"/>
    </row>
    <row r="259" customFormat="false" ht="12.75" hidden="false" customHeight="true" outlineLevel="0" collapsed="false">
      <c r="A259" s="199"/>
      <c r="B259" s="199"/>
      <c r="C259" s="199"/>
      <c r="D259" s="199"/>
      <c r="F259" s="199"/>
      <c r="G259" s="199"/>
      <c r="H259" s="199"/>
      <c r="I259" s="199"/>
    </row>
    <row r="260" customFormat="false" ht="12.75" hidden="false" customHeight="true" outlineLevel="0" collapsed="false">
      <c r="A260" s="199"/>
      <c r="B260" s="199"/>
      <c r="C260" s="199"/>
      <c r="D260" s="199"/>
      <c r="F260" s="199"/>
      <c r="G260" s="199"/>
      <c r="H260" s="199"/>
      <c r="I260" s="199"/>
    </row>
    <row r="261" customFormat="false" ht="12.75" hidden="false" customHeight="true" outlineLevel="0" collapsed="false">
      <c r="A261" s="199"/>
      <c r="B261" s="199"/>
      <c r="C261" s="199"/>
      <c r="D261" s="199"/>
      <c r="F261" s="199"/>
      <c r="G261" s="199"/>
      <c r="H261" s="199"/>
      <c r="I261" s="199"/>
    </row>
    <row r="262" customFormat="false" ht="12.75" hidden="false" customHeight="true" outlineLevel="0" collapsed="false">
      <c r="A262" s="199"/>
      <c r="B262" s="199"/>
      <c r="C262" s="199"/>
      <c r="D262" s="199"/>
      <c r="F262" s="199"/>
      <c r="G262" s="199"/>
      <c r="H262" s="199"/>
      <c r="I262" s="199"/>
    </row>
    <row r="263" customFormat="false" ht="12.75" hidden="false" customHeight="true" outlineLevel="0" collapsed="false">
      <c r="A263" s="199"/>
      <c r="B263" s="199"/>
      <c r="C263" s="199"/>
      <c r="D263" s="199"/>
      <c r="F263" s="199"/>
      <c r="G263" s="199"/>
      <c r="H263" s="199"/>
      <c r="I263" s="199"/>
    </row>
    <row r="264" customFormat="false" ht="12.75" hidden="false" customHeight="true" outlineLevel="0" collapsed="false">
      <c r="A264" s="199"/>
      <c r="B264" s="199"/>
      <c r="C264" s="199"/>
      <c r="D264" s="199"/>
      <c r="F264" s="199"/>
      <c r="G264" s="199"/>
      <c r="H264" s="199"/>
      <c r="I264" s="199"/>
    </row>
    <row r="265" customFormat="false" ht="12.75" hidden="false" customHeight="true" outlineLevel="0" collapsed="false">
      <c r="A265" s="199"/>
      <c r="B265" s="199"/>
      <c r="C265" s="199"/>
      <c r="D265" s="199"/>
      <c r="F265" s="199"/>
      <c r="G265" s="199"/>
      <c r="H265" s="199"/>
      <c r="I265" s="199"/>
    </row>
    <row r="266" customFormat="false" ht="12.75" hidden="false" customHeight="true" outlineLevel="0" collapsed="false">
      <c r="A266" s="199"/>
      <c r="B266" s="199"/>
      <c r="C266" s="199"/>
      <c r="D266" s="199"/>
      <c r="F266" s="199"/>
      <c r="G266" s="199"/>
      <c r="H266" s="199"/>
      <c r="I266" s="199"/>
    </row>
    <row r="267" customFormat="false" ht="12.75" hidden="false" customHeight="true" outlineLevel="0" collapsed="false">
      <c r="A267" s="199"/>
      <c r="B267" s="199"/>
      <c r="C267" s="199"/>
      <c r="D267" s="199"/>
      <c r="F267" s="199"/>
      <c r="G267" s="199"/>
      <c r="H267" s="199"/>
      <c r="I267" s="199"/>
    </row>
    <row r="268" customFormat="false" ht="12.75" hidden="false" customHeight="true" outlineLevel="0" collapsed="false">
      <c r="A268" s="199"/>
      <c r="B268" s="199"/>
      <c r="C268" s="199"/>
      <c r="D268" s="199"/>
      <c r="F268" s="199"/>
      <c r="G268" s="199"/>
      <c r="H268" s="199"/>
      <c r="I268" s="199"/>
    </row>
    <row r="269" customFormat="false" ht="12.75" hidden="false" customHeight="true" outlineLevel="0" collapsed="false">
      <c r="A269" s="199"/>
      <c r="B269" s="199"/>
      <c r="C269" s="199"/>
      <c r="D269" s="199"/>
      <c r="F269" s="199"/>
      <c r="G269" s="199"/>
      <c r="H269" s="199"/>
      <c r="I269" s="199"/>
    </row>
    <row r="270" customFormat="false" ht="12.75" hidden="false" customHeight="true" outlineLevel="0" collapsed="false">
      <c r="A270" s="199"/>
      <c r="B270" s="199"/>
      <c r="C270" s="199"/>
      <c r="D270" s="199"/>
      <c r="F270" s="199"/>
      <c r="G270" s="199"/>
      <c r="H270" s="199"/>
      <c r="I270" s="199"/>
    </row>
    <row r="271" customFormat="false" ht="12.75" hidden="false" customHeight="true" outlineLevel="0" collapsed="false">
      <c r="A271" s="199"/>
      <c r="B271" s="199"/>
      <c r="C271" s="199"/>
      <c r="D271" s="199"/>
      <c r="F271" s="199"/>
      <c r="G271" s="199"/>
      <c r="H271" s="199"/>
      <c r="I271" s="199"/>
    </row>
    <row r="272" customFormat="false" ht="12.75" hidden="false" customHeight="true" outlineLevel="0" collapsed="false">
      <c r="A272" s="199"/>
      <c r="B272" s="199"/>
      <c r="C272" s="199"/>
      <c r="D272" s="199"/>
      <c r="F272" s="199"/>
      <c r="G272" s="199"/>
      <c r="H272" s="199"/>
      <c r="I272" s="199"/>
    </row>
    <row r="273" customFormat="false" ht="12.75" hidden="false" customHeight="true" outlineLevel="0" collapsed="false">
      <c r="A273" s="199"/>
      <c r="B273" s="199"/>
      <c r="C273" s="199"/>
      <c r="D273" s="199"/>
      <c r="F273" s="199"/>
      <c r="G273" s="199"/>
      <c r="H273" s="199"/>
      <c r="I273" s="199"/>
    </row>
    <row r="274" customFormat="false" ht="12.75" hidden="false" customHeight="true" outlineLevel="0" collapsed="false">
      <c r="A274" s="199"/>
      <c r="B274" s="199"/>
      <c r="C274" s="199"/>
      <c r="D274" s="199"/>
      <c r="F274" s="199"/>
      <c r="G274" s="199"/>
      <c r="H274" s="199"/>
      <c r="I274" s="199"/>
    </row>
    <row r="275" customFormat="false" ht="12.75" hidden="false" customHeight="true" outlineLevel="0" collapsed="false">
      <c r="A275" s="199"/>
      <c r="B275" s="199"/>
      <c r="C275" s="199"/>
      <c r="D275" s="199"/>
      <c r="F275" s="199"/>
      <c r="G275" s="199"/>
      <c r="H275" s="199"/>
      <c r="I275" s="199"/>
    </row>
    <row r="276" customFormat="false" ht="12.75" hidden="false" customHeight="true" outlineLevel="0" collapsed="false">
      <c r="A276" s="199"/>
      <c r="B276" s="199"/>
      <c r="C276" s="199"/>
      <c r="D276" s="199"/>
      <c r="F276" s="199"/>
      <c r="G276" s="199"/>
      <c r="H276" s="199"/>
      <c r="I276" s="199"/>
    </row>
    <row r="277" customFormat="false" ht="12.75" hidden="false" customHeight="true" outlineLevel="0" collapsed="false">
      <c r="A277" s="199"/>
      <c r="B277" s="199"/>
      <c r="C277" s="199"/>
      <c r="D277" s="199"/>
      <c r="F277" s="199"/>
      <c r="G277" s="199"/>
      <c r="H277" s="199"/>
      <c r="I277" s="199"/>
    </row>
    <row r="278" customFormat="false" ht="12.75" hidden="false" customHeight="true" outlineLevel="0" collapsed="false">
      <c r="A278" s="199"/>
      <c r="B278" s="199"/>
      <c r="C278" s="199"/>
      <c r="D278" s="199"/>
      <c r="F278" s="199"/>
      <c r="G278" s="199"/>
      <c r="H278" s="199"/>
      <c r="I278" s="199"/>
    </row>
    <row r="279" customFormat="false" ht="12.75" hidden="false" customHeight="true" outlineLevel="0" collapsed="false">
      <c r="A279" s="199"/>
      <c r="B279" s="199"/>
      <c r="C279" s="199"/>
      <c r="D279" s="199"/>
      <c r="F279" s="199"/>
      <c r="G279" s="199"/>
      <c r="H279" s="199"/>
      <c r="I279" s="199"/>
    </row>
    <row r="280" customFormat="false" ht="12.75" hidden="false" customHeight="true" outlineLevel="0" collapsed="false">
      <c r="A280" s="199"/>
      <c r="B280" s="199"/>
      <c r="C280" s="199"/>
      <c r="D280" s="199"/>
      <c r="F280" s="199"/>
      <c r="G280" s="199"/>
      <c r="H280" s="199"/>
      <c r="I280" s="199"/>
    </row>
    <row r="281" customFormat="false" ht="12.75" hidden="false" customHeight="true" outlineLevel="0" collapsed="false">
      <c r="A281" s="199"/>
      <c r="B281" s="199"/>
      <c r="C281" s="199"/>
      <c r="D281" s="199"/>
      <c r="F281" s="199"/>
      <c r="G281" s="199"/>
      <c r="H281" s="199"/>
      <c r="I281" s="199"/>
    </row>
    <row r="282" customFormat="false" ht="12.75" hidden="false" customHeight="true" outlineLevel="0" collapsed="false">
      <c r="A282" s="199"/>
      <c r="B282" s="199"/>
      <c r="C282" s="199"/>
      <c r="D282" s="199"/>
      <c r="F282" s="199"/>
      <c r="G282" s="199"/>
      <c r="H282" s="199"/>
      <c r="I282" s="199"/>
    </row>
    <row r="283" customFormat="false" ht="12.75" hidden="false" customHeight="true" outlineLevel="0" collapsed="false">
      <c r="A283" s="199"/>
      <c r="B283" s="199"/>
      <c r="C283" s="199"/>
      <c r="D283" s="199"/>
      <c r="F283" s="199"/>
      <c r="G283" s="199"/>
      <c r="H283" s="199"/>
      <c r="I283" s="199"/>
    </row>
    <row r="284" customFormat="false" ht="12.75" hidden="false" customHeight="true" outlineLevel="0" collapsed="false">
      <c r="A284" s="199"/>
      <c r="B284" s="199"/>
      <c r="C284" s="199"/>
      <c r="D284" s="199"/>
      <c r="F284" s="199"/>
      <c r="G284" s="199"/>
      <c r="H284" s="199"/>
      <c r="I284" s="199"/>
    </row>
    <row r="285" customFormat="false" ht="12.75" hidden="false" customHeight="true" outlineLevel="0" collapsed="false">
      <c r="A285" s="199"/>
      <c r="B285" s="199"/>
      <c r="C285" s="199"/>
      <c r="D285" s="199"/>
      <c r="F285" s="199"/>
      <c r="G285" s="199"/>
      <c r="H285" s="199"/>
      <c r="I285" s="199"/>
    </row>
    <row r="286" customFormat="false" ht="12.75" hidden="false" customHeight="true" outlineLevel="0" collapsed="false">
      <c r="A286" s="199"/>
      <c r="B286" s="199"/>
      <c r="C286" s="199"/>
      <c r="D286" s="199"/>
      <c r="F286" s="199"/>
      <c r="G286" s="199"/>
      <c r="H286" s="199"/>
      <c r="I286" s="199"/>
    </row>
    <row r="287" customFormat="false" ht="12.75" hidden="false" customHeight="true" outlineLevel="0" collapsed="false">
      <c r="A287" s="199"/>
      <c r="B287" s="199"/>
      <c r="C287" s="199"/>
      <c r="D287" s="199"/>
      <c r="F287" s="199"/>
      <c r="G287" s="199"/>
      <c r="H287" s="199"/>
      <c r="I287" s="199"/>
    </row>
    <row r="288" customFormat="false" ht="12.75" hidden="false" customHeight="true" outlineLevel="0" collapsed="false">
      <c r="A288" s="199"/>
      <c r="B288" s="199"/>
      <c r="C288" s="199"/>
      <c r="D288" s="199"/>
      <c r="F288" s="199"/>
      <c r="G288" s="199"/>
      <c r="H288" s="199"/>
      <c r="I288" s="199"/>
    </row>
    <row r="289" customFormat="false" ht="12.75" hidden="false" customHeight="true" outlineLevel="0" collapsed="false">
      <c r="A289" s="199"/>
      <c r="B289" s="199"/>
      <c r="C289" s="199"/>
      <c r="D289" s="199"/>
      <c r="F289" s="199"/>
      <c r="G289" s="199"/>
      <c r="H289" s="199"/>
      <c r="I289" s="199"/>
    </row>
    <row r="290" customFormat="false" ht="12.75" hidden="false" customHeight="true" outlineLevel="0" collapsed="false">
      <c r="A290" s="199"/>
      <c r="B290" s="199"/>
      <c r="C290" s="199"/>
      <c r="D290" s="199"/>
      <c r="F290" s="199"/>
      <c r="G290" s="199"/>
      <c r="H290" s="199"/>
      <c r="I290" s="199"/>
    </row>
    <row r="291" customFormat="false" ht="12.75" hidden="false" customHeight="true" outlineLevel="0" collapsed="false">
      <c r="A291" s="199"/>
      <c r="B291" s="199"/>
      <c r="C291" s="199"/>
      <c r="D291" s="199"/>
      <c r="F291" s="199"/>
      <c r="G291" s="199"/>
      <c r="H291" s="199"/>
      <c r="I291" s="199"/>
    </row>
    <row r="292" customFormat="false" ht="12.75" hidden="false" customHeight="true" outlineLevel="0" collapsed="false">
      <c r="A292" s="199"/>
      <c r="B292" s="199"/>
      <c r="C292" s="199"/>
      <c r="D292" s="199"/>
      <c r="F292" s="199"/>
      <c r="G292" s="199"/>
      <c r="H292" s="199"/>
      <c r="I292" s="199"/>
    </row>
    <row r="293" customFormat="false" ht="12.75" hidden="false" customHeight="true" outlineLevel="0" collapsed="false">
      <c r="A293" s="199"/>
      <c r="B293" s="199"/>
      <c r="C293" s="199"/>
      <c r="D293" s="199"/>
      <c r="F293" s="199"/>
      <c r="G293" s="199"/>
      <c r="H293" s="199"/>
      <c r="I293" s="199"/>
    </row>
    <row r="294" customFormat="false" ht="12.75" hidden="false" customHeight="true" outlineLevel="0" collapsed="false">
      <c r="A294" s="199"/>
      <c r="B294" s="199"/>
      <c r="C294" s="199"/>
      <c r="D294" s="199"/>
      <c r="F294" s="199"/>
      <c r="G294" s="199"/>
      <c r="H294" s="199"/>
      <c r="I294" s="199"/>
    </row>
    <row r="295" customFormat="false" ht="12.75" hidden="false" customHeight="true" outlineLevel="0" collapsed="false">
      <c r="A295" s="199"/>
      <c r="B295" s="199"/>
      <c r="C295" s="199"/>
      <c r="D295" s="199"/>
      <c r="F295" s="199"/>
      <c r="G295" s="199"/>
      <c r="H295" s="199"/>
      <c r="I295" s="199"/>
    </row>
    <row r="296" customFormat="false" ht="12.75" hidden="false" customHeight="true" outlineLevel="0" collapsed="false">
      <c r="A296" s="199"/>
      <c r="B296" s="199"/>
      <c r="C296" s="199"/>
      <c r="D296" s="199"/>
      <c r="F296" s="199"/>
      <c r="G296" s="199"/>
      <c r="H296" s="199"/>
      <c r="I296" s="199"/>
    </row>
    <row r="297" customFormat="false" ht="12.75" hidden="false" customHeight="true" outlineLevel="0" collapsed="false">
      <c r="A297" s="199"/>
      <c r="B297" s="199"/>
      <c r="C297" s="199"/>
      <c r="D297" s="199"/>
      <c r="F297" s="199"/>
      <c r="G297" s="199"/>
      <c r="H297" s="199"/>
      <c r="I297" s="199"/>
    </row>
    <row r="298" customFormat="false" ht="12.75" hidden="false" customHeight="true" outlineLevel="0" collapsed="false">
      <c r="A298" s="199"/>
      <c r="B298" s="199"/>
      <c r="C298" s="199"/>
      <c r="D298" s="199"/>
      <c r="F298" s="199"/>
      <c r="G298" s="199"/>
      <c r="H298" s="199"/>
      <c r="I298" s="199"/>
    </row>
    <row r="299" customFormat="false" ht="12.75" hidden="false" customHeight="true" outlineLevel="0" collapsed="false">
      <c r="A299" s="199"/>
      <c r="B299" s="199"/>
      <c r="C299" s="199"/>
      <c r="D299" s="199"/>
      <c r="F299" s="199"/>
      <c r="G299" s="199"/>
      <c r="H299" s="199"/>
      <c r="I299" s="199"/>
    </row>
    <row r="300" customFormat="false" ht="12.75" hidden="false" customHeight="true" outlineLevel="0" collapsed="false">
      <c r="A300" s="199"/>
      <c r="B300" s="199"/>
      <c r="C300" s="199"/>
      <c r="D300" s="199"/>
      <c r="F300" s="199"/>
      <c r="G300" s="199"/>
      <c r="H300" s="199"/>
      <c r="I300" s="199"/>
    </row>
    <row r="301" customFormat="false" ht="12.75" hidden="false" customHeight="true" outlineLevel="0" collapsed="false">
      <c r="A301" s="199"/>
      <c r="B301" s="199"/>
      <c r="C301" s="199"/>
      <c r="D301" s="199"/>
      <c r="F301" s="199"/>
      <c r="G301" s="199"/>
      <c r="H301" s="199"/>
      <c r="I301" s="199"/>
    </row>
    <row r="302" customFormat="false" ht="12.75" hidden="false" customHeight="true" outlineLevel="0" collapsed="false">
      <c r="A302" s="199"/>
      <c r="B302" s="199"/>
      <c r="C302" s="199"/>
      <c r="D302" s="199"/>
      <c r="F302" s="199"/>
      <c r="G302" s="199"/>
      <c r="H302" s="199"/>
      <c r="I302" s="199"/>
    </row>
    <row r="303" customFormat="false" ht="12.75" hidden="false" customHeight="true" outlineLevel="0" collapsed="false">
      <c r="A303" s="199"/>
      <c r="B303" s="199"/>
      <c r="C303" s="199"/>
      <c r="D303" s="199"/>
      <c r="F303" s="199"/>
      <c r="G303" s="199"/>
      <c r="H303" s="199"/>
      <c r="I303" s="199"/>
    </row>
    <row r="304" customFormat="false" ht="12.75" hidden="false" customHeight="true" outlineLevel="0" collapsed="false">
      <c r="A304" s="199"/>
      <c r="B304" s="199"/>
      <c r="C304" s="199"/>
      <c r="D304" s="199"/>
      <c r="F304" s="199"/>
      <c r="G304" s="199"/>
      <c r="H304" s="199"/>
      <c r="I304" s="199"/>
    </row>
    <row r="305" customFormat="false" ht="12.75" hidden="false" customHeight="true" outlineLevel="0" collapsed="false">
      <c r="A305" s="199"/>
      <c r="B305" s="199"/>
      <c r="C305" s="199"/>
      <c r="D305" s="199"/>
      <c r="F305" s="199"/>
      <c r="G305" s="199"/>
      <c r="H305" s="199"/>
      <c r="I305" s="199"/>
    </row>
    <row r="306" customFormat="false" ht="12.75" hidden="false" customHeight="true" outlineLevel="0" collapsed="false">
      <c r="A306" s="199"/>
      <c r="B306" s="199"/>
      <c r="C306" s="199"/>
      <c r="D306" s="199"/>
      <c r="F306" s="199"/>
      <c r="G306" s="199"/>
      <c r="H306" s="199"/>
      <c r="I306" s="199"/>
    </row>
    <row r="307" customFormat="false" ht="12.75" hidden="false" customHeight="true" outlineLevel="0" collapsed="false">
      <c r="A307" s="199"/>
      <c r="B307" s="199"/>
      <c r="C307" s="199"/>
      <c r="D307" s="199"/>
      <c r="F307" s="199"/>
      <c r="G307" s="199"/>
      <c r="H307" s="199"/>
      <c r="I307" s="199"/>
    </row>
    <row r="308" customFormat="false" ht="12.75" hidden="false" customHeight="true" outlineLevel="0" collapsed="false">
      <c r="A308" s="199"/>
      <c r="B308" s="199"/>
      <c r="C308" s="199"/>
      <c r="D308" s="199"/>
      <c r="F308" s="199"/>
      <c r="G308" s="199"/>
      <c r="H308" s="199"/>
      <c r="I308" s="199"/>
    </row>
    <row r="309" customFormat="false" ht="12.75" hidden="false" customHeight="true" outlineLevel="0" collapsed="false">
      <c r="A309" s="199"/>
      <c r="B309" s="199"/>
      <c r="C309" s="199"/>
      <c r="D309" s="199"/>
      <c r="F309" s="199"/>
      <c r="G309" s="199"/>
      <c r="H309" s="199"/>
      <c r="I309" s="199"/>
    </row>
    <row r="310" customFormat="false" ht="12.75" hidden="false" customHeight="true" outlineLevel="0" collapsed="false">
      <c r="A310" s="199"/>
      <c r="B310" s="199"/>
      <c r="C310" s="199"/>
      <c r="D310" s="199"/>
      <c r="F310" s="199"/>
      <c r="G310" s="199"/>
      <c r="H310" s="199"/>
      <c r="I310" s="199"/>
    </row>
    <row r="311" customFormat="false" ht="12.75" hidden="false" customHeight="true" outlineLevel="0" collapsed="false">
      <c r="A311" s="199"/>
      <c r="B311" s="199"/>
      <c r="C311" s="199"/>
      <c r="D311" s="199"/>
      <c r="F311" s="199"/>
      <c r="G311" s="199"/>
      <c r="H311" s="199"/>
      <c r="I311" s="199"/>
    </row>
    <row r="312" customFormat="false" ht="12.75" hidden="false" customHeight="true" outlineLevel="0" collapsed="false">
      <c r="A312" s="199"/>
      <c r="B312" s="199"/>
      <c r="C312" s="199"/>
      <c r="D312" s="199"/>
      <c r="F312" s="199"/>
      <c r="G312" s="199"/>
      <c r="H312" s="199"/>
      <c r="I312" s="199"/>
    </row>
    <row r="313" customFormat="false" ht="12.75" hidden="false" customHeight="true" outlineLevel="0" collapsed="false">
      <c r="A313" s="199"/>
      <c r="B313" s="199"/>
      <c r="C313" s="199"/>
      <c r="D313" s="199"/>
      <c r="F313" s="199"/>
      <c r="G313" s="199"/>
      <c r="H313" s="199"/>
      <c r="I313" s="199"/>
    </row>
    <row r="314" customFormat="false" ht="12.75" hidden="false" customHeight="true" outlineLevel="0" collapsed="false">
      <c r="A314" s="199"/>
      <c r="B314" s="199"/>
      <c r="C314" s="199"/>
      <c r="D314" s="199"/>
      <c r="F314" s="199"/>
      <c r="G314" s="199"/>
      <c r="H314" s="199"/>
      <c r="I314" s="199"/>
    </row>
    <row r="315" customFormat="false" ht="12.75" hidden="false" customHeight="true" outlineLevel="0" collapsed="false">
      <c r="A315" s="199"/>
      <c r="B315" s="199"/>
      <c r="C315" s="199"/>
      <c r="D315" s="199"/>
      <c r="F315" s="199"/>
      <c r="G315" s="199"/>
      <c r="H315" s="199"/>
      <c r="I315" s="199"/>
    </row>
    <row r="316" customFormat="false" ht="12.75" hidden="false" customHeight="true" outlineLevel="0" collapsed="false">
      <c r="A316" s="199"/>
      <c r="B316" s="199"/>
      <c r="C316" s="199"/>
      <c r="D316" s="199"/>
      <c r="F316" s="199"/>
      <c r="G316" s="199"/>
      <c r="H316" s="199"/>
      <c r="I316" s="199"/>
    </row>
    <row r="317" customFormat="false" ht="12.75" hidden="false" customHeight="true" outlineLevel="0" collapsed="false">
      <c r="A317" s="199"/>
      <c r="B317" s="199"/>
      <c r="C317" s="199"/>
      <c r="D317" s="199"/>
      <c r="F317" s="199"/>
      <c r="G317" s="199"/>
      <c r="H317" s="199"/>
      <c r="I317" s="199"/>
    </row>
    <row r="318" customFormat="false" ht="12.75" hidden="false" customHeight="true" outlineLevel="0" collapsed="false">
      <c r="A318" s="199"/>
      <c r="B318" s="199"/>
      <c r="C318" s="199"/>
      <c r="D318" s="199"/>
      <c r="F318" s="199"/>
      <c r="G318" s="199"/>
      <c r="H318" s="199"/>
      <c r="I318" s="199"/>
    </row>
    <row r="319" customFormat="false" ht="12.75" hidden="false" customHeight="true" outlineLevel="0" collapsed="false">
      <c r="A319" s="199"/>
      <c r="B319" s="199"/>
      <c r="C319" s="199"/>
      <c r="D319" s="199"/>
      <c r="F319" s="199"/>
      <c r="G319" s="199"/>
      <c r="H319" s="199"/>
      <c r="I319" s="199"/>
    </row>
    <row r="320" customFormat="false" ht="12.75" hidden="false" customHeight="true" outlineLevel="0" collapsed="false">
      <c r="A320" s="199"/>
      <c r="B320" s="199"/>
      <c r="C320" s="199"/>
      <c r="D320" s="199"/>
      <c r="F320" s="199"/>
      <c r="G320" s="199"/>
      <c r="H320" s="199"/>
      <c r="I320" s="199"/>
    </row>
    <row r="321" customFormat="false" ht="12.75" hidden="false" customHeight="true" outlineLevel="0" collapsed="false">
      <c r="A321" s="199"/>
      <c r="B321" s="199"/>
      <c r="C321" s="199"/>
      <c r="D321" s="199"/>
      <c r="F321" s="199"/>
      <c r="G321" s="199"/>
      <c r="H321" s="199"/>
      <c r="I321" s="199"/>
    </row>
    <row r="322" customFormat="false" ht="12.75" hidden="false" customHeight="true" outlineLevel="0" collapsed="false">
      <c r="A322" s="199"/>
      <c r="B322" s="199"/>
      <c r="C322" s="199"/>
      <c r="D322" s="199"/>
      <c r="F322" s="199"/>
      <c r="G322" s="199"/>
      <c r="H322" s="199"/>
      <c r="I322" s="199"/>
    </row>
    <row r="323" customFormat="false" ht="12.75" hidden="false" customHeight="true" outlineLevel="0" collapsed="false">
      <c r="A323" s="199"/>
      <c r="B323" s="199"/>
      <c r="C323" s="199"/>
      <c r="D323" s="199"/>
      <c r="F323" s="199"/>
      <c r="G323" s="199"/>
      <c r="H323" s="199"/>
      <c r="I323" s="199"/>
    </row>
    <row r="324" customFormat="false" ht="12.75" hidden="false" customHeight="true" outlineLevel="0" collapsed="false">
      <c r="A324" s="199"/>
      <c r="B324" s="199"/>
      <c r="C324" s="199"/>
      <c r="D324" s="199"/>
      <c r="F324" s="199"/>
      <c r="G324" s="199"/>
      <c r="H324" s="199"/>
      <c r="I324" s="199"/>
    </row>
    <row r="325" customFormat="false" ht="12.75" hidden="false" customHeight="true" outlineLevel="0" collapsed="false">
      <c r="A325" s="199"/>
      <c r="B325" s="199"/>
      <c r="C325" s="199"/>
      <c r="D325" s="199"/>
      <c r="F325" s="199"/>
      <c r="G325" s="199"/>
      <c r="H325" s="199"/>
      <c r="I325" s="199"/>
    </row>
    <row r="326" customFormat="false" ht="12.75" hidden="false" customHeight="true" outlineLevel="0" collapsed="false">
      <c r="A326" s="199"/>
      <c r="B326" s="199"/>
      <c r="C326" s="199"/>
      <c r="D326" s="199"/>
      <c r="F326" s="199"/>
      <c r="G326" s="199"/>
      <c r="H326" s="199"/>
      <c r="I326" s="199"/>
    </row>
    <row r="327" customFormat="false" ht="12.75" hidden="false" customHeight="true" outlineLevel="0" collapsed="false">
      <c r="A327" s="199"/>
      <c r="B327" s="199"/>
      <c r="C327" s="199"/>
      <c r="D327" s="199"/>
      <c r="F327" s="199"/>
      <c r="G327" s="199"/>
      <c r="H327" s="199"/>
      <c r="I327" s="199"/>
    </row>
    <row r="328" customFormat="false" ht="12.75" hidden="false" customHeight="true" outlineLevel="0" collapsed="false">
      <c r="A328" s="199"/>
      <c r="B328" s="199"/>
      <c r="C328" s="199"/>
      <c r="D328" s="199"/>
      <c r="F328" s="199"/>
      <c r="G328" s="199"/>
      <c r="H328" s="199"/>
      <c r="I328" s="199"/>
    </row>
    <row r="329" customFormat="false" ht="12.75" hidden="false" customHeight="true" outlineLevel="0" collapsed="false">
      <c r="A329" s="199"/>
      <c r="B329" s="199"/>
      <c r="C329" s="199"/>
      <c r="D329" s="199"/>
      <c r="F329" s="199"/>
      <c r="G329" s="199"/>
      <c r="H329" s="199"/>
      <c r="I329" s="199"/>
    </row>
    <row r="330" customFormat="false" ht="12.75" hidden="false" customHeight="true" outlineLevel="0" collapsed="false">
      <c r="A330" s="199"/>
      <c r="B330" s="199"/>
      <c r="C330" s="199"/>
      <c r="D330" s="199"/>
      <c r="F330" s="199"/>
      <c r="G330" s="199"/>
      <c r="H330" s="199"/>
      <c r="I330" s="199"/>
    </row>
    <row r="331" customFormat="false" ht="12.75" hidden="false" customHeight="true" outlineLevel="0" collapsed="false">
      <c r="A331" s="199"/>
      <c r="B331" s="199"/>
      <c r="C331" s="199"/>
      <c r="D331" s="199"/>
      <c r="F331" s="199"/>
      <c r="G331" s="199"/>
      <c r="H331" s="199"/>
      <c r="I331" s="199"/>
    </row>
    <row r="332" customFormat="false" ht="12.75" hidden="false" customHeight="true" outlineLevel="0" collapsed="false">
      <c r="A332" s="199"/>
      <c r="B332" s="199"/>
      <c r="C332" s="199"/>
      <c r="D332" s="199"/>
      <c r="F332" s="199"/>
      <c r="G332" s="199"/>
      <c r="H332" s="199"/>
      <c r="I332" s="199"/>
    </row>
    <row r="333" customFormat="false" ht="12.75" hidden="false" customHeight="true" outlineLevel="0" collapsed="false">
      <c r="A333" s="199"/>
      <c r="B333" s="199"/>
      <c r="C333" s="199"/>
      <c r="D333" s="199"/>
      <c r="F333" s="199"/>
      <c r="G333" s="199"/>
      <c r="H333" s="199"/>
      <c r="I333" s="199"/>
    </row>
    <row r="334" customFormat="false" ht="12.75" hidden="false" customHeight="true" outlineLevel="0" collapsed="false">
      <c r="A334" s="199"/>
      <c r="B334" s="199"/>
      <c r="C334" s="199"/>
      <c r="D334" s="199"/>
      <c r="F334" s="199"/>
      <c r="G334" s="199"/>
      <c r="H334" s="199"/>
      <c r="I334" s="199"/>
    </row>
    <row r="335" customFormat="false" ht="12.75" hidden="false" customHeight="true" outlineLevel="0" collapsed="false">
      <c r="A335" s="199"/>
      <c r="B335" s="199"/>
      <c r="C335" s="199"/>
      <c r="D335" s="199"/>
      <c r="F335" s="199"/>
      <c r="G335" s="199"/>
      <c r="H335" s="199"/>
      <c r="I335" s="199"/>
    </row>
    <row r="336" customFormat="false" ht="12.75" hidden="false" customHeight="true" outlineLevel="0" collapsed="false">
      <c r="A336" s="199"/>
      <c r="B336" s="199"/>
      <c r="C336" s="199"/>
      <c r="D336" s="199"/>
      <c r="F336" s="199"/>
      <c r="G336" s="199"/>
      <c r="H336" s="199"/>
      <c r="I336" s="199"/>
    </row>
    <row r="337" customFormat="false" ht="12.75" hidden="false" customHeight="true" outlineLevel="0" collapsed="false">
      <c r="A337" s="199"/>
      <c r="B337" s="199"/>
      <c r="C337" s="199"/>
      <c r="D337" s="199"/>
      <c r="F337" s="199"/>
      <c r="G337" s="199"/>
      <c r="H337" s="199"/>
      <c r="I337" s="199"/>
    </row>
    <row r="338" customFormat="false" ht="12.75" hidden="false" customHeight="true" outlineLevel="0" collapsed="false">
      <c r="A338" s="199"/>
      <c r="B338" s="199"/>
      <c r="C338" s="199"/>
      <c r="D338" s="199"/>
      <c r="F338" s="199"/>
      <c r="G338" s="199"/>
      <c r="H338" s="199"/>
      <c r="I338" s="199"/>
    </row>
    <row r="339" customFormat="false" ht="12.75" hidden="false" customHeight="true" outlineLevel="0" collapsed="false">
      <c r="A339" s="199"/>
      <c r="B339" s="199"/>
      <c r="C339" s="199"/>
      <c r="D339" s="199"/>
      <c r="F339" s="199"/>
      <c r="G339" s="199"/>
      <c r="H339" s="199"/>
      <c r="I339" s="199"/>
    </row>
    <row r="340" customFormat="false" ht="12.75" hidden="false" customHeight="true" outlineLevel="0" collapsed="false">
      <c r="A340" s="199"/>
      <c r="B340" s="199"/>
      <c r="C340" s="199"/>
      <c r="D340" s="199"/>
      <c r="F340" s="199"/>
      <c r="G340" s="199"/>
      <c r="H340" s="199"/>
      <c r="I340" s="199"/>
    </row>
    <row r="341" customFormat="false" ht="12.75" hidden="false" customHeight="true" outlineLevel="0" collapsed="false">
      <c r="A341" s="199"/>
      <c r="B341" s="199"/>
      <c r="C341" s="199"/>
      <c r="D341" s="199"/>
      <c r="F341" s="199"/>
      <c r="G341" s="199"/>
      <c r="H341" s="199"/>
      <c r="I341" s="199"/>
    </row>
    <row r="342" customFormat="false" ht="12.75" hidden="false" customHeight="true" outlineLevel="0" collapsed="false">
      <c r="A342" s="199"/>
      <c r="B342" s="199"/>
      <c r="C342" s="199"/>
      <c r="D342" s="199"/>
      <c r="F342" s="199"/>
      <c r="G342" s="199"/>
      <c r="H342" s="199"/>
      <c r="I342" s="199"/>
    </row>
    <row r="343" customFormat="false" ht="12.75" hidden="false" customHeight="true" outlineLevel="0" collapsed="false">
      <c r="A343" s="199"/>
      <c r="B343" s="199"/>
      <c r="C343" s="199"/>
      <c r="D343" s="199"/>
      <c r="F343" s="199"/>
      <c r="G343" s="199"/>
      <c r="H343" s="199"/>
      <c r="I343" s="199"/>
    </row>
    <row r="344" customFormat="false" ht="12.75" hidden="false" customHeight="true" outlineLevel="0" collapsed="false">
      <c r="A344" s="199"/>
      <c r="B344" s="199"/>
      <c r="C344" s="199"/>
      <c r="D344" s="199"/>
      <c r="F344" s="199"/>
      <c r="G344" s="199"/>
      <c r="H344" s="199"/>
      <c r="I344" s="199"/>
    </row>
    <row r="345" customFormat="false" ht="12.75" hidden="false" customHeight="true" outlineLevel="0" collapsed="false">
      <c r="A345" s="199"/>
      <c r="B345" s="199"/>
      <c r="C345" s="199"/>
      <c r="D345" s="199"/>
      <c r="F345" s="199"/>
      <c r="G345" s="199"/>
      <c r="H345" s="199"/>
      <c r="I345" s="199"/>
    </row>
    <row r="346" customFormat="false" ht="12.75" hidden="false" customHeight="true" outlineLevel="0" collapsed="false">
      <c r="A346" s="199"/>
      <c r="B346" s="199"/>
      <c r="C346" s="199"/>
      <c r="D346" s="199"/>
      <c r="F346" s="199"/>
      <c r="G346" s="199"/>
      <c r="H346" s="199"/>
      <c r="I346" s="199"/>
    </row>
    <row r="347" customFormat="false" ht="12.75" hidden="false" customHeight="true" outlineLevel="0" collapsed="false">
      <c r="A347" s="199"/>
      <c r="B347" s="199"/>
      <c r="C347" s="199"/>
      <c r="D347" s="199"/>
      <c r="F347" s="199"/>
      <c r="G347" s="199"/>
      <c r="H347" s="199"/>
      <c r="I347" s="199"/>
    </row>
    <row r="348" customFormat="false" ht="12.75" hidden="false" customHeight="true" outlineLevel="0" collapsed="false">
      <c r="A348" s="199"/>
      <c r="B348" s="199"/>
      <c r="C348" s="199"/>
      <c r="D348" s="199"/>
      <c r="F348" s="199"/>
      <c r="G348" s="199"/>
      <c r="H348" s="199"/>
      <c r="I348" s="199"/>
    </row>
    <row r="349" customFormat="false" ht="12.75" hidden="false" customHeight="true" outlineLevel="0" collapsed="false">
      <c r="A349" s="199"/>
      <c r="B349" s="199"/>
      <c r="C349" s="199"/>
      <c r="D349" s="199"/>
      <c r="F349" s="199"/>
      <c r="G349" s="199"/>
      <c r="H349" s="199"/>
      <c r="I349" s="199"/>
    </row>
    <row r="350" customFormat="false" ht="12.75" hidden="false" customHeight="true" outlineLevel="0" collapsed="false">
      <c r="A350" s="199"/>
      <c r="B350" s="199"/>
      <c r="C350" s="199"/>
      <c r="D350" s="199"/>
      <c r="F350" s="199"/>
      <c r="G350" s="199"/>
      <c r="H350" s="199"/>
      <c r="I350" s="199"/>
    </row>
    <row r="351" customFormat="false" ht="12.75" hidden="false" customHeight="true" outlineLevel="0" collapsed="false">
      <c r="A351" s="199"/>
      <c r="B351" s="199"/>
      <c r="C351" s="199"/>
      <c r="D351" s="199"/>
      <c r="F351" s="199"/>
      <c r="G351" s="199"/>
      <c r="H351" s="199"/>
      <c r="I351" s="199"/>
    </row>
    <row r="352" customFormat="false" ht="12.75" hidden="false" customHeight="true" outlineLevel="0" collapsed="false">
      <c r="A352" s="199"/>
      <c r="B352" s="199"/>
      <c r="C352" s="199"/>
      <c r="D352" s="199"/>
      <c r="F352" s="199"/>
      <c r="G352" s="199"/>
      <c r="H352" s="199"/>
      <c r="I352" s="199"/>
    </row>
    <row r="353" customFormat="false" ht="12.75" hidden="false" customHeight="true" outlineLevel="0" collapsed="false">
      <c r="A353" s="199"/>
      <c r="B353" s="199"/>
      <c r="C353" s="199"/>
      <c r="D353" s="199"/>
      <c r="F353" s="199"/>
      <c r="G353" s="199"/>
      <c r="H353" s="199"/>
      <c r="I353" s="199"/>
    </row>
    <row r="354" customFormat="false" ht="12.75" hidden="false" customHeight="true" outlineLevel="0" collapsed="false">
      <c r="A354" s="199"/>
      <c r="B354" s="199"/>
      <c r="C354" s="199"/>
      <c r="D354" s="199"/>
      <c r="F354" s="199"/>
      <c r="G354" s="199"/>
      <c r="H354" s="199"/>
      <c r="I354" s="199"/>
    </row>
    <row r="355" customFormat="false" ht="12.75" hidden="false" customHeight="true" outlineLevel="0" collapsed="false">
      <c r="A355" s="199"/>
      <c r="B355" s="199"/>
      <c r="C355" s="199"/>
      <c r="D355" s="199"/>
      <c r="F355" s="199"/>
      <c r="G355" s="199"/>
      <c r="H355" s="199"/>
      <c r="I355" s="199"/>
    </row>
    <row r="356" customFormat="false" ht="12.75" hidden="false" customHeight="true" outlineLevel="0" collapsed="false">
      <c r="A356" s="199"/>
      <c r="B356" s="199"/>
      <c r="C356" s="199"/>
      <c r="D356" s="199"/>
      <c r="F356" s="199"/>
      <c r="G356" s="199"/>
      <c r="H356" s="199"/>
      <c r="I356" s="199"/>
    </row>
    <row r="357" customFormat="false" ht="12.75" hidden="false" customHeight="true" outlineLevel="0" collapsed="false">
      <c r="A357" s="199"/>
      <c r="B357" s="199"/>
      <c r="C357" s="199"/>
      <c r="D357" s="199"/>
      <c r="F357" s="199"/>
      <c r="G357" s="199"/>
      <c r="H357" s="199"/>
      <c r="I357" s="199"/>
    </row>
    <row r="358" customFormat="false" ht="12.75" hidden="false" customHeight="true" outlineLevel="0" collapsed="false">
      <c r="A358" s="199"/>
      <c r="B358" s="199"/>
      <c r="C358" s="199"/>
      <c r="D358" s="199"/>
      <c r="F358" s="199"/>
      <c r="G358" s="199"/>
      <c r="H358" s="199"/>
      <c r="I358" s="199"/>
    </row>
    <row r="359" customFormat="false" ht="12.75" hidden="false" customHeight="true" outlineLevel="0" collapsed="false">
      <c r="A359" s="199"/>
      <c r="B359" s="199"/>
      <c r="C359" s="199"/>
      <c r="D359" s="199"/>
      <c r="F359" s="199"/>
      <c r="G359" s="199"/>
      <c r="H359" s="199"/>
      <c r="I359" s="199"/>
    </row>
    <row r="360" customFormat="false" ht="12.75" hidden="false" customHeight="true" outlineLevel="0" collapsed="false">
      <c r="A360" s="199"/>
      <c r="B360" s="199"/>
      <c r="C360" s="199"/>
      <c r="D360" s="199"/>
      <c r="F360" s="199"/>
      <c r="G360" s="199"/>
      <c r="H360" s="199"/>
      <c r="I360" s="199"/>
    </row>
    <row r="361" customFormat="false" ht="12.75" hidden="false" customHeight="true" outlineLevel="0" collapsed="false">
      <c r="A361" s="199"/>
      <c r="B361" s="199"/>
      <c r="C361" s="199"/>
      <c r="D361" s="199"/>
      <c r="F361" s="199"/>
      <c r="G361" s="199"/>
      <c r="H361" s="199"/>
      <c r="I361" s="199"/>
    </row>
    <row r="362" customFormat="false" ht="12.75" hidden="false" customHeight="true" outlineLevel="0" collapsed="false">
      <c r="A362" s="199"/>
      <c r="B362" s="199"/>
      <c r="C362" s="199"/>
      <c r="D362" s="199"/>
      <c r="F362" s="199"/>
      <c r="G362" s="199"/>
      <c r="H362" s="199"/>
      <c r="I362" s="199"/>
    </row>
    <row r="363" customFormat="false" ht="12.75" hidden="false" customHeight="true" outlineLevel="0" collapsed="false">
      <c r="A363" s="199"/>
      <c r="B363" s="199"/>
      <c r="C363" s="199"/>
      <c r="D363" s="199"/>
      <c r="F363" s="199"/>
      <c r="G363" s="199"/>
      <c r="H363" s="199"/>
      <c r="I363" s="199"/>
    </row>
    <row r="364" customFormat="false" ht="12.75" hidden="false" customHeight="true" outlineLevel="0" collapsed="false">
      <c r="A364" s="199"/>
      <c r="B364" s="199"/>
      <c r="C364" s="199"/>
      <c r="D364" s="199"/>
      <c r="F364" s="199"/>
      <c r="G364" s="199"/>
      <c r="H364" s="199"/>
      <c r="I364" s="199"/>
    </row>
    <row r="365" customFormat="false" ht="12.75" hidden="false" customHeight="true" outlineLevel="0" collapsed="false">
      <c r="A365" s="199"/>
      <c r="B365" s="199"/>
      <c r="C365" s="199"/>
      <c r="D365" s="199"/>
      <c r="F365" s="199"/>
      <c r="G365" s="199"/>
      <c r="H365" s="199"/>
      <c r="I365" s="199"/>
    </row>
    <row r="366" customFormat="false" ht="12.75" hidden="false" customHeight="true" outlineLevel="0" collapsed="false">
      <c r="A366" s="199"/>
      <c r="B366" s="199"/>
      <c r="C366" s="199"/>
      <c r="D366" s="199"/>
      <c r="F366" s="199"/>
      <c r="G366" s="199"/>
      <c r="H366" s="199"/>
      <c r="I366" s="199"/>
    </row>
    <row r="367" customFormat="false" ht="12.75" hidden="false" customHeight="true" outlineLevel="0" collapsed="false">
      <c r="A367" s="199"/>
      <c r="B367" s="199"/>
      <c r="C367" s="199"/>
      <c r="D367" s="199"/>
      <c r="F367" s="199"/>
      <c r="G367" s="199"/>
      <c r="H367" s="199"/>
      <c r="I367" s="199"/>
    </row>
    <row r="368" customFormat="false" ht="12.75" hidden="false" customHeight="true" outlineLevel="0" collapsed="false">
      <c r="A368" s="199"/>
      <c r="B368" s="199"/>
      <c r="C368" s="199"/>
      <c r="D368" s="199"/>
      <c r="F368" s="199"/>
      <c r="G368" s="199"/>
      <c r="H368" s="199"/>
      <c r="I368" s="199"/>
    </row>
    <row r="369" customFormat="false" ht="12.75" hidden="false" customHeight="true" outlineLevel="0" collapsed="false">
      <c r="A369" s="199"/>
      <c r="B369" s="199"/>
      <c r="C369" s="199"/>
      <c r="D369" s="199"/>
      <c r="F369" s="199"/>
      <c r="G369" s="199"/>
      <c r="H369" s="199"/>
      <c r="I369" s="199"/>
    </row>
    <row r="370" customFormat="false" ht="12.75" hidden="false" customHeight="true" outlineLevel="0" collapsed="false">
      <c r="A370" s="199"/>
      <c r="B370" s="199"/>
      <c r="C370" s="199"/>
      <c r="D370" s="199"/>
      <c r="F370" s="199"/>
      <c r="G370" s="199"/>
      <c r="H370" s="199"/>
      <c r="I370" s="199"/>
    </row>
    <row r="371" customFormat="false" ht="12.75" hidden="false" customHeight="true" outlineLevel="0" collapsed="false">
      <c r="A371" s="199"/>
      <c r="B371" s="199"/>
      <c r="C371" s="199"/>
      <c r="D371" s="199"/>
      <c r="F371" s="199"/>
      <c r="G371" s="199"/>
      <c r="H371" s="199"/>
      <c r="I371" s="199"/>
    </row>
    <row r="372" customFormat="false" ht="12.75" hidden="false" customHeight="true" outlineLevel="0" collapsed="false">
      <c r="A372" s="199"/>
      <c r="B372" s="199"/>
      <c r="C372" s="199"/>
      <c r="D372" s="199"/>
      <c r="F372" s="199"/>
      <c r="G372" s="199"/>
      <c r="H372" s="199"/>
      <c r="I372" s="199"/>
    </row>
    <row r="373" customFormat="false" ht="12.75" hidden="false" customHeight="true" outlineLevel="0" collapsed="false">
      <c r="A373" s="199"/>
      <c r="B373" s="199"/>
      <c r="C373" s="199"/>
      <c r="D373" s="199"/>
      <c r="F373" s="199"/>
      <c r="G373" s="199"/>
      <c r="H373" s="199"/>
      <c r="I373" s="199"/>
    </row>
    <row r="374" customFormat="false" ht="12.75" hidden="false" customHeight="true" outlineLevel="0" collapsed="false">
      <c r="A374" s="199"/>
      <c r="B374" s="199"/>
      <c r="C374" s="199"/>
      <c r="D374" s="199"/>
      <c r="F374" s="199"/>
      <c r="G374" s="199"/>
      <c r="H374" s="199"/>
      <c r="I374" s="199"/>
    </row>
    <row r="375" customFormat="false" ht="12.75" hidden="false" customHeight="true" outlineLevel="0" collapsed="false">
      <c r="A375" s="199"/>
      <c r="B375" s="199"/>
      <c r="C375" s="199"/>
      <c r="D375" s="199"/>
      <c r="F375" s="199"/>
      <c r="G375" s="199"/>
      <c r="H375" s="199"/>
      <c r="I375" s="199"/>
    </row>
    <row r="376" customFormat="false" ht="12.75" hidden="false" customHeight="true" outlineLevel="0" collapsed="false">
      <c r="A376" s="199"/>
      <c r="B376" s="199"/>
      <c r="C376" s="199"/>
      <c r="D376" s="199"/>
      <c r="F376" s="199"/>
      <c r="G376" s="199"/>
      <c r="H376" s="199"/>
      <c r="I376" s="199"/>
    </row>
    <row r="377" customFormat="false" ht="12.75" hidden="false" customHeight="true" outlineLevel="0" collapsed="false">
      <c r="A377" s="199"/>
      <c r="B377" s="199"/>
      <c r="C377" s="199"/>
      <c r="D377" s="199"/>
      <c r="F377" s="199"/>
      <c r="G377" s="199"/>
      <c r="H377" s="199"/>
      <c r="I377" s="199"/>
    </row>
    <row r="378" customFormat="false" ht="12.75" hidden="false" customHeight="true" outlineLevel="0" collapsed="false">
      <c r="A378" s="199"/>
      <c r="B378" s="199"/>
      <c r="C378" s="199"/>
      <c r="D378" s="199"/>
      <c r="F378" s="199"/>
      <c r="G378" s="199"/>
      <c r="H378" s="199"/>
      <c r="I378" s="199"/>
    </row>
    <row r="379" customFormat="false" ht="12.75" hidden="false" customHeight="true" outlineLevel="0" collapsed="false">
      <c r="A379" s="199"/>
      <c r="B379" s="199"/>
      <c r="C379" s="199"/>
      <c r="D379" s="199"/>
      <c r="F379" s="199"/>
      <c r="G379" s="199"/>
      <c r="H379" s="199"/>
      <c r="I379" s="199"/>
    </row>
    <row r="380" customFormat="false" ht="12.75" hidden="false" customHeight="true" outlineLevel="0" collapsed="false">
      <c r="A380" s="199"/>
      <c r="B380" s="199"/>
      <c r="C380" s="199"/>
      <c r="D380" s="199"/>
      <c r="F380" s="199"/>
      <c r="G380" s="199"/>
      <c r="H380" s="199"/>
      <c r="I380" s="199"/>
    </row>
    <row r="381" customFormat="false" ht="12.75" hidden="false" customHeight="true" outlineLevel="0" collapsed="false">
      <c r="A381" s="199"/>
      <c r="B381" s="199"/>
      <c r="C381" s="199"/>
      <c r="D381" s="199"/>
      <c r="F381" s="199"/>
      <c r="G381" s="199"/>
      <c r="H381" s="199"/>
      <c r="I381" s="199"/>
    </row>
    <row r="382" customFormat="false" ht="12.75" hidden="false" customHeight="true" outlineLevel="0" collapsed="false">
      <c r="A382" s="199"/>
      <c r="B382" s="199"/>
      <c r="C382" s="199"/>
      <c r="D382" s="199"/>
      <c r="F382" s="199"/>
      <c r="G382" s="199"/>
      <c r="H382" s="199"/>
      <c r="I382" s="199"/>
    </row>
    <row r="383" customFormat="false" ht="12.75" hidden="false" customHeight="true" outlineLevel="0" collapsed="false">
      <c r="A383" s="199"/>
      <c r="B383" s="199"/>
      <c r="C383" s="199"/>
      <c r="D383" s="199"/>
      <c r="F383" s="199"/>
      <c r="G383" s="199"/>
      <c r="H383" s="199"/>
      <c r="I383" s="199"/>
    </row>
    <row r="384" customFormat="false" ht="12.75" hidden="false" customHeight="true" outlineLevel="0" collapsed="false">
      <c r="A384" s="199"/>
      <c r="B384" s="199"/>
      <c r="C384" s="199"/>
      <c r="D384" s="199"/>
      <c r="F384" s="199"/>
      <c r="G384" s="199"/>
      <c r="H384" s="199"/>
      <c r="I384" s="199"/>
    </row>
    <row r="385" customFormat="false" ht="12.75" hidden="false" customHeight="true" outlineLevel="0" collapsed="false">
      <c r="A385" s="199"/>
      <c r="B385" s="199"/>
      <c r="C385" s="199"/>
      <c r="D385" s="199"/>
      <c r="F385" s="199"/>
      <c r="G385" s="199"/>
      <c r="H385" s="199"/>
      <c r="I385" s="199"/>
    </row>
    <row r="386" customFormat="false" ht="12.75" hidden="false" customHeight="true" outlineLevel="0" collapsed="false">
      <c r="A386" s="199"/>
      <c r="B386" s="199"/>
      <c r="C386" s="199"/>
      <c r="D386" s="199"/>
      <c r="F386" s="199"/>
      <c r="G386" s="199"/>
      <c r="H386" s="199"/>
      <c r="I386" s="199"/>
    </row>
    <row r="387" customFormat="false" ht="12.75" hidden="false" customHeight="true" outlineLevel="0" collapsed="false">
      <c r="A387" s="199"/>
      <c r="B387" s="199"/>
      <c r="C387" s="199"/>
      <c r="D387" s="199"/>
      <c r="F387" s="199"/>
      <c r="G387" s="199"/>
      <c r="H387" s="199"/>
      <c r="I387" s="199"/>
    </row>
    <row r="388" customFormat="false" ht="12.75" hidden="false" customHeight="true" outlineLevel="0" collapsed="false">
      <c r="A388" s="199"/>
      <c r="B388" s="199"/>
      <c r="C388" s="199"/>
      <c r="D388" s="199"/>
      <c r="F388" s="199"/>
      <c r="G388" s="199"/>
      <c r="H388" s="199"/>
      <c r="I388" s="199"/>
    </row>
    <row r="389" customFormat="false" ht="12.75" hidden="false" customHeight="true" outlineLevel="0" collapsed="false">
      <c r="A389" s="199"/>
      <c r="B389" s="199"/>
      <c r="C389" s="199"/>
      <c r="D389" s="199"/>
      <c r="F389" s="199"/>
      <c r="G389" s="199"/>
      <c r="H389" s="199"/>
      <c r="I389" s="199"/>
    </row>
    <row r="390" customFormat="false" ht="12.75" hidden="false" customHeight="true" outlineLevel="0" collapsed="false">
      <c r="A390" s="199"/>
      <c r="B390" s="199"/>
      <c r="C390" s="199"/>
      <c r="D390" s="199"/>
      <c r="F390" s="199"/>
      <c r="G390" s="199"/>
      <c r="H390" s="199"/>
      <c r="I390" s="199"/>
    </row>
    <row r="391" customFormat="false" ht="12.75" hidden="false" customHeight="true" outlineLevel="0" collapsed="false">
      <c r="A391" s="199"/>
      <c r="B391" s="199"/>
      <c r="C391" s="199"/>
      <c r="D391" s="199"/>
      <c r="F391" s="199"/>
      <c r="G391" s="199"/>
      <c r="H391" s="199"/>
      <c r="I391" s="199"/>
    </row>
    <row r="392" customFormat="false" ht="12.75" hidden="false" customHeight="true" outlineLevel="0" collapsed="false">
      <c r="A392" s="199"/>
      <c r="B392" s="199"/>
      <c r="C392" s="199"/>
      <c r="D392" s="199"/>
      <c r="F392" s="199"/>
      <c r="G392" s="199"/>
      <c r="H392" s="199"/>
      <c r="I392" s="199"/>
    </row>
    <row r="393" customFormat="false" ht="12.75" hidden="false" customHeight="true" outlineLevel="0" collapsed="false">
      <c r="A393" s="199"/>
      <c r="B393" s="199"/>
      <c r="C393" s="199"/>
      <c r="D393" s="199"/>
      <c r="F393" s="199"/>
      <c r="G393" s="199"/>
      <c r="H393" s="199"/>
      <c r="I393" s="199"/>
    </row>
    <row r="394" customFormat="false" ht="12.75" hidden="false" customHeight="true" outlineLevel="0" collapsed="false">
      <c r="A394" s="199"/>
      <c r="B394" s="199"/>
      <c r="C394" s="199"/>
      <c r="D394" s="199"/>
      <c r="F394" s="199"/>
      <c r="G394" s="199"/>
      <c r="H394" s="199"/>
      <c r="I394" s="199"/>
    </row>
    <row r="395" customFormat="false" ht="12.75" hidden="false" customHeight="true" outlineLevel="0" collapsed="false">
      <c r="A395" s="199"/>
      <c r="B395" s="199"/>
      <c r="C395" s="199"/>
      <c r="D395" s="199"/>
      <c r="F395" s="199"/>
      <c r="G395" s="199"/>
      <c r="H395" s="199"/>
      <c r="I395" s="199"/>
    </row>
    <row r="396" customFormat="false" ht="12.75" hidden="false" customHeight="true" outlineLevel="0" collapsed="false">
      <c r="A396" s="199"/>
      <c r="B396" s="199"/>
      <c r="C396" s="199"/>
      <c r="D396" s="199"/>
      <c r="F396" s="199"/>
      <c r="G396" s="199"/>
      <c r="H396" s="199"/>
      <c r="I396" s="199"/>
    </row>
    <row r="397" customFormat="false" ht="12.75" hidden="false" customHeight="true" outlineLevel="0" collapsed="false">
      <c r="A397" s="199"/>
      <c r="B397" s="199"/>
      <c r="C397" s="199"/>
      <c r="D397" s="199"/>
      <c r="F397" s="199"/>
      <c r="G397" s="199"/>
      <c r="H397" s="199"/>
      <c r="I397" s="199"/>
    </row>
    <row r="398" customFormat="false" ht="12.75" hidden="false" customHeight="true" outlineLevel="0" collapsed="false">
      <c r="A398" s="199"/>
      <c r="B398" s="199"/>
      <c r="C398" s="199"/>
      <c r="D398" s="199"/>
      <c r="F398" s="199"/>
      <c r="G398" s="199"/>
      <c r="H398" s="199"/>
      <c r="I398" s="199"/>
    </row>
    <row r="399" customFormat="false" ht="12.75" hidden="false" customHeight="true" outlineLevel="0" collapsed="false">
      <c r="A399" s="199"/>
      <c r="B399" s="199"/>
      <c r="C399" s="199"/>
      <c r="D399" s="199"/>
      <c r="F399" s="199"/>
      <c r="G399" s="199"/>
      <c r="H399" s="199"/>
      <c r="I399" s="199"/>
    </row>
    <row r="400" customFormat="false" ht="12.75" hidden="false" customHeight="true" outlineLevel="0" collapsed="false">
      <c r="A400" s="199"/>
      <c r="B400" s="199"/>
      <c r="C400" s="199"/>
      <c r="D400" s="199"/>
      <c r="F400" s="199"/>
      <c r="G400" s="199"/>
      <c r="H400" s="199"/>
      <c r="I400" s="199"/>
    </row>
    <row r="401" customFormat="false" ht="12.75" hidden="false" customHeight="true" outlineLevel="0" collapsed="false">
      <c r="A401" s="199"/>
      <c r="B401" s="199"/>
      <c r="C401" s="199"/>
      <c r="D401" s="199"/>
      <c r="F401" s="199"/>
      <c r="G401" s="199"/>
      <c r="H401" s="199"/>
      <c r="I401" s="199"/>
    </row>
    <row r="402" customFormat="false" ht="12.75" hidden="false" customHeight="true" outlineLevel="0" collapsed="false">
      <c r="A402" s="199"/>
      <c r="B402" s="199"/>
      <c r="C402" s="199"/>
      <c r="D402" s="199"/>
      <c r="F402" s="199"/>
      <c r="G402" s="199"/>
      <c r="H402" s="199"/>
      <c r="I402" s="199"/>
    </row>
    <row r="403" customFormat="false" ht="12.75" hidden="false" customHeight="true" outlineLevel="0" collapsed="false">
      <c r="A403" s="199"/>
      <c r="B403" s="199"/>
      <c r="C403" s="199"/>
      <c r="D403" s="199"/>
      <c r="F403" s="199"/>
      <c r="G403" s="199"/>
      <c r="H403" s="199"/>
      <c r="I403" s="199"/>
    </row>
    <row r="404" customFormat="false" ht="12.75" hidden="false" customHeight="true" outlineLevel="0" collapsed="false">
      <c r="A404" s="199"/>
      <c r="B404" s="199"/>
      <c r="C404" s="199"/>
      <c r="D404" s="199"/>
      <c r="F404" s="199"/>
      <c r="G404" s="199"/>
      <c r="H404" s="199"/>
      <c r="I404" s="199"/>
    </row>
    <row r="405" customFormat="false" ht="12.75" hidden="false" customHeight="true" outlineLevel="0" collapsed="false">
      <c r="A405" s="199"/>
      <c r="B405" s="199"/>
      <c r="C405" s="199"/>
      <c r="D405" s="199"/>
      <c r="F405" s="199"/>
      <c r="G405" s="199"/>
      <c r="H405" s="199"/>
      <c r="I405" s="199"/>
    </row>
    <row r="406" customFormat="false" ht="12.75" hidden="false" customHeight="true" outlineLevel="0" collapsed="false">
      <c r="A406" s="199"/>
      <c r="B406" s="199"/>
      <c r="C406" s="199"/>
      <c r="D406" s="199"/>
      <c r="F406" s="199"/>
      <c r="G406" s="199"/>
      <c r="H406" s="199"/>
      <c r="I406" s="199"/>
    </row>
    <row r="407" customFormat="false" ht="12.75" hidden="false" customHeight="true" outlineLevel="0" collapsed="false">
      <c r="A407" s="199"/>
      <c r="B407" s="199"/>
      <c r="C407" s="199"/>
      <c r="D407" s="199"/>
      <c r="F407" s="199"/>
      <c r="G407" s="199"/>
      <c r="H407" s="199"/>
      <c r="I407" s="199"/>
    </row>
    <row r="408" customFormat="false" ht="12.75" hidden="false" customHeight="true" outlineLevel="0" collapsed="false">
      <c r="A408" s="199"/>
      <c r="B408" s="199"/>
      <c r="C408" s="199"/>
      <c r="D408" s="199"/>
      <c r="F408" s="199"/>
      <c r="G408" s="199"/>
      <c r="H408" s="199"/>
      <c r="I408" s="199"/>
    </row>
    <row r="409" customFormat="false" ht="12.75" hidden="false" customHeight="true" outlineLevel="0" collapsed="false">
      <c r="A409" s="199"/>
      <c r="B409" s="199"/>
      <c r="C409" s="199"/>
      <c r="D409" s="199"/>
      <c r="F409" s="199"/>
      <c r="G409" s="199"/>
      <c r="H409" s="199"/>
      <c r="I409" s="199"/>
    </row>
    <row r="410" customFormat="false" ht="12.75" hidden="false" customHeight="true" outlineLevel="0" collapsed="false">
      <c r="A410" s="199"/>
      <c r="B410" s="199"/>
      <c r="C410" s="199"/>
      <c r="D410" s="199"/>
      <c r="F410" s="199"/>
      <c r="G410" s="199"/>
      <c r="H410" s="199"/>
      <c r="I410" s="199"/>
    </row>
    <row r="411" customFormat="false" ht="12.75" hidden="false" customHeight="true" outlineLevel="0" collapsed="false">
      <c r="A411" s="199"/>
      <c r="B411" s="199"/>
      <c r="C411" s="199"/>
      <c r="D411" s="199"/>
      <c r="F411" s="199"/>
      <c r="G411" s="199"/>
      <c r="H411" s="199"/>
      <c r="I411" s="199"/>
    </row>
    <row r="412" customFormat="false" ht="12.75" hidden="false" customHeight="true" outlineLevel="0" collapsed="false">
      <c r="A412" s="199"/>
      <c r="B412" s="199"/>
      <c r="C412" s="199"/>
      <c r="D412" s="199"/>
      <c r="F412" s="199"/>
      <c r="G412" s="199"/>
      <c r="H412" s="199"/>
      <c r="I412" s="199"/>
    </row>
    <row r="413" customFormat="false" ht="12.75" hidden="false" customHeight="true" outlineLevel="0" collapsed="false">
      <c r="A413" s="199"/>
      <c r="B413" s="199"/>
      <c r="C413" s="199"/>
      <c r="D413" s="199"/>
      <c r="F413" s="199"/>
      <c r="G413" s="199"/>
      <c r="H413" s="199"/>
      <c r="I413" s="199"/>
    </row>
    <row r="414" customFormat="false" ht="12.75" hidden="false" customHeight="true" outlineLevel="0" collapsed="false">
      <c r="A414" s="199"/>
      <c r="B414" s="199"/>
      <c r="C414" s="199"/>
      <c r="D414" s="199"/>
      <c r="F414" s="199"/>
      <c r="G414" s="199"/>
      <c r="H414" s="199"/>
      <c r="I414" s="199"/>
    </row>
    <row r="415" customFormat="false" ht="12.75" hidden="false" customHeight="true" outlineLevel="0" collapsed="false">
      <c r="A415" s="199"/>
      <c r="B415" s="199"/>
      <c r="C415" s="199"/>
      <c r="D415" s="199"/>
      <c r="F415" s="199"/>
      <c r="G415" s="199"/>
      <c r="H415" s="199"/>
      <c r="I415" s="199"/>
    </row>
    <row r="416" customFormat="false" ht="12.75" hidden="false" customHeight="true" outlineLevel="0" collapsed="false">
      <c r="A416" s="199"/>
      <c r="B416" s="199"/>
      <c r="C416" s="199"/>
      <c r="D416" s="199"/>
      <c r="F416" s="199"/>
      <c r="G416" s="199"/>
      <c r="H416" s="199"/>
      <c r="I416" s="199"/>
    </row>
    <row r="417" customFormat="false" ht="12.75" hidden="false" customHeight="true" outlineLevel="0" collapsed="false">
      <c r="A417" s="199"/>
      <c r="B417" s="199"/>
      <c r="C417" s="199"/>
      <c r="D417" s="199"/>
      <c r="F417" s="199"/>
      <c r="G417" s="199"/>
      <c r="H417" s="199"/>
      <c r="I417" s="199"/>
    </row>
    <row r="418" customFormat="false" ht="12.75" hidden="false" customHeight="true" outlineLevel="0" collapsed="false">
      <c r="A418" s="199"/>
      <c r="B418" s="199"/>
      <c r="C418" s="199"/>
      <c r="D418" s="199"/>
      <c r="F418" s="199"/>
      <c r="G418" s="199"/>
      <c r="H418" s="199"/>
      <c r="I418" s="199"/>
    </row>
    <row r="419" customFormat="false" ht="12.75" hidden="false" customHeight="true" outlineLevel="0" collapsed="false">
      <c r="A419" s="199"/>
      <c r="B419" s="199"/>
      <c r="C419" s="199"/>
      <c r="D419" s="199"/>
      <c r="F419" s="199"/>
      <c r="G419" s="199"/>
      <c r="H419" s="199"/>
      <c r="I419" s="199"/>
    </row>
    <row r="420" customFormat="false" ht="12.75" hidden="false" customHeight="true" outlineLevel="0" collapsed="false">
      <c r="A420" s="199"/>
      <c r="B420" s="199"/>
      <c r="C420" s="199"/>
      <c r="D420" s="199"/>
      <c r="F420" s="199"/>
      <c r="G420" s="199"/>
      <c r="H420" s="199"/>
      <c r="I420" s="199"/>
    </row>
    <row r="421" customFormat="false" ht="12.75" hidden="false" customHeight="true" outlineLevel="0" collapsed="false">
      <c r="A421" s="199"/>
      <c r="B421" s="199"/>
      <c r="C421" s="199"/>
      <c r="D421" s="199"/>
      <c r="F421" s="199"/>
      <c r="G421" s="199"/>
      <c r="H421" s="199"/>
      <c r="I421" s="199"/>
    </row>
    <row r="422" customFormat="false" ht="12.75" hidden="false" customHeight="true" outlineLevel="0" collapsed="false">
      <c r="A422" s="199"/>
      <c r="B422" s="199"/>
      <c r="C422" s="199"/>
      <c r="D422" s="199"/>
      <c r="F422" s="199"/>
      <c r="G422" s="199"/>
      <c r="H422" s="199"/>
      <c r="I422" s="199"/>
    </row>
    <row r="423" customFormat="false" ht="12.75" hidden="false" customHeight="true" outlineLevel="0" collapsed="false">
      <c r="A423" s="199"/>
      <c r="B423" s="199"/>
      <c r="C423" s="199"/>
      <c r="D423" s="199"/>
      <c r="F423" s="199"/>
      <c r="G423" s="199"/>
      <c r="H423" s="199"/>
      <c r="I423" s="199"/>
    </row>
    <row r="424" customFormat="false" ht="12.75" hidden="false" customHeight="true" outlineLevel="0" collapsed="false">
      <c r="A424" s="199"/>
      <c r="B424" s="199"/>
      <c r="C424" s="199"/>
      <c r="D424" s="199"/>
      <c r="F424" s="199"/>
      <c r="G424" s="199"/>
      <c r="H424" s="199"/>
      <c r="I424" s="199"/>
    </row>
    <row r="425" customFormat="false" ht="12.75" hidden="false" customHeight="true" outlineLevel="0" collapsed="false">
      <c r="A425" s="199"/>
      <c r="B425" s="199"/>
      <c r="C425" s="199"/>
      <c r="D425" s="199"/>
      <c r="F425" s="199"/>
      <c r="G425" s="199"/>
      <c r="H425" s="199"/>
      <c r="I425" s="199"/>
    </row>
    <row r="426" customFormat="false" ht="12.75" hidden="false" customHeight="true" outlineLevel="0" collapsed="false">
      <c r="A426" s="199"/>
      <c r="B426" s="199"/>
      <c r="C426" s="199"/>
      <c r="D426" s="199"/>
      <c r="F426" s="199"/>
      <c r="G426" s="199"/>
      <c r="H426" s="199"/>
      <c r="I426" s="199"/>
    </row>
    <row r="427" customFormat="false" ht="12.75" hidden="false" customHeight="true" outlineLevel="0" collapsed="false">
      <c r="A427" s="199"/>
      <c r="B427" s="199"/>
      <c r="C427" s="199"/>
      <c r="D427" s="199"/>
      <c r="F427" s="199"/>
      <c r="G427" s="199"/>
      <c r="H427" s="199"/>
      <c r="I427" s="199"/>
    </row>
    <row r="428" customFormat="false" ht="12.75" hidden="false" customHeight="true" outlineLevel="0" collapsed="false">
      <c r="A428" s="199"/>
      <c r="B428" s="199"/>
      <c r="C428" s="199"/>
      <c r="D428" s="199"/>
      <c r="F428" s="199"/>
      <c r="G428" s="199"/>
      <c r="H428" s="199"/>
      <c r="I428" s="199"/>
    </row>
    <row r="429" customFormat="false" ht="12.75" hidden="false" customHeight="true" outlineLevel="0" collapsed="false">
      <c r="A429" s="199"/>
      <c r="B429" s="199"/>
      <c r="C429" s="199"/>
      <c r="D429" s="199"/>
      <c r="F429" s="199"/>
      <c r="G429" s="199"/>
      <c r="H429" s="199"/>
      <c r="I429" s="199"/>
    </row>
    <row r="430" customFormat="false" ht="12.75" hidden="false" customHeight="true" outlineLevel="0" collapsed="false">
      <c r="A430" s="199"/>
      <c r="B430" s="199"/>
      <c r="C430" s="199"/>
      <c r="D430" s="199"/>
      <c r="F430" s="199"/>
      <c r="G430" s="199"/>
      <c r="H430" s="199"/>
      <c r="I430" s="199"/>
    </row>
    <row r="431" customFormat="false" ht="12.75" hidden="false" customHeight="true" outlineLevel="0" collapsed="false">
      <c r="A431" s="199"/>
      <c r="B431" s="199"/>
      <c r="C431" s="199"/>
      <c r="D431" s="199"/>
      <c r="F431" s="199"/>
      <c r="G431" s="199"/>
      <c r="H431" s="199"/>
      <c r="I431" s="199"/>
    </row>
    <row r="432" customFormat="false" ht="12.75" hidden="false" customHeight="true" outlineLevel="0" collapsed="false">
      <c r="A432" s="199"/>
      <c r="B432" s="199"/>
      <c r="C432" s="199"/>
      <c r="D432" s="199"/>
      <c r="F432" s="199"/>
      <c r="G432" s="199"/>
      <c r="H432" s="199"/>
      <c r="I432" s="199"/>
    </row>
    <row r="433" customFormat="false" ht="12.75" hidden="false" customHeight="true" outlineLevel="0" collapsed="false">
      <c r="A433" s="199"/>
      <c r="B433" s="199"/>
      <c r="C433" s="199"/>
      <c r="D433" s="199"/>
      <c r="F433" s="199"/>
      <c r="G433" s="199"/>
      <c r="H433" s="199"/>
      <c r="I433" s="199"/>
    </row>
    <row r="434" customFormat="false" ht="12.75" hidden="false" customHeight="true" outlineLevel="0" collapsed="false">
      <c r="A434" s="199"/>
      <c r="B434" s="199"/>
      <c r="C434" s="199"/>
      <c r="D434" s="199"/>
      <c r="F434" s="199"/>
      <c r="G434" s="199"/>
      <c r="H434" s="199"/>
      <c r="I434" s="199"/>
    </row>
    <row r="435" customFormat="false" ht="12.75" hidden="false" customHeight="true" outlineLevel="0" collapsed="false">
      <c r="A435" s="199"/>
      <c r="B435" s="199"/>
      <c r="C435" s="199"/>
      <c r="D435" s="199"/>
      <c r="F435" s="199"/>
      <c r="G435" s="199"/>
      <c r="H435" s="199"/>
      <c r="I435" s="199"/>
    </row>
    <row r="436" customFormat="false" ht="12.75" hidden="false" customHeight="true" outlineLevel="0" collapsed="false">
      <c r="A436" s="199"/>
      <c r="B436" s="199"/>
      <c r="C436" s="199"/>
      <c r="D436" s="199"/>
      <c r="F436" s="199"/>
      <c r="G436" s="199"/>
      <c r="H436" s="199"/>
      <c r="I436" s="199"/>
    </row>
    <row r="437" customFormat="false" ht="12.75" hidden="false" customHeight="true" outlineLevel="0" collapsed="false">
      <c r="A437" s="199"/>
      <c r="B437" s="199"/>
      <c r="C437" s="199"/>
      <c r="D437" s="199"/>
      <c r="F437" s="199"/>
      <c r="G437" s="199"/>
      <c r="H437" s="199"/>
      <c r="I437" s="199"/>
    </row>
    <row r="438" customFormat="false" ht="12.75" hidden="false" customHeight="true" outlineLevel="0" collapsed="false">
      <c r="A438" s="199"/>
      <c r="B438" s="199"/>
      <c r="C438" s="199"/>
      <c r="D438" s="199"/>
      <c r="F438" s="199"/>
      <c r="G438" s="199"/>
      <c r="H438" s="199"/>
      <c r="I438" s="199"/>
    </row>
    <row r="439" customFormat="false" ht="12.75" hidden="false" customHeight="true" outlineLevel="0" collapsed="false">
      <c r="A439" s="199"/>
      <c r="B439" s="199"/>
      <c r="C439" s="199"/>
      <c r="D439" s="199"/>
      <c r="F439" s="199"/>
      <c r="G439" s="199"/>
      <c r="H439" s="199"/>
      <c r="I439" s="199"/>
    </row>
    <row r="440" customFormat="false" ht="12.75" hidden="false" customHeight="true" outlineLevel="0" collapsed="false">
      <c r="A440" s="199"/>
      <c r="B440" s="199"/>
      <c r="C440" s="199"/>
      <c r="D440" s="199"/>
      <c r="F440" s="199"/>
      <c r="G440" s="199"/>
      <c r="H440" s="199"/>
      <c r="I440" s="199"/>
    </row>
    <row r="441" customFormat="false" ht="12.75" hidden="false" customHeight="true" outlineLevel="0" collapsed="false">
      <c r="A441" s="199"/>
      <c r="B441" s="199"/>
      <c r="C441" s="199"/>
      <c r="D441" s="199"/>
      <c r="F441" s="199"/>
      <c r="G441" s="199"/>
      <c r="H441" s="199"/>
      <c r="I441" s="199"/>
    </row>
    <row r="442" customFormat="false" ht="12.75" hidden="false" customHeight="true" outlineLevel="0" collapsed="false">
      <c r="A442" s="199"/>
      <c r="B442" s="199"/>
      <c r="C442" s="199"/>
      <c r="D442" s="199"/>
      <c r="F442" s="199"/>
      <c r="G442" s="199"/>
      <c r="H442" s="199"/>
      <c r="I442" s="199"/>
    </row>
    <row r="443" customFormat="false" ht="12.75" hidden="false" customHeight="true" outlineLevel="0" collapsed="false">
      <c r="A443" s="199"/>
      <c r="B443" s="199"/>
      <c r="C443" s="199"/>
      <c r="D443" s="199"/>
      <c r="F443" s="199"/>
      <c r="G443" s="199"/>
      <c r="H443" s="199"/>
      <c r="I443" s="199"/>
    </row>
    <row r="444" customFormat="false" ht="12.75" hidden="false" customHeight="true" outlineLevel="0" collapsed="false">
      <c r="A444" s="199"/>
      <c r="B444" s="199"/>
      <c r="C444" s="199"/>
      <c r="D444" s="199"/>
      <c r="F444" s="199"/>
      <c r="G444" s="199"/>
      <c r="H444" s="199"/>
      <c r="I444" s="199"/>
    </row>
    <row r="445" customFormat="false" ht="12.75" hidden="false" customHeight="true" outlineLevel="0" collapsed="false">
      <c r="A445" s="199"/>
      <c r="B445" s="199"/>
      <c r="C445" s="199"/>
      <c r="D445" s="199"/>
      <c r="F445" s="199"/>
      <c r="G445" s="199"/>
      <c r="H445" s="199"/>
      <c r="I445" s="199"/>
    </row>
    <row r="446" customFormat="false" ht="12.75" hidden="false" customHeight="true" outlineLevel="0" collapsed="false">
      <c r="A446" s="199"/>
      <c r="B446" s="199"/>
      <c r="C446" s="199"/>
      <c r="D446" s="199"/>
      <c r="F446" s="199"/>
      <c r="G446" s="199"/>
      <c r="H446" s="199"/>
      <c r="I446" s="199"/>
    </row>
    <row r="447" customFormat="false" ht="12.75" hidden="false" customHeight="true" outlineLevel="0" collapsed="false">
      <c r="A447" s="199"/>
      <c r="B447" s="199"/>
      <c r="C447" s="199"/>
      <c r="D447" s="199"/>
      <c r="F447" s="199"/>
      <c r="G447" s="199"/>
      <c r="H447" s="199"/>
      <c r="I447" s="199"/>
    </row>
    <row r="448" customFormat="false" ht="12.75" hidden="false" customHeight="true" outlineLevel="0" collapsed="false">
      <c r="A448" s="199"/>
      <c r="B448" s="199"/>
      <c r="C448" s="199"/>
      <c r="D448" s="199"/>
      <c r="F448" s="199"/>
      <c r="G448" s="199"/>
      <c r="H448" s="199"/>
      <c r="I448" s="199"/>
    </row>
    <row r="449" customFormat="false" ht="12.75" hidden="false" customHeight="true" outlineLevel="0" collapsed="false">
      <c r="A449" s="199"/>
      <c r="B449" s="199"/>
      <c r="C449" s="199"/>
      <c r="D449" s="199"/>
      <c r="F449" s="199"/>
      <c r="G449" s="199"/>
      <c r="H449" s="199"/>
      <c r="I449" s="199"/>
    </row>
    <row r="450" customFormat="false" ht="12.75" hidden="false" customHeight="true" outlineLevel="0" collapsed="false">
      <c r="A450" s="199"/>
      <c r="B450" s="199"/>
      <c r="C450" s="199"/>
      <c r="D450" s="199"/>
      <c r="F450" s="199"/>
      <c r="G450" s="199"/>
      <c r="H450" s="199"/>
      <c r="I450" s="199"/>
    </row>
    <row r="451" customFormat="false" ht="12.75" hidden="false" customHeight="true" outlineLevel="0" collapsed="false">
      <c r="A451" s="199"/>
      <c r="B451" s="199"/>
      <c r="C451" s="199"/>
      <c r="D451" s="199"/>
      <c r="F451" s="199"/>
      <c r="G451" s="199"/>
      <c r="H451" s="199"/>
      <c r="I451" s="199"/>
    </row>
    <row r="452" customFormat="false" ht="12.75" hidden="false" customHeight="true" outlineLevel="0" collapsed="false">
      <c r="A452" s="199"/>
      <c r="B452" s="199"/>
      <c r="C452" s="199"/>
      <c r="D452" s="199"/>
      <c r="F452" s="199"/>
      <c r="G452" s="199"/>
      <c r="H452" s="199"/>
      <c r="I452" s="199"/>
    </row>
    <row r="453" customFormat="false" ht="12.75" hidden="false" customHeight="true" outlineLevel="0" collapsed="false">
      <c r="A453" s="199"/>
      <c r="B453" s="199"/>
      <c r="C453" s="199"/>
      <c r="D453" s="199"/>
      <c r="F453" s="199"/>
      <c r="G453" s="199"/>
      <c r="H453" s="199"/>
      <c r="I453" s="199"/>
    </row>
    <row r="454" customFormat="false" ht="12.75" hidden="false" customHeight="true" outlineLevel="0" collapsed="false">
      <c r="A454" s="199"/>
      <c r="B454" s="199"/>
      <c r="C454" s="199"/>
      <c r="D454" s="199"/>
      <c r="F454" s="199"/>
      <c r="G454" s="199"/>
      <c r="H454" s="199"/>
      <c r="I454" s="199"/>
    </row>
    <row r="455" customFormat="false" ht="12.75" hidden="false" customHeight="true" outlineLevel="0" collapsed="false">
      <c r="A455" s="199"/>
      <c r="B455" s="199"/>
      <c r="C455" s="199"/>
      <c r="D455" s="199"/>
      <c r="F455" s="199"/>
      <c r="G455" s="199"/>
      <c r="H455" s="199"/>
      <c r="I455" s="199"/>
    </row>
    <row r="456" customFormat="false" ht="12.75" hidden="false" customHeight="true" outlineLevel="0" collapsed="false">
      <c r="A456" s="199"/>
      <c r="B456" s="199"/>
      <c r="C456" s="199"/>
      <c r="D456" s="199"/>
      <c r="F456" s="199"/>
      <c r="G456" s="199"/>
      <c r="H456" s="199"/>
      <c r="I456" s="199"/>
    </row>
    <row r="457" customFormat="false" ht="12.75" hidden="false" customHeight="true" outlineLevel="0" collapsed="false">
      <c r="A457" s="199"/>
      <c r="B457" s="199"/>
      <c r="C457" s="199"/>
      <c r="D457" s="199"/>
      <c r="F457" s="199"/>
      <c r="G457" s="199"/>
      <c r="H457" s="199"/>
      <c r="I457" s="199"/>
    </row>
    <row r="458" customFormat="false" ht="12.75" hidden="false" customHeight="true" outlineLevel="0" collapsed="false">
      <c r="A458" s="199"/>
      <c r="B458" s="199"/>
      <c r="C458" s="199"/>
      <c r="D458" s="199"/>
      <c r="F458" s="199"/>
      <c r="G458" s="199"/>
      <c r="H458" s="199"/>
      <c r="I458" s="199"/>
    </row>
    <row r="459" customFormat="false" ht="12.75" hidden="false" customHeight="true" outlineLevel="0" collapsed="false">
      <c r="A459" s="199"/>
      <c r="B459" s="199"/>
      <c r="C459" s="199"/>
      <c r="D459" s="199"/>
      <c r="F459" s="199"/>
      <c r="G459" s="199"/>
      <c r="H459" s="199"/>
      <c r="I459" s="199"/>
    </row>
    <row r="460" customFormat="false" ht="12.75" hidden="false" customHeight="true" outlineLevel="0" collapsed="false">
      <c r="A460" s="199"/>
      <c r="B460" s="199"/>
      <c r="C460" s="199"/>
      <c r="D460" s="199"/>
      <c r="F460" s="199"/>
      <c r="G460" s="199"/>
      <c r="H460" s="199"/>
      <c r="I460" s="199"/>
    </row>
    <row r="461" customFormat="false" ht="12.75" hidden="false" customHeight="true" outlineLevel="0" collapsed="false">
      <c r="A461" s="199"/>
      <c r="B461" s="199"/>
      <c r="C461" s="199"/>
      <c r="D461" s="199"/>
      <c r="F461" s="199"/>
      <c r="G461" s="199"/>
      <c r="H461" s="199"/>
      <c r="I461" s="199"/>
    </row>
    <row r="462" customFormat="false" ht="12.75" hidden="false" customHeight="true" outlineLevel="0" collapsed="false">
      <c r="A462" s="199"/>
      <c r="B462" s="199"/>
      <c r="C462" s="199"/>
      <c r="D462" s="199"/>
      <c r="F462" s="199"/>
      <c r="G462" s="199"/>
      <c r="H462" s="199"/>
      <c r="I462" s="199"/>
    </row>
    <row r="463" customFormat="false" ht="12.75" hidden="false" customHeight="true" outlineLevel="0" collapsed="false">
      <c r="A463" s="199"/>
      <c r="B463" s="199"/>
      <c r="C463" s="199"/>
      <c r="D463" s="199"/>
      <c r="F463" s="199"/>
      <c r="G463" s="199"/>
      <c r="H463" s="199"/>
      <c r="I463" s="199"/>
    </row>
    <row r="464" customFormat="false" ht="12.75" hidden="false" customHeight="true" outlineLevel="0" collapsed="false">
      <c r="A464" s="199"/>
      <c r="B464" s="199"/>
      <c r="C464" s="199"/>
      <c r="D464" s="199"/>
      <c r="F464" s="199"/>
      <c r="G464" s="199"/>
      <c r="H464" s="199"/>
      <c r="I464" s="199"/>
    </row>
    <row r="465" customFormat="false" ht="12.75" hidden="false" customHeight="true" outlineLevel="0" collapsed="false">
      <c r="A465" s="199"/>
      <c r="B465" s="199"/>
      <c r="C465" s="199"/>
      <c r="D465" s="199"/>
      <c r="F465" s="199"/>
      <c r="G465" s="199"/>
      <c r="H465" s="199"/>
      <c r="I465" s="199"/>
    </row>
    <row r="466" customFormat="false" ht="12.75" hidden="false" customHeight="true" outlineLevel="0" collapsed="false">
      <c r="A466" s="199"/>
      <c r="B466" s="199"/>
      <c r="C466" s="199"/>
      <c r="D466" s="199"/>
      <c r="F466" s="199"/>
      <c r="G466" s="199"/>
      <c r="H466" s="199"/>
      <c r="I466" s="199"/>
    </row>
    <row r="467" customFormat="false" ht="12.75" hidden="false" customHeight="true" outlineLevel="0" collapsed="false">
      <c r="A467" s="199"/>
      <c r="B467" s="199"/>
      <c r="C467" s="199"/>
      <c r="D467" s="199"/>
      <c r="F467" s="199"/>
      <c r="G467" s="199"/>
      <c r="H467" s="199"/>
      <c r="I467" s="199"/>
    </row>
    <row r="468" customFormat="false" ht="12.75" hidden="false" customHeight="true" outlineLevel="0" collapsed="false">
      <c r="A468" s="199"/>
      <c r="B468" s="199"/>
      <c r="C468" s="199"/>
      <c r="D468" s="199"/>
      <c r="F468" s="199"/>
      <c r="G468" s="199"/>
      <c r="H468" s="199"/>
      <c r="I468" s="199"/>
    </row>
    <row r="469" customFormat="false" ht="12.75" hidden="false" customHeight="true" outlineLevel="0" collapsed="false">
      <c r="A469" s="199"/>
      <c r="B469" s="199"/>
      <c r="C469" s="199"/>
      <c r="D469" s="199"/>
      <c r="F469" s="199"/>
      <c r="G469" s="199"/>
      <c r="H469" s="199"/>
      <c r="I469" s="199"/>
    </row>
    <row r="470" customFormat="false" ht="12.75" hidden="false" customHeight="true" outlineLevel="0" collapsed="false">
      <c r="A470" s="199"/>
      <c r="B470" s="199"/>
      <c r="C470" s="199"/>
      <c r="D470" s="199"/>
      <c r="F470" s="199"/>
      <c r="G470" s="199"/>
      <c r="H470" s="199"/>
      <c r="I470" s="199"/>
    </row>
    <row r="471" customFormat="false" ht="12.75" hidden="false" customHeight="true" outlineLevel="0" collapsed="false">
      <c r="A471" s="199"/>
      <c r="B471" s="199"/>
      <c r="C471" s="199"/>
      <c r="D471" s="199"/>
      <c r="F471" s="199"/>
      <c r="G471" s="199"/>
      <c r="H471" s="199"/>
      <c r="I471" s="199"/>
    </row>
    <row r="472" customFormat="false" ht="12.75" hidden="false" customHeight="true" outlineLevel="0" collapsed="false">
      <c r="A472" s="199"/>
      <c r="B472" s="199"/>
      <c r="C472" s="199"/>
      <c r="D472" s="199"/>
      <c r="F472" s="199"/>
      <c r="G472" s="199"/>
      <c r="H472" s="199"/>
      <c r="I472" s="199"/>
    </row>
    <row r="473" customFormat="false" ht="12.75" hidden="false" customHeight="true" outlineLevel="0" collapsed="false">
      <c r="A473" s="199"/>
      <c r="B473" s="199"/>
      <c r="C473" s="199"/>
      <c r="D473" s="199"/>
      <c r="F473" s="199"/>
      <c r="G473" s="199"/>
      <c r="H473" s="199"/>
      <c r="I473" s="199"/>
    </row>
    <row r="474" customFormat="false" ht="12.75" hidden="false" customHeight="true" outlineLevel="0" collapsed="false">
      <c r="A474" s="199"/>
      <c r="B474" s="199"/>
      <c r="C474" s="199"/>
      <c r="D474" s="199"/>
      <c r="F474" s="199"/>
      <c r="G474" s="199"/>
      <c r="H474" s="199"/>
      <c r="I474" s="199"/>
    </row>
    <row r="475" customFormat="false" ht="12.75" hidden="false" customHeight="true" outlineLevel="0" collapsed="false">
      <c r="A475" s="199"/>
      <c r="B475" s="199"/>
      <c r="C475" s="199"/>
      <c r="D475" s="199"/>
      <c r="F475" s="199"/>
      <c r="G475" s="199"/>
      <c r="H475" s="199"/>
      <c r="I475" s="199"/>
    </row>
    <row r="476" customFormat="false" ht="12.75" hidden="false" customHeight="true" outlineLevel="0" collapsed="false">
      <c r="A476" s="199"/>
      <c r="B476" s="199"/>
      <c r="C476" s="199"/>
      <c r="D476" s="199"/>
      <c r="F476" s="199"/>
      <c r="G476" s="199"/>
      <c r="H476" s="199"/>
      <c r="I476" s="199"/>
    </row>
    <row r="477" customFormat="false" ht="12.75" hidden="false" customHeight="true" outlineLevel="0" collapsed="false">
      <c r="A477" s="199"/>
      <c r="B477" s="199"/>
      <c r="C477" s="199"/>
      <c r="D477" s="199"/>
      <c r="F477" s="199"/>
      <c r="G477" s="199"/>
      <c r="H477" s="199"/>
      <c r="I477" s="199"/>
    </row>
    <row r="478" customFormat="false" ht="12.75" hidden="false" customHeight="true" outlineLevel="0" collapsed="false">
      <c r="A478" s="199"/>
      <c r="B478" s="199"/>
      <c r="C478" s="199"/>
      <c r="D478" s="199"/>
      <c r="F478" s="199"/>
      <c r="G478" s="199"/>
      <c r="H478" s="199"/>
      <c r="I478" s="199"/>
    </row>
    <row r="479" customFormat="false" ht="12.75" hidden="false" customHeight="true" outlineLevel="0" collapsed="false">
      <c r="A479" s="199"/>
      <c r="B479" s="199"/>
      <c r="C479" s="199"/>
      <c r="D479" s="199"/>
      <c r="F479" s="199"/>
      <c r="G479" s="199"/>
      <c r="H479" s="199"/>
      <c r="I479" s="199"/>
    </row>
    <row r="480" customFormat="false" ht="12.75" hidden="false" customHeight="true" outlineLevel="0" collapsed="false">
      <c r="A480" s="199"/>
      <c r="B480" s="199"/>
      <c r="C480" s="199"/>
      <c r="D480" s="199"/>
      <c r="F480" s="199"/>
      <c r="G480" s="199"/>
      <c r="H480" s="199"/>
      <c r="I480" s="199"/>
    </row>
    <row r="481" customFormat="false" ht="12.75" hidden="false" customHeight="true" outlineLevel="0" collapsed="false">
      <c r="A481" s="199"/>
      <c r="B481" s="199"/>
      <c r="C481" s="199"/>
      <c r="D481" s="199"/>
      <c r="F481" s="199"/>
      <c r="G481" s="199"/>
      <c r="H481" s="199"/>
      <c r="I481" s="199"/>
    </row>
    <row r="482" customFormat="false" ht="12.75" hidden="false" customHeight="true" outlineLevel="0" collapsed="false">
      <c r="A482" s="199"/>
      <c r="B482" s="199"/>
      <c r="C482" s="199"/>
      <c r="D482" s="199"/>
      <c r="F482" s="199"/>
      <c r="G482" s="199"/>
      <c r="H482" s="199"/>
      <c r="I482" s="199"/>
    </row>
    <row r="483" customFormat="false" ht="12.75" hidden="false" customHeight="true" outlineLevel="0" collapsed="false">
      <c r="A483" s="199"/>
      <c r="B483" s="199"/>
      <c r="C483" s="199"/>
      <c r="D483" s="199"/>
      <c r="F483" s="199"/>
      <c r="G483" s="199"/>
      <c r="H483" s="199"/>
      <c r="I483" s="199"/>
    </row>
    <row r="484" customFormat="false" ht="12.75" hidden="false" customHeight="true" outlineLevel="0" collapsed="false">
      <c r="A484" s="199"/>
      <c r="B484" s="199"/>
      <c r="C484" s="199"/>
      <c r="D484" s="199"/>
      <c r="F484" s="199"/>
      <c r="G484" s="199"/>
      <c r="H484" s="199"/>
      <c r="I484" s="199"/>
    </row>
    <row r="485" customFormat="false" ht="12.75" hidden="false" customHeight="true" outlineLevel="0" collapsed="false">
      <c r="A485" s="199"/>
      <c r="B485" s="199"/>
      <c r="C485" s="199"/>
      <c r="D485" s="199"/>
      <c r="F485" s="199"/>
      <c r="G485" s="199"/>
      <c r="H485" s="199"/>
      <c r="I485" s="199"/>
    </row>
    <row r="486" customFormat="false" ht="12.75" hidden="false" customHeight="true" outlineLevel="0" collapsed="false">
      <c r="A486" s="199"/>
      <c r="B486" s="199"/>
      <c r="C486" s="199"/>
      <c r="D486" s="199"/>
      <c r="F486" s="199"/>
      <c r="G486" s="199"/>
      <c r="H486" s="199"/>
      <c r="I486" s="199"/>
    </row>
    <row r="487" customFormat="false" ht="12.75" hidden="false" customHeight="true" outlineLevel="0" collapsed="false">
      <c r="A487" s="199"/>
      <c r="B487" s="199"/>
      <c r="C487" s="199"/>
      <c r="D487" s="199"/>
      <c r="F487" s="199"/>
      <c r="G487" s="199"/>
      <c r="H487" s="199"/>
      <c r="I487" s="199"/>
    </row>
    <row r="488" customFormat="false" ht="12.75" hidden="false" customHeight="true" outlineLevel="0" collapsed="false">
      <c r="A488" s="199"/>
      <c r="B488" s="199"/>
      <c r="C488" s="199"/>
      <c r="D488" s="199"/>
      <c r="F488" s="199"/>
      <c r="G488" s="199"/>
      <c r="H488" s="199"/>
      <c r="I488" s="199"/>
    </row>
    <row r="489" customFormat="false" ht="12.75" hidden="false" customHeight="true" outlineLevel="0" collapsed="false">
      <c r="A489" s="199"/>
      <c r="B489" s="199"/>
      <c r="C489" s="199"/>
      <c r="D489" s="199"/>
      <c r="F489" s="199"/>
      <c r="G489" s="199"/>
      <c r="H489" s="199"/>
      <c r="I489" s="199"/>
    </row>
    <row r="490" customFormat="false" ht="12.75" hidden="false" customHeight="true" outlineLevel="0" collapsed="false">
      <c r="A490" s="199"/>
      <c r="B490" s="199"/>
      <c r="C490" s="199"/>
      <c r="D490" s="199"/>
      <c r="F490" s="199"/>
      <c r="G490" s="199"/>
      <c r="H490" s="199"/>
      <c r="I490" s="199"/>
    </row>
    <row r="491" customFormat="false" ht="12.75" hidden="false" customHeight="true" outlineLevel="0" collapsed="false">
      <c r="A491" s="199"/>
      <c r="B491" s="199"/>
      <c r="C491" s="199"/>
      <c r="D491" s="199"/>
      <c r="F491" s="199"/>
      <c r="G491" s="199"/>
      <c r="H491" s="199"/>
      <c r="I491" s="199"/>
    </row>
    <row r="492" customFormat="false" ht="12.75" hidden="false" customHeight="true" outlineLevel="0" collapsed="false">
      <c r="A492" s="199"/>
      <c r="B492" s="199"/>
      <c r="C492" s="199"/>
      <c r="D492" s="199"/>
      <c r="F492" s="199"/>
      <c r="G492" s="199"/>
      <c r="H492" s="199"/>
      <c r="I492" s="199"/>
    </row>
    <row r="493" customFormat="false" ht="12.75" hidden="false" customHeight="true" outlineLevel="0" collapsed="false">
      <c r="A493" s="199"/>
      <c r="B493" s="199"/>
      <c r="C493" s="199"/>
      <c r="D493" s="199"/>
      <c r="F493" s="199"/>
      <c r="G493" s="199"/>
      <c r="H493" s="199"/>
      <c r="I493" s="199"/>
    </row>
    <row r="494" customFormat="false" ht="12.75" hidden="false" customHeight="true" outlineLevel="0" collapsed="false">
      <c r="A494" s="199"/>
      <c r="B494" s="199"/>
      <c r="C494" s="199"/>
      <c r="D494" s="199"/>
      <c r="F494" s="199"/>
      <c r="G494" s="199"/>
      <c r="H494" s="199"/>
      <c r="I494" s="199"/>
    </row>
    <row r="495" customFormat="false" ht="12.75" hidden="false" customHeight="true" outlineLevel="0" collapsed="false">
      <c r="A495" s="199"/>
      <c r="B495" s="199"/>
      <c r="C495" s="199"/>
      <c r="D495" s="199"/>
      <c r="F495" s="199"/>
      <c r="G495" s="199"/>
      <c r="H495" s="199"/>
      <c r="I495" s="199"/>
    </row>
    <row r="496" customFormat="false" ht="12.75" hidden="false" customHeight="true" outlineLevel="0" collapsed="false">
      <c r="A496" s="199"/>
      <c r="B496" s="199"/>
      <c r="C496" s="199"/>
      <c r="D496" s="199"/>
      <c r="F496" s="199"/>
      <c r="G496" s="199"/>
      <c r="H496" s="199"/>
      <c r="I496" s="199"/>
    </row>
    <row r="497" customFormat="false" ht="12.75" hidden="false" customHeight="true" outlineLevel="0" collapsed="false">
      <c r="A497" s="199"/>
      <c r="B497" s="199"/>
      <c r="C497" s="199"/>
      <c r="D497" s="199"/>
      <c r="F497" s="199"/>
      <c r="G497" s="199"/>
      <c r="H497" s="199"/>
      <c r="I497" s="199"/>
    </row>
    <row r="498" customFormat="false" ht="12.75" hidden="false" customHeight="true" outlineLevel="0" collapsed="false">
      <c r="A498" s="199"/>
      <c r="B498" s="199"/>
      <c r="C498" s="199"/>
      <c r="D498" s="199"/>
      <c r="F498" s="199"/>
      <c r="G498" s="199"/>
      <c r="H498" s="199"/>
      <c r="I498" s="199"/>
    </row>
    <row r="499" customFormat="false" ht="12.75" hidden="false" customHeight="true" outlineLevel="0" collapsed="false">
      <c r="A499" s="199"/>
      <c r="B499" s="199"/>
      <c r="C499" s="199"/>
      <c r="D499" s="199"/>
      <c r="F499" s="199"/>
      <c r="G499" s="199"/>
      <c r="H499" s="199"/>
      <c r="I499" s="199"/>
    </row>
    <row r="500" customFormat="false" ht="12.75" hidden="false" customHeight="true" outlineLevel="0" collapsed="false">
      <c r="A500" s="199"/>
      <c r="B500" s="199"/>
      <c r="C500" s="199"/>
      <c r="D500" s="199"/>
      <c r="F500" s="199"/>
      <c r="G500" s="199"/>
      <c r="H500" s="199"/>
      <c r="I500" s="199"/>
    </row>
  </sheetData>
  <sheetProtection sheet="true" password="91db" formatCells="false" formatColumns="false" formatRows="false" sort="false" autoFilter="false"/>
  <mergeCells count="7">
    <mergeCell ref="A1:I1"/>
    <mergeCell ref="A2:I2"/>
    <mergeCell ref="A4:I4"/>
    <mergeCell ref="A5:I5"/>
    <mergeCell ref="A82:I82"/>
    <mergeCell ref="A129:I129"/>
    <mergeCell ref="A198:I198"/>
  </mergeCells>
  <hyperlinks>
    <hyperlink ref="K1" location="'DASHBOARD'!A1" display="Kontroll i shpejtë"/>
    <hyperlink ref="N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51" width="58"/>
    <col collapsed="false" customWidth="true" hidden="false" outlineLevel="0" max="2" min="2" style="51" width="24"/>
    <col collapsed="false" customWidth="true" hidden="false" outlineLevel="0" max="3" min="3" style="1" width="26"/>
    <col collapsed="false" customWidth="true" hidden="true" outlineLevel="0" max="4" min="4" style="1" width="32"/>
    <col collapsed="false" customWidth="true" hidden="false" outlineLevel="0" max="5" min="5" style="303" width="16"/>
    <col collapsed="false" customWidth="true" hidden="false" outlineLevel="0" max="6" min="6" style="1" width="8.43"/>
    <col collapsed="false" customWidth="true" hidden="false" outlineLevel="0" max="16" min="7" style="303" width="8.43"/>
  </cols>
  <sheetData>
    <row r="1" s="306" customFormat="true" ht="25.5" hidden="false" customHeight="true" outlineLevel="0" collapsed="false">
      <c r="A1" s="139" t="s">
        <v>1018</v>
      </c>
      <c r="B1" s="139"/>
      <c r="C1" s="139"/>
      <c r="D1" s="139"/>
      <c r="E1" s="304" t="s">
        <v>19</v>
      </c>
      <c r="F1" s="305"/>
    </row>
    <row r="2" s="308" customFormat="true" ht="21.75" hidden="false" customHeight="true" outlineLevel="0" collapsed="false">
      <c r="A2" s="307" t="s">
        <v>1019</v>
      </c>
      <c r="B2" s="307"/>
      <c r="C2" s="307"/>
      <c r="D2" s="307"/>
    </row>
    <row r="3" customFormat="false" ht="19.5" hidden="false" customHeight="true" outlineLevel="0" collapsed="false">
      <c r="A3" s="309" t="str">
        <f aca="false">SETTINGS!$B$5&amp;" | NIPT: "&amp;SETTINGS!$B$6</f>
        <v> | NIPT: </v>
      </c>
      <c r="B3" s="310"/>
      <c r="C3" s="309" t="str">
        <f aca="false">"Periudha: 31/12/"&amp;SETTINGS!$B$9</f>
        <v>Periudha: 31/12/2025</v>
      </c>
      <c r="D3" s="309" t="str">
        <f aca="false">SETTINGS!$B$13</f>
        <v>Lekë</v>
      </c>
    </row>
    <row r="4" s="81" customFormat="true" ht="19.5" hidden="false" customHeight="true" outlineLevel="0" collapsed="false">
      <c r="A4" s="147" t="s">
        <v>1020</v>
      </c>
      <c r="B4" s="311" t="str">
        <f aca="false">"Ushtrimi aktual ("&amp;SETTINGS!$B$9&amp;")"</f>
        <v>Ushtrimi aktual (2025)</v>
      </c>
      <c r="C4" s="311" t="str">
        <f aca="false">"Ushtrimi i mëparshëm ("&amp;SETTINGS!$B$10&amp;")"</f>
        <v>Ushtrimi i mëparshëm (2024)</v>
      </c>
      <c r="D4" s="147" t="s">
        <v>1021</v>
      </c>
    </row>
    <row r="5" s="313" customFormat="true" ht="19.5" hidden="false" customHeight="true" outlineLevel="0" collapsed="false">
      <c r="A5" s="312"/>
      <c r="B5" s="312"/>
      <c r="C5" s="312"/>
      <c r="D5" s="312"/>
    </row>
    <row r="6" s="317" customFormat="true" ht="19.5" hidden="false" customHeight="true" outlineLevel="0" collapsed="false">
      <c r="A6" s="314" t="s">
        <v>1022</v>
      </c>
      <c r="B6" s="315" t="n">
        <f aca="false">IFERROR(SUMIFS(LEDGER_ENGINE!$W$2:$W$546,LEDGER_ENGINE!$Z$2:$Z$546,"701")-SUMIFS(LEDGER_ENGINE!$V$2:$V$546,LEDGER_ENGINE!$Z$2:$Z$546,"701")+SUMIFS(LEDGER_ENGINE!$W$2:$W$546,LEDGER_ENGINE!$Z$2:$Z$546,"702")-SUMIFS(LEDGER_ENGINE!$V$2:$V$546,LEDGER_ENGINE!$Z$2:$Z$546,"702")+SUMIFS(LEDGER_ENGINE!$W$2:$W$546,LEDGER_ENGINE!$Z$2:$Z$546,"703")-SUMIFS(LEDGER_ENGINE!$V$2:$V$546,LEDGER_ENGINE!$Z$2:$Z$546,"703")+SUMIFS(LEDGER_ENGINE!$W$2:$W$546,LEDGER_ENGINE!$Z$2:$Z$546,"704")-SUMIFS(LEDGER_ENGINE!$V$2:$V$546,LEDGER_ENGINE!$Z$2:$Z$546,"704")+SUMIFS(LEDGER_ENGINE!$W$2:$W$546,LEDGER_ENGINE!$Z$2:$Z$546,"705")-SUMIFS(LEDGER_ENGINE!$V$2:$V$546,LEDGER_ENGINE!$Z$2:$Z$546,"705")+SUMIFS(LEDGER_ENGINE!$W$2:$W$546,LEDGER_ENGINE!$Z$2:$Z$546,"706")-SUMIFS(LEDGER_ENGINE!$V$2:$V$546,LEDGER_ENGINE!$Z$2:$Z$546,"706")+SUMIFS(LEDGER_ENGINE!$W$2:$W$546,LEDGER_ENGINE!$Z$2:$Z$546,"707")-SUMIFS(LEDGER_ENGINE!$V$2:$V$546,LEDGER_ENGINE!$Z$2:$Z$546,"707")+SUMIFS(LEDGER_ENGINE!$W$2:$W$546,LEDGER_ENGINE!$Z$2:$Z$546,"708")-SUMIFS(LEDGER_ENGINE!$V$2:$V$546,LEDGER_ENGINE!$Z$2:$Z$546,"708")+SUMIFS(LEDGER_ENGINE!$W$2:$W$546,LEDGER_ENGINE!$Z$2:$Z$546,"709")-SUMIFS(LEDGER_ENGINE!$V$2:$V$546,LEDGER_ENGINE!$Z$2:$Z$546,"709"),0)</f>
        <v>0</v>
      </c>
      <c r="C6" s="315" t="str">
        <f aca="false">IF(TE_DHENA_KRAHASUESE!$B$6="","",TE_DHENA_KRAHASUESE!$B$6)</f>
        <v/>
      </c>
      <c r="D6" s="316" t="s">
        <v>1023</v>
      </c>
    </row>
    <row r="7" s="317" customFormat="true" ht="19.5" hidden="false" customHeight="true" outlineLevel="0" collapsed="false">
      <c r="A7" s="314" t="s">
        <v>1024</v>
      </c>
      <c r="B7" s="315" t="n">
        <f aca="false">IFERROR(SUMIFS(LEDGER_ENGINE!$W$2:$W$546,LEDGER_ENGINE!$Y$2:$Y$546,"75")-SUMIFS(LEDGER_ENGINE!$V$2:$V$546,LEDGER_ENGINE!$Y$2:$Y$546,"75")+SUMIFS(LEDGER_ENGINE!$W$2:$W$546,LEDGER_ENGINE!$Y$2:$Y$546,"77")-SUMIFS(LEDGER_ENGINE!$V$2:$V$546,LEDGER_ENGINE!$Y$2:$Y$546,"77")+SUMIFS(LEDGER_ENGINE!$W$2:$W$546,LEDGER_ENGINE!$Y$2:$Y$546,"78")-SUMIFS(LEDGER_ENGINE!$V$2:$V$546,LEDGER_ENGINE!$Y$2:$Y$546,"78"),0)</f>
        <v>0</v>
      </c>
      <c r="C7" s="315" t="str">
        <f aca="false">IF(TE_DHENA_KRAHASUESE!$B$7="","",TE_DHENA_KRAHASUESE!$B$7)</f>
        <v/>
      </c>
      <c r="D7" s="316" t="s">
        <v>1025</v>
      </c>
    </row>
    <row r="8" s="317" customFormat="true" ht="19.5" hidden="false" customHeight="true" outlineLevel="0" collapsed="false">
      <c r="A8" s="314" t="s">
        <v>1026</v>
      </c>
      <c r="B8" s="315" t="n">
        <f aca="false">IFERROR(SUMIFS(LEDGER_ENGINE!$V$2:$V$546,LEDGER_ENGINE!$Z$2:$Z$546,"603")-SUMIFS(LEDGER_ENGINE!$W$2:$W$546,LEDGER_ENGINE!$Z$2:$Z$546,"603"),0)</f>
        <v>0</v>
      </c>
      <c r="C8" s="315" t="str">
        <f aca="false">IF(TE_DHENA_KRAHASUESE!$B$8="","",TE_DHENA_KRAHASUESE!$B$8)</f>
        <v/>
      </c>
      <c r="D8" s="316" t="s">
        <v>1027</v>
      </c>
    </row>
    <row r="9" s="317" customFormat="true" ht="19.5" hidden="false" customHeight="true" outlineLevel="0" collapsed="false">
      <c r="A9" s="314" t="s">
        <v>1028</v>
      </c>
      <c r="B9" s="315" t="n">
        <f aca="false">IFERROR(SUMIFS(LEDGER_ENGINE!$W$2:$W$546,LEDGER_ENGINE!$Y$2:$Y$546,"72")-SUMIFS(LEDGER_ENGINE!$V$2:$V$546,LEDGER_ENGINE!$Y$2:$Y$546,"72"),0)</f>
        <v>0</v>
      </c>
      <c r="C9" s="315" t="str">
        <f aca="false">IF(TE_DHENA_KRAHASUESE!$B$9="","",TE_DHENA_KRAHASUESE!$B$9)</f>
        <v/>
      </c>
      <c r="D9" s="316" t="s">
        <v>1029</v>
      </c>
    </row>
    <row r="10" s="313" customFormat="true" ht="19.5" hidden="false" customHeight="true" outlineLevel="0" collapsed="false">
      <c r="A10" s="314" t="s">
        <v>1030</v>
      </c>
      <c r="B10" s="315" t="n">
        <f aca="false">IFERROR(SUMIFS(LEDGER_ENGINE!$V$2:$V$546,LEDGER_ENGINE!$Z$2:$Z$546,"601")-SUMIFS(LEDGER_ENGINE!$W$2:$W$546,LEDGER_ENGINE!$Z$2:$Z$546,"601")+SUMIFS(LEDGER_ENGINE!$V$2:$V$546,LEDGER_ENGINE!$Z$2:$Z$546,"602")-SUMIFS(LEDGER_ENGINE!$W$2:$W$546,LEDGER_ENGINE!$Z$2:$Z$546,"602")+SUMIFS(LEDGER_ENGINE!$V$2:$V$546,LEDGER_ENGINE!$Z$2:$Z$546,"605")-SUMIFS(LEDGER_ENGINE!$W$2:$W$546,LEDGER_ENGINE!$Z$2:$Z$546,"605"),0)</f>
        <v>0</v>
      </c>
      <c r="C10" s="315" t="str">
        <f aca="false">IF(TE_DHENA_KRAHASUESE!$B$10="","",TE_DHENA_KRAHASUESE!$B$10)</f>
        <v/>
      </c>
      <c r="D10" s="316" t="s">
        <v>1031</v>
      </c>
    </row>
    <row r="11" customFormat="false" ht="19.5" hidden="false" customHeight="true" outlineLevel="0" collapsed="false">
      <c r="A11" s="314" t="s">
        <v>1032</v>
      </c>
      <c r="B11" s="315" t="n">
        <f aca="false">IFERROR(SUMIFS(LEDGER_ENGINE!$V$2:$V$546,LEDGER_ENGINE!$Y$2:$Y$546,"61")-SUMIFS(LEDGER_ENGINE!$W$2:$W$546,LEDGER_ENGINE!$Y$2:$Y$546,"61")+SUMIFS(LEDGER_ENGINE!$V$2:$V$546,LEDGER_ENGINE!$Y$2:$Y$546,"62")-SUMIFS(LEDGER_ENGINE!$W$2:$W$546,LEDGER_ENGINE!$Y$2:$Y$546,"62")+SUMIFS(LEDGER_ENGINE!$V$2:$V$546,LEDGER_ENGINE!$Y$2:$Y$546,"63")-SUMIFS(LEDGER_ENGINE!$W$2:$W$546,LEDGER_ENGINE!$Y$2:$Y$546,"63")+SUMIFS(LEDGER_ENGINE!$V$2:$V$546,LEDGER_ENGINE!$Y$2:$Y$546,"65")-SUMIFS(LEDGER_ENGINE!$W$2:$W$546,LEDGER_ENGINE!$Y$2:$Y$546,"65"),0)</f>
        <v>0</v>
      </c>
      <c r="C11" s="315" t="str">
        <f aca="false">IF(TE_DHENA_KRAHASUESE!$B$11="","",TE_DHENA_KRAHASUESE!$B$11)</f>
        <v/>
      </c>
      <c r="D11" s="316" t="s">
        <v>1033</v>
      </c>
    </row>
    <row r="12" s="313" customFormat="true" ht="19.5" hidden="false" customHeight="true" outlineLevel="0" collapsed="false">
      <c r="A12" s="318" t="s">
        <v>1034</v>
      </c>
      <c r="B12" s="268" t="n">
        <f aca="false">SUM(B13:B14)</f>
        <v>0</v>
      </c>
      <c r="C12" s="268" t="str">
        <f aca="false">IF(TE_DHENA_KRAHASUESE!$B$12="","",TE_DHENA_KRAHASUESE!$B$12)</f>
        <v/>
      </c>
      <c r="D12" s="318"/>
    </row>
    <row r="13" s="317" customFormat="true" ht="19.5" hidden="false" customHeight="true" outlineLevel="0" collapsed="false">
      <c r="A13" s="316" t="s">
        <v>1035</v>
      </c>
      <c r="B13" s="315" t="n">
        <f aca="false">IFERROR(SUMIFS(LEDGER_ENGINE!$V$2:$V$546,LEDGER_ENGINE!$Z$2:$Z$546,"641")-SUMIFS(LEDGER_ENGINE!$W$2:$W$546,LEDGER_ENGINE!$Z$2:$Z$546,"641"),0)</f>
        <v>0</v>
      </c>
      <c r="C13" s="315" t="str">
        <f aca="false">IF(TE_DHENA_KRAHASUESE!$B$13="","",TE_DHENA_KRAHASUESE!$B$13)</f>
        <v/>
      </c>
      <c r="D13" s="316" t="s">
        <v>555</v>
      </c>
    </row>
    <row r="14" s="317" customFormat="true" ht="19.5" hidden="false" customHeight="true" outlineLevel="0" collapsed="false">
      <c r="A14" s="316" t="s">
        <v>1036</v>
      </c>
      <c r="B14" s="315" t="n">
        <f aca="false">IFERROR(SUMIFS(LEDGER_ENGINE!$V$2:$V$546,LEDGER_ENGINE!$Z$2:$Z$546,"644")-SUMIFS(LEDGER_ENGINE!$W$2:$W$546,LEDGER_ENGINE!$Z$2:$Z$546,"644"),0)</f>
        <v>0</v>
      </c>
      <c r="C14" s="315" t="str">
        <f aca="false">IF(TE_DHENA_KRAHASUESE!$B$14="","",TE_DHENA_KRAHASUESE!$B$14)</f>
        <v/>
      </c>
      <c r="D14" s="316" t="s">
        <v>558</v>
      </c>
    </row>
    <row r="15" s="317" customFormat="true" ht="19.5" hidden="false" customHeight="true" outlineLevel="0" collapsed="false">
      <c r="A15" s="314" t="s">
        <v>86</v>
      </c>
      <c r="B15" s="315" t="n">
        <f aca="false">IFERROR(SUMIFS(LEDGER_ENGINE!$V$2:$V$546,LEDGER_ENGINE!$Z$2:$Z$546,"681")-SUMIFS(LEDGER_ENGINE!$W$2:$W$546,LEDGER_ENGINE!$Z$2:$Z$546,"681"),0)</f>
        <v>0</v>
      </c>
      <c r="C15" s="315" t="str">
        <f aca="false">IF(TE_DHENA_KRAHASUESE!$B$15="","",TE_DHENA_KRAHASUESE!$B$15)</f>
        <v/>
      </c>
      <c r="D15" s="316" t="s">
        <v>596</v>
      </c>
    </row>
    <row r="16" s="313" customFormat="true" ht="19.5" hidden="false" customHeight="true" outlineLevel="0" collapsed="false">
      <c r="A16" s="318" t="s">
        <v>1037</v>
      </c>
      <c r="B16" s="268" t="n">
        <f aca="false">B6+B7+B9-B8-B10-B11-B12-B15</f>
        <v>0</v>
      </c>
      <c r="C16" s="268" t="str">
        <f aca="false">IF(TE_DHENA_KRAHASUESE!$B$16="","",TE_DHENA_KRAHASUESE!$B$16)</f>
        <v/>
      </c>
      <c r="D16" s="318" t="s">
        <v>1038</v>
      </c>
    </row>
    <row r="17" s="313" customFormat="true" ht="19.5" hidden="false" customHeight="true" outlineLevel="0" collapsed="false">
      <c r="A17" s="318" t="s">
        <v>1039</v>
      </c>
      <c r="B17" s="319"/>
      <c r="C17" s="268" t="str">
        <f aca="false">IF(TE_DHENA_KRAHASUESE!$B$17="","",TE_DHENA_KRAHASUESE!$B$17)</f>
        <v/>
      </c>
      <c r="D17" s="318"/>
    </row>
    <row r="18" customFormat="false" ht="19.5" hidden="false" customHeight="true" outlineLevel="0" collapsed="false">
      <c r="A18" s="316" t="s">
        <v>1040</v>
      </c>
      <c r="B18" s="315" t="n">
        <f aca="false">IFERROR((SUMIFS(LEDGER_ENGINE!$W$2:$W$546,LEDGER_ENGINE!$Z$2:$Z$546,"767")-SUMIFS(LEDGER_ENGINE!$V$2:$V$546,LEDGER_ENGINE!$Z$2:$Z$546,"767"))-(SUMIFS(LEDGER_ENGINE!$V$2:$V$546,LEDGER_ENGINE!$Z$2:$Z$546,"667")-SUMIFS(LEDGER_ENGINE!$W$2:$W$546,LEDGER_ENGINE!$Z$2:$Z$546,"667")),0)</f>
        <v>0</v>
      </c>
      <c r="C18" s="315" t="str">
        <f aca="false">IF(TE_DHENA_KRAHASUESE!$B$18="","",TE_DHENA_KRAHASUESE!$B$18)</f>
        <v/>
      </c>
      <c r="D18" s="316" t="s">
        <v>1041</v>
      </c>
    </row>
    <row r="19" s="313" customFormat="true" ht="19.5" hidden="false" customHeight="true" outlineLevel="0" collapsed="false">
      <c r="A19" s="316" t="s">
        <v>1042</v>
      </c>
      <c r="B19" s="315" t="n">
        <f aca="false">IFERROR((SUMIFS(LEDGER_ENGINE!$W$2:$W$546,LEDGER_ENGINE!$Z$2:$Z$546,"768")-SUMIFS(LEDGER_ENGINE!$V$2:$V$546,LEDGER_ENGINE!$Z$2:$Z$546,"768"))-(SUMIFS(LEDGER_ENGINE!$V$2:$V$546,LEDGER_ENGINE!$Z$2:$Z$546,"669")-SUMIFS(LEDGER_ENGINE!$W$2:$W$546,LEDGER_ENGINE!$Z$2:$Z$546,"669")),0)</f>
        <v>0</v>
      </c>
      <c r="C19" s="315" t="str">
        <f aca="false">IF(TE_DHENA_KRAHASUESE!$B$19="","",TE_DHENA_KRAHASUESE!$B$19)</f>
        <v/>
      </c>
      <c r="D19" s="316" t="s">
        <v>1043</v>
      </c>
    </row>
    <row r="20" s="317" customFormat="true" ht="19.5" hidden="false" customHeight="true" outlineLevel="0" collapsed="false">
      <c r="A20" s="318" t="s">
        <v>1044</v>
      </c>
      <c r="B20" s="268" t="n">
        <f aca="false">SUM(B18:B19)</f>
        <v>0</v>
      </c>
      <c r="C20" s="268" t="str">
        <f aca="false">IF(TE_DHENA_KRAHASUESE!$B$20="","",TE_DHENA_KRAHASUESE!$B$20)</f>
        <v/>
      </c>
      <c r="D20" s="318" t="s">
        <v>1038</v>
      </c>
    </row>
    <row r="21" s="317" customFormat="true" ht="19.5" hidden="false" customHeight="true" outlineLevel="0" collapsed="false">
      <c r="A21" s="318" t="s">
        <v>1045</v>
      </c>
      <c r="B21" s="268" t="n">
        <f aca="false">B16+B20</f>
        <v>0</v>
      </c>
      <c r="C21" s="268" t="str">
        <f aca="false">IF(TE_DHENA_KRAHASUESE!$B$21="","",TE_DHENA_KRAHASUESE!$B$21)</f>
        <v/>
      </c>
      <c r="D21" s="318"/>
    </row>
    <row r="22" s="317" customFormat="true" ht="19.5" hidden="false" customHeight="true" outlineLevel="0" collapsed="false">
      <c r="A22" s="314" t="s">
        <v>1046</v>
      </c>
      <c r="B22" s="315" t="n">
        <f aca="false">IFERROR(SUMIFS(LEDGER_ENGINE!$V$2:$V$546,LEDGER_ENGINE!$Z$2:$Z$546,"691")-SUMIFS(LEDGER_ENGINE!$W$2:$W$546,LEDGER_ENGINE!$Z$2:$Z$546,"691")+SUMIFS(LEDGER_ENGINE!$V$2:$V$546,LEDGER_ENGINE!$Z$2:$Z$546,"694")-SUMIFS(LEDGER_ENGINE!$W$2:$W$546,LEDGER_ENGINE!$Z$2:$Z$546,"694"),0)</f>
        <v>0</v>
      </c>
      <c r="C22" s="315" t="str">
        <f aca="false">IF(TE_DHENA_KRAHASUESE!$B$22="","",TE_DHENA_KRAHASUESE!$B$22)</f>
        <v/>
      </c>
      <c r="D22" s="316" t="s">
        <v>1047</v>
      </c>
    </row>
    <row r="23" s="317" customFormat="true" ht="19.5" hidden="false" customHeight="true" outlineLevel="0" collapsed="false">
      <c r="A23" s="318" t="s">
        <v>1048</v>
      </c>
      <c r="B23" s="268" t="n">
        <f aca="false">B21-B22</f>
        <v>0</v>
      </c>
      <c r="C23" s="268" t="str">
        <f aca="false">IF(TE_DHENA_KRAHASUESE!$B$23="","",TE_DHENA_KRAHASUESE!$B$23)</f>
        <v/>
      </c>
      <c r="D23" s="318" t="s">
        <v>1049</v>
      </c>
    </row>
    <row r="24" s="317" customFormat="true" ht="19.5" hidden="false" customHeight="true" outlineLevel="0" collapsed="false">
      <c r="A24" s="312"/>
      <c r="B24" s="312"/>
      <c r="C24" s="312"/>
      <c r="D24" s="312"/>
    </row>
    <row r="25" s="313" customFormat="true" ht="19.5" hidden="false" customHeight="true" outlineLevel="0" collapsed="false">
      <c r="A25" s="147" t="s">
        <v>1050</v>
      </c>
      <c r="B25" s="147" t="s">
        <v>764</v>
      </c>
      <c r="C25" s="312"/>
      <c r="D25" s="312"/>
    </row>
    <row r="26" s="313" customFormat="true" ht="19.5" hidden="false" customHeight="true" outlineLevel="0" collapsed="false">
      <c r="A26" s="320" t="s">
        <v>1051</v>
      </c>
      <c r="B26" s="321" t="n">
        <f aca="false">B23</f>
        <v>0</v>
      </c>
      <c r="C26" s="312"/>
      <c r="D26" s="312"/>
    </row>
    <row r="27" customFormat="false" ht="19.5" hidden="false" customHeight="true" outlineLevel="0" collapsed="false">
      <c r="A27" s="320" t="s">
        <v>1052</v>
      </c>
      <c r="B27" s="321" t="n">
        <f aca="false">MBYLLJA_6_7_AUTO!$B$11</f>
        <v>0</v>
      </c>
      <c r="C27" s="312"/>
      <c r="D27" s="312"/>
    </row>
    <row r="28" s="313" customFormat="true" ht="19.5" hidden="false" customHeight="true" outlineLevel="0" collapsed="false">
      <c r="A28" s="320" t="s">
        <v>1053</v>
      </c>
      <c r="B28" s="322" t="str">
        <f aca="false">IF(ABS(B26-B27)&lt;1,"OK","KONTROLLO")</f>
        <v>OK</v>
      </c>
      <c r="C28" s="312"/>
      <c r="D28" s="312"/>
    </row>
    <row r="29" s="317" customFormat="true" ht="19.5" hidden="false" customHeight="true" outlineLevel="0" collapsed="false">
      <c r="A29" s="312"/>
      <c r="B29" s="312"/>
      <c r="C29" s="312"/>
      <c r="D29" s="312"/>
    </row>
    <row r="30" s="317" customFormat="true" ht="39.75" hidden="false" customHeight="true" outlineLevel="0" collapsed="false">
      <c r="A30" s="323" t="s">
        <v>1054</v>
      </c>
      <c r="B30" s="323"/>
      <c r="C30" s="323"/>
      <c r="D30" s="323"/>
    </row>
    <row r="31" s="313" customFormat="true" ht="15.75" hidden="false" customHeight="true" outlineLevel="0" collapsed="false">
      <c r="A31" s="312"/>
      <c r="B31" s="312"/>
      <c r="C31" s="312"/>
      <c r="D31" s="312"/>
    </row>
    <row r="32" s="313" customFormat="true" ht="15.75" hidden="false" customHeight="true" outlineLevel="0" collapsed="false">
      <c r="A32" s="312"/>
      <c r="B32" s="312"/>
      <c r="C32" s="312"/>
      <c r="D32" s="312"/>
    </row>
    <row r="33" customFormat="false" ht="7.5" hidden="false" customHeight="true" outlineLevel="0" collapsed="false">
      <c r="A33" s="312"/>
      <c r="B33" s="312"/>
      <c r="C33" s="312"/>
      <c r="D33" s="312"/>
    </row>
    <row r="34" s="313" customFormat="true" ht="18" hidden="false" customHeight="true" outlineLevel="0" collapsed="false">
      <c r="A34" s="312"/>
      <c r="B34" s="312"/>
      <c r="C34" s="312"/>
      <c r="D34" s="312"/>
    </row>
    <row r="35" s="317" customFormat="true" ht="15" hidden="false" customHeight="true" outlineLevel="0" collapsed="false">
      <c r="A35" s="312"/>
      <c r="B35" s="312"/>
      <c r="C35" s="312"/>
      <c r="D35" s="312"/>
    </row>
    <row r="36" s="313" customFormat="true" ht="15.75" hidden="false" customHeight="true" outlineLevel="0" collapsed="false">
      <c r="A36" s="312"/>
      <c r="B36" s="312"/>
      <c r="C36" s="312"/>
      <c r="D36" s="312"/>
    </row>
    <row r="37" customFormat="false" ht="7.5" hidden="false" customHeight="true" outlineLevel="0" collapsed="false">
      <c r="A37" s="312"/>
      <c r="B37" s="312"/>
      <c r="C37" s="312"/>
      <c r="D37" s="312"/>
    </row>
    <row r="38" s="317" customFormat="true" ht="15" hidden="false" customHeight="true" outlineLevel="0" collapsed="false">
      <c r="A38" s="312"/>
      <c r="B38" s="312"/>
      <c r="C38" s="312"/>
      <c r="D38" s="312"/>
    </row>
    <row r="39" customFormat="false" ht="14.25" hidden="false" customHeight="true" outlineLevel="0" collapsed="false">
      <c r="A39" s="312"/>
      <c r="B39" s="312"/>
      <c r="C39" s="312"/>
      <c r="D39" s="312"/>
    </row>
    <row r="40" customFormat="false" ht="14.25" hidden="false" customHeight="true" outlineLevel="0" collapsed="false">
      <c r="A40" s="312"/>
      <c r="B40" s="312"/>
      <c r="C40" s="312"/>
      <c r="D40" s="312"/>
    </row>
    <row r="41" customFormat="false" ht="14.25" hidden="false" customHeight="true" outlineLevel="0" collapsed="false">
      <c r="A41" s="312"/>
      <c r="B41" s="312"/>
      <c r="C41" s="312"/>
      <c r="D41" s="312"/>
    </row>
    <row r="42" customFormat="false" ht="14.25" hidden="false" customHeight="true" outlineLevel="0" collapsed="false">
      <c r="A42" s="312"/>
      <c r="B42" s="312"/>
      <c r="C42" s="312"/>
      <c r="D42" s="312"/>
    </row>
    <row r="43" customFormat="false" ht="14.25" hidden="false" customHeight="true" outlineLevel="0" collapsed="false">
      <c r="A43" s="312"/>
      <c r="B43" s="312"/>
      <c r="C43" s="312"/>
      <c r="D43" s="312"/>
    </row>
    <row r="44" customFormat="false" ht="14.25" hidden="false" customHeight="true" outlineLevel="0" collapsed="false">
      <c r="A44" s="312"/>
      <c r="B44" s="312"/>
      <c r="C44" s="312"/>
      <c r="D44" s="312"/>
    </row>
    <row r="45" customFormat="false" ht="14.25" hidden="false" customHeight="true" outlineLevel="0" collapsed="false">
      <c r="A45" s="312"/>
      <c r="B45" s="312"/>
      <c r="C45" s="312"/>
      <c r="D45" s="312"/>
    </row>
    <row r="46" customFormat="false" ht="14.25" hidden="false" customHeight="true" outlineLevel="0" collapsed="false">
      <c r="A46" s="312"/>
      <c r="B46" s="312"/>
      <c r="C46" s="312"/>
      <c r="D46" s="312"/>
    </row>
    <row r="47" customFormat="false" ht="14.25" hidden="false" customHeight="true" outlineLevel="0" collapsed="false">
      <c r="A47" s="312"/>
      <c r="B47" s="312"/>
      <c r="C47" s="312"/>
      <c r="D47" s="312"/>
    </row>
    <row r="48" customFormat="false" ht="14.25" hidden="false" customHeight="true" outlineLevel="0" collapsed="false">
      <c r="A48" s="312"/>
      <c r="B48" s="312"/>
      <c r="C48" s="312"/>
      <c r="D48" s="312"/>
    </row>
    <row r="49" customFormat="false" ht="14.25" hidden="false" customHeight="true" outlineLevel="0" collapsed="false">
      <c r="A49" s="312"/>
      <c r="B49" s="312"/>
      <c r="C49" s="312"/>
      <c r="D49" s="312"/>
    </row>
    <row r="50" customFormat="false" ht="14.25" hidden="false" customHeight="true" outlineLevel="0" collapsed="false">
      <c r="A50" s="312"/>
      <c r="B50" s="312"/>
      <c r="C50" s="312"/>
      <c r="D50" s="312"/>
    </row>
    <row r="51" customFormat="false" ht="14.25" hidden="false" customHeight="true" outlineLevel="0" collapsed="false">
      <c r="A51" s="312"/>
      <c r="B51" s="312"/>
      <c r="C51" s="312"/>
      <c r="D51" s="312"/>
    </row>
    <row r="52" customFormat="false" ht="14.25" hidden="false" customHeight="true" outlineLevel="0" collapsed="false">
      <c r="A52" s="312"/>
      <c r="B52" s="312"/>
      <c r="C52" s="312"/>
      <c r="D52" s="312"/>
    </row>
    <row r="53" customFormat="false" ht="14.25" hidden="false" customHeight="true" outlineLevel="0" collapsed="false">
      <c r="A53" s="312"/>
      <c r="B53" s="312"/>
      <c r="C53" s="312"/>
      <c r="D53" s="312"/>
    </row>
    <row r="54" customFormat="false" ht="14.25" hidden="false" customHeight="true" outlineLevel="0" collapsed="false">
      <c r="A54" s="312"/>
      <c r="B54" s="312"/>
      <c r="C54" s="312"/>
      <c r="D54" s="312"/>
    </row>
    <row r="55" customFormat="false" ht="14.25" hidden="false" customHeight="true" outlineLevel="0" collapsed="false">
      <c r="A55" s="312"/>
      <c r="B55" s="312"/>
      <c r="C55" s="312"/>
      <c r="D55" s="312"/>
    </row>
    <row r="56" customFormat="false" ht="14.25" hidden="false" customHeight="true" outlineLevel="0" collapsed="false">
      <c r="A56" s="312"/>
      <c r="B56" s="312"/>
      <c r="C56" s="312"/>
      <c r="D56" s="312"/>
    </row>
    <row r="57" customFormat="false" ht="14.25" hidden="false" customHeight="true" outlineLevel="0" collapsed="false">
      <c r="A57" s="312"/>
      <c r="B57" s="312"/>
      <c r="C57" s="312"/>
      <c r="D57" s="312"/>
    </row>
    <row r="58" customFormat="false" ht="14.25" hidden="false" customHeight="true" outlineLevel="0" collapsed="false">
      <c r="A58" s="312"/>
      <c r="B58" s="312"/>
      <c r="C58" s="312"/>
      <c r="D58" s="312"/>
    </row>
    <row r="59" customFormat="false" ht="14.25" hidden="false" customHeight="true" outlineLevel="0" collapsed="false">
      <c r="A59" s="312"/>
      <c r="B59" s="312"/>
      <c r="C59" s="312"/>
      <c r="D59" s="312"/>
    </row>
    <row r="60" customFormat="false" ht="14.25" hidden="false" customHeight="true" outlineLevel="0" collapsed="false">
      <c r="A60" s="312"/>
      <c r="B60" s="312"/>
      <c r="C60" s="312"/>
      <c r="D60" s="312"/>
    </row>
  </sheetData>
  <sheetProtection sheet="true" password="91db" formatCells="false" formatColumns="false" formatRows="false" sort="false" autoFilter="false"/>
  <mergeCells count="3">
    <mergeCell ref="A1:D1"/>
    <mergeCell ref="A2:D2"/>
    <mergeCell ref="A30:D30"/>
  </mergeCells>
  <hyperlinks>
    <hyperlink ref="E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51" width="60"/>
    <col collapsed="false" customWidth="true" hidden="false" outlineLevel="0" max="2" min="2" style="51" width="28.57"/>
    <col collapsed="false" customWidth="true" hidden="false" outlineLevel="0" max="3" min="3" style="1" width="34.29"/>
    <col collapsed="false" customWidth="true" hidden="false" outlineLevel="0" max="5" min="5" style="1" width="16"/>
  </cols>
  <sheetData>
    <row r="1" s="51" customFormat="true" ht="25.5" hidden="false" customHeight="true" outlineLevel="0" collapsed="false">
      <c r="A1" s="139" t="s">
        <v>1055</v>
      </c>
      <c r="B1" s="139"/>
      <c r="C1" s="139"/>
      <c r="D1" s="205"/>
      <c r="E1" s="29" t="s">
        <v>19</v>
      </c>
      <c r="F1" s="205"/>
    </row>
    <row r="2" customFormat="false" ht="21.75" hidden="false" customHeight="true" outlineLevel="0" collapsed="false">
      <c r="A2" s="324" t="s">
        <v>1056</v>
      </c>
      <c r="B2" s="324"/>
      <c r="C2" s="324"/>
      <c r="D2" s="205"/>
      <c r="E2" s="205"/>
      <c r="F2" s="205"/>
    </row>
    <row r="3" customFormat="false" ht="19.5" hidden="false" customHeight="true" outlineLevel="0" collapsed="false">
      <c r="A3" s="325" t="str">
        <f aca="false">SETTINGS!$B$5&amp;" | NIPT: "&amp;SETTINGS!$B$6</f>
        <v> | NIPT: </v>
      </c>
      <c r="B3" s="326"/>
      <c r="C3" s="325" t="str">
        <f aca="false">"Periudha: 31/12/"&amp;SETTINGS!$B$9</f>
        <v>Periudha: 31/12/2025</v>
      </c>
      <c r="D3" s="325" t="str">
        <f aca="false">SETTINGS!$B$13</f>
        <v>Lekë</v>
      </c>
      <c r="E3" s="205"/>
      <c r="F3" s="205"/>
    </row>
    <row r="4" s="51" customFormat="true" ht="19.5" hidden="false" customHeight="true" outlineLevel="0" collapsed="false">
      <c r="A4" s="327" t="s">
        <v>1020</v>
      </c>
      <c r="B4" s="328" t="str">
        <f aca="false">"Ushtrimi aktual ("&amp;SETTINGS!$B$9&amp;")"</f>
        <v>Ushtrimi aktual (2025)</v>
      </c>
      <c r="C4" s="328" t="str">
        <f aca="false">"Ushtrimi i mëparshëm ("&amp;SETTINGS!$B$10&amp;")"</f>
        <v>Ushtrimi i mëparshëm (2024)</v>
      </c>
      <c r="D4" s="205"/>
      <c r="E4" s="205"/>
      <c r="F4" s="205"/>
    </row>
    <row r="5" customFormat="false" ht="19.5" hidden="false" customHeight="true" outlineLevel="0" collapsed="false">
      <c r="A5" s="329" t="s">
        <v>1057</v>
      </c>
      <c r="B5" s="330"/>
      <c r="C5" s="330"/>
      <c r="D5" s="205"/>
      <c r="E5" s="205"/>
      <c r="F5" s="205"/>
    </row>
    <row r="6" customFormat="false" ht="19.5" hidden="false" customHeight="true" outlineLevel="0" collapsed="false">
      <c r="A6" s="331" t="s">
        <v>1058</v>
      </c>
      <c r="B6" s="332"/>
      <c r="C6" s="332"/>
      <c r="D6" s="205"/>
      <c r="E6" s="205"/>
      <c r="F6" s="205"/>
    </row>
    <row r="7" customFormat="false" ht="19.5" hidden="false" customHeight="true" outlineLevel="0" collapsed="false">
      <c r="A7" s="333" t="s">
        <v>1059</v>
      </c>
      <c r="B7" s="334" t="n">
        <f aca="false">IFERROR(SUMIFS(LEDGER_ENGINE!$I$2:$I$546,LEDGER_ENGINE!$Z$2:$Z$546,"511")-SUMIFS(LEDGER_ENGINE!$J$2:$J$546,LEDGER_ENGINE!$Z$2:$Z$546,"511")+SUMIFS(LEDGER_ENGINE!$I$2:$I$546,LEDGER_ENGINE!$Z$2:$Z$546,"512")-SUMIFS(LEDGER_ENGINE!$J$2:$J$546,LEDGER_ENGINE!$Z$2:$Z$546,"512")+SUMIFS(LEDGER_ENGINE!$I$2:$I$546,LEDGER_ENGINE!$Z$2:$Z$546,"531")-SUMIFS(LEDGER_ENGINE!$J$2:$J$546,LEDGER_ENGINE!$Z$2:$Z$546,"531"),0)</f>
        <v>0</v>
      </c>
      <c r="C7" s="334" t="str">
        <f aca="false">IF(TE_DHENA_KRAHASUESE!$B$28="","",TE_DHENA_KRAHASUESE!$B$28)</f>
        <v/>
      </c>
      <c r="D7" s="205"/>
      <c r="E7" s="205"/>
      <c r="F7" s="205"/>
    </row>
    <row r="8" customFormat="false" ht="19.5" hidden="false" customHeight="true" outlineLevel="0" collapsed="false">
      <c r="A8" s="335" t="s">
        <v>1060</v>
      </c>
      <c r="B8" s="336"/>
      <c r="C8" s="334" t="str">
        <f aca="false">IF(TE_DHENA_KRAHASUESE!$B$29="","",TE_DHENA_KRAHASUESE!$B$29)</f>
        <v/>
      </c>
      <c r="D8" s="205"/>
      <c r="E8" s="205"/>
      <c r="F8" s="205"/>
    </row>
    <row r="9" customFormat="false" ht="19.5" hidden="false" customHeight="true" outlineLevel="0" collapsed="false">
      <c r="A9" s="333" t="s">
        <v>1061</v>
      </c>
      <c r="B9" s="334" t="n">
        <f aca="false">IFERROR(SUMIFS(LEDGER_ENGINE!$I$2:$I$546,LEDGER_ENGINE!$Z$2:$Z$546,"411")-SUMIFS(LEDGER_ENGINE!$J$2:$J$546,LEDGER_ENGINE!$Z$2:$Z$546,"411")+SUMIFS(LEDGER_ENGINE!$I$2:$I$546,LEDGER_ENGINE!$Z$2:$Z$546,"413")-SUMIFS(LEDGER_ENGINE!$J$2:$J$546,LEDGER_ENGINE!$Z$2:$Z$546,"413")+SUMIFS(LEDGER_ENGINE!$I$2:$I$546,LEDGER_ENGINE!$Z$2:$Z$546,"414")-SUMIFS(LEDGER_ENGINE!$J$2:$J$546,LEDGER_ENGINE!$Z$2:$Z$546,"414"),0)</f>
        <v>0</v>
      </c>
      <c r="C9" s="334" t="str">
        <f aca="false">IF(TE_DHENA_KRAHASUESE!$B$30="","",TE_DHENA_KRAHASUESE!$B$30)</f>
        <v/>
      </c>
      <c r="D9" s="205"/>
      <c r="E9" s="205"/>
      <c r="F9" s="205"/>
    </row>
    <row r="10" customFormat="false" ht="19.5" hidden="false" customHeight="true" outlineLevel="0" collapsed="false">
      <c r="A10" s="333" t="s">
        <v>1062</v>
      </c>
      <c r="B10" s="334" t="n">
        <f aca="false">IFERROR(SUMIFS(LEDGER_ENGINE!$I$2:$I$546,LEDGER_ENGINE!$Z$2:$Z$546,"418")-SUMIFS(LEDGER_ENGINE!$J$2:$J$546,LEDGER_ENGINE!$Z$2:$Z$546,"418")+SUMIFS(LEDGER_ENGINE!$I$2:$I$546,LEDGER_ENGINE!$Z$2:$Z$546,"423")-SUMIFS(LEDGER_ENGINE!$J$2:$J$546,LEDGER_ENGINE!$Z$2:$Z$546,"423")+SUMIFS(LEDGER_ENGINE!$I$2:$I$546,LEDGER_ENGINE!$AA$2:$AA$546,"4456")-SUMIFS(LEDGER_ENGINE!$J$2:$J$546,LEDGER_ENGINE!$AA$2:$AA$546,"4456")+SUMIFS(LEDGER_ENGINE!$I$2:$I$546,LEDGER_ENGINE!$Z$2:$Z$546,"456")-SUMIFS(LEDGER_ENGINE!$J$2:$J$546,LEDGER_ENGINE!$Z$2:$Z$546,"456")+SUMIFS(LEDGER_ENGINE!$I$2:$I$546,LEDGER_ENGINE!$Z$2:$Z$546,"476")-SUMIFS(LEDGER_ENGINE!$J$2:$J$546,LEDGER_ENGINE!$Z$2:$Z$546,"476")+SUMIFS(LEDGER_ENGINE!$I$2:$I$546,LEDGER_ENGINE!$Z$2:$Z$546,"486")-SUMIFS(LEDGER_ENGINE!$J$2:$J$546,LEDGER_ENGINE!$Z$2:$Z$546,"486")+SUMIFS(LEDGER_ENGINE!$I$2:$I$546,LEDGER_ENGINE!$Z$2:$Z$546,"487")-SUMIFS(LEDGER_ENGINE!$J$2:$J$546,LEDGER_ENGINE!$Z$2:$Z$546,"487"),0)</f>
        <v>0</v>
      </c>
      <c r="C10" s="334" t="str">
        <f aca="false">IF(TE_DHENA_KRAHASUESE!$B$31="","",TE_DHENA_KRAHASUESE!$B$31)</f>
        <v/>
      </c>
      <c r="D10" s="205"/>
      <c r="E10" s="205"/>
      <c r="F10" s="205"/>
    </row>
    <row r="11" customFormat="false" ht="19.5" hidden="false" customHeight="true" outlineLevel="0" collapsed="false">
      <c r="A11" s="333" t="s">
        <v>1063</v>
      </c>
      <c r="B11" s="334" t="n">
        <f aca="false">IFERROR(SUMIFS(LEDGER_ENGINE!$I$2:$I$546,LEDGER_ENGINE!$Y$2:$Y$546,"45")-SUMIFS(LEDGER_ENGINE!$J$2:$J$546,LEDGER_ENGINE!$Y$2:$Y$546,"45")+SUMIFS(LEDGER_ENGINE!$I$2:$I$546,LEDGER_ENGINE!$Y$2:$Y$546,"50")-SUMIFS(LEDGER_ENGINE!$J$2:$J$546,LEDGER_ENGINE!$Y$2:$Y$546,"50"),0)</f>
        <v>0</v>
      </c>
      <c r="C11" s="334" t="str">
        <f aca="false">IF(TE_DHENA_KRAHASUESE!$B$32="","",TE_DHENA_KRAHASUESE!$B$32)</f>
        <v/>
      </c>
      <c r="D11" s="205"/>
      <c r="E11" s="205"/>
      <c r="F11" s="205"/>
    </row>
    <row r="12" customFormat="false" ht="19.5" hidden="false" customHeight="true" outlineLevel="0" collapsed="false">
      <c r="A12" s="337" t="s">
        <v>1064</v>
      </c>
      <c r="B12" s="334" t="n">
        <f aca="false">IFERROR(SUMIFS(LEDGER_ENGINE!$J$2:$J$546,LEDGER_ENGINE!$Z$2:$Z$546,"491")-SUMIFS(LEDGER_ENGINE!$I$2:$I$546,LEDGER_ENGINE!$Z$2:$Z$546,"491")+SUMIFS(LEDGER_ENGINE!$J$2:$J$546,LEDGER_ENGINE!$Z$2:$Z$546,"495")-SUMIFS(LEDGER_ENGINE!$I$2:$I$546,LEDGER_ENGINE!$Z$2:$Z$546,"495")+SUMIFS(LEDGER_ENGINE!$J$2:$J$546,LEDGER_ENGINE!$Z$2:$Z$546,"496")-SUMIFS(LEDGER_ENGINE!$I$2:$I$546,LEDGER_ENGINE!$Z$2:$Z$546,"496"),0)</f>
        <v>0</v>
      </c>
      <c r="C12" s="334" t="str">
        <f aca="false">IF(TE_DHENA_KRAHASUESE!$B$33="","",TE_DHENA_KRAHASUESE!$B$33)</f>
        <v/>
      </c>
      <c r="D12" s="205"/>
      <c r="E12" s="205"/>
      <c r="F12" s="205"/>
    </row>
    <row r="13" customFormat="false" ht="19.5" hidden="false" customHeight="true" outlineLevel="0" collapsed="false">
      <c r="A13" s="338" t="s">
        <v>1065</v>
      </c>
      <c r="B13" s="339" t="n">
        <f aca="false">SUM(B9:B11)-B12</f>
        <v>0</v>
      </c>
      <c r="C13" s="339" t="str">
        <f aca="false">IF(TE_DHENA_KRAHASUESE!$B$34="","",TE_DHENA_KRAHASUESE!$B$34)</f>
        <v/>
      </c>
      <c r="D13" s="205"/>
      <c r="E13" s="205"/>
      <c r="F13" s="205"/>
    </row>
    <row r="14" customFormat="false" ht="19.5" hidden="false" customHeight="true" outlineLevel="0" collapsed="false">
      <c r="A14" s="335" t="s">
        <v>1066</v>
      </c>
      <c r="B14" s="336"/>
      <c r="C14" s="334" t="str">
        <f aca="false">IF(TE_DHENA_KRAHASUESE!$B$35="","",TE_DHENA_KRAHASUESE!$B$35)</f>
        <v/>
      </c>
      <c r="D14" s="205"/>
      <c r="E14" s="205"/>
      <c r="F14" s="205"/>
    </row>
    <row r="15" customFormat="false" ht="19.5" hidden="false" customHeight="true" outlineLevel="0" collapsed="false">
      <c r="A15" s="333" t="s">
        <v>1067</v>
      </c>
      <c r="B15" s="334" t="n">
        <f aca="false">IFERROR(SUMIFS(LEDGER_ENGINE!$I$2:$I$546,LEDGER_ENGINE!$Y$2:$Y$546,"31")-SUMIFS(LEDGER_ENGINE!$J$2:$J$546,LEDGER_ENGINE!$Y$2:$Y$546,"31")+SUMIFS(LEDGER_ENGINE!$I$2:$I$546,LEDGER_ENGINE!$Y$2:$Y$546,"32")-SUMIFS(LEDGER_ENGINE!$J$2:$J$546,LEDGER_ENGINE!$Y$2:$Y$546,"32"),0)</f>
        <v>0</v>
      </c>
      <c r="C15" s="334" t="str">
        <f aca="false">IF(TE_DHENA_KRAHASUESE!$B$36="","",TE_DHENA_KRAHASUESE!$B$36)</f>
        <v/>
      </c>
      <c r="D15" s="205"/>
      <c r="E15" s="205"/>
      <c r="F15" s="205"/>
    </row>
    <row r="16" customFormat="false" ht="19.5" hidden="false" customHeight="true" outlineLevel="0" collapsed="false">
      <c r="A16" s="333" t="s">
        <v>1068</v>
      </c>
      <c r="B16" s="334" t="n">
        <f aca="false">IFERROR(SUMIFS(LEDGER_ENGINE!$I$2:$I$546,LEDGER_ENGINE!$Y$2:$Y$546,"33")-SUMIFS(LEDGER_ENGINE!$J$2:$J$546,LEDGER_ENGINE!$Y$2:$Y$546,"33"),0)</f>
        <v>0</v>
      </c>
      <c r="C16" s="334" t="str">
        <f aca="false">IF(TE_DHENA_KRAHASUESE!$B$37="","",TE_DHENA_KRAHASUESE!$B$37)</f>
        <v/>
      </c>
      <c r="D16" s="205"/>
      <c r="E16" s="205"/>
      <c r="F16" s="205"/>
    </row>
    <row r="17" customFormat="false" ht="19.5" hidden="false" customHeight="true" outlineLevel="0" collapsed="false">
      <c r="A17" s="333" t="s">
        <v>1069</v>
      </c>
      <c r="B17" s="334" t="n">
        <f aca="false">IFERROR(SUMIFS(LEDGER_ENGINE!$I$2:$I$546,LEDGER_ENGINE!$Y$2:$Y$546,"34")-SUMIFS(LEDGER_ENGINE!$J$2:$J$546,LEDGER_ENGINE!$Y$2:$Y$546,"34"),0)</f>
        <v>0</v>
      </c>
      <c r="C17" s="334" t="str">
        <f aca="false">IF(TE_DHENA_KRAHASUESE!$B$38="","",TE_DHENA_KRAHASUESE!$B$38)</f>
        <v/>
      </c>
      <c r="D17" s="205"/>
      <c r="E17" s="205"/>
      <c r="F17" s="205"/>
    </row>
    <row r="18" customFormat="false" ht="19.5" hidden="false" customHeight="true" outlineLevel="0" collapsed="false">
      <c r="A18" s="333" t="s">
        <v>1070</v>
      </c>
      <c r="B18" s="334" t="n">
        <f aca="false">IFERROR(SUMIFS(LEDGER_ENGINE!$I$2:$I$546,LEDGER_ENGINE!$Y$2:$Y$546,"35")-SUMIFS(LEDGER_ENGINE!$J$2:$J$546,LEDGER_ENGINE!$Y$2:$Y$546,"35"),0)</f>
        <v>0</v>
      </c>
      <c r="C18" s="334" t="str">
        <f aca="false">IF(TE_DHENA_KRAHASUESE!$B$39="","",TE_DHENA_KRAHASUESE!$B$39)</f>
        <v/>
      </c>
      <c r="D18" s="205"/>
      <c r="E18" s="205"/>
      <c r="F18" s="205"/>
    </row>
    <row r="19" customFormat="false" ht="19.5" hidden="false" customHeight="true" outlineLevel="0" collapsed="false">
      <c r="A19" s="333" t="s">
        <v>1071</v>
      </c>
      <c r="B19" s="334" t="n">
        <f aca="false">IFERROR(SUMIFS(LEDGER_ENGINE!$I$2:$I$546,LEDGER_ENGINE!$Z$2:$Z$546,"418")-SUMIFS(LEDGER_ENGINE!$J$2:$J$546,LEDGER_ENGINE!$Z$2:$Z$546,"418"),0)</f>
        <v>0</v>
      </c>
      <c r="C19" s="334" t="str">
        <f aca="false">IF(TE_DHENA_KRAHASUESE!$B$40="","",TE_DHENA_KRAHASUESE!$B$40)</f>
        <v/>
      </c>
      <c r="D19" s="205"/>
      <c r="E19" s="205"/>
      <c r="F19" s="205"/>
    </row>
    <row r="20" customFormat="false" ht="19.5" hidden="false" customHeight="true" outlineLevel="0" collapsed="false">
      <c r="A20" s="338" t="s">
        <v>1072</v>
      </c>
      <c r="B20" s="339" t="n">
        <f aca="false">SUM(B15:B19)</f>
        <v>0</v>
      </c>
      <c r="C20" s="339" t="str">
        <f aca="false">IF(TE_DHENA_KRAHASUESE!$B$41="","",TE_DHENA_KRAHASUESE!$B$41)</f>
        <v/>
      </c>
      <c r="D20" s="205"/>
      <c r="E20" s="205"/>
      <c r="F20" s="205"/>
    </row>
    <row r="21" customFormat="false" ht="19.5" hidden="false" customHeight="true" outlineLevel="0" collapsed="false">
      <c r="A21" s="340" t="s">
        <v>1073</v>
      </c>
      <c r="B21" s="341" t="n">
        <f aca="false">SUM(B7,B13,B20)</f>
        <v>0</v>
      </c>
      <c r="C21" s="341" t="str">
        <f aca="false">IF(TE_DHENA_KRAHASUESE!$B$42="","",TE_DHENA_KRAHASUESE!$B$42)</f>
        <v/>
      </c>
      <c r="D21" s="205"/>
      <c r="E21" s="205"/>
      <c r="F21" s="205"/>
    </row>
    <row r="22" customFormat="false" ht="19.5" hidden="false" customHeight="true" outlineLevel="0" collapsed="false">
      <c r="A22" s="331" t="s">
        <v>1074</v>
      </c>
      <c r="B22" s="332"/>
      <c r="C22" s="342" t="str">
        <f aca="false">IF(TE_DHENA_KRAHASUESE!$B$43="","",TE_DHENA_KRAHASUESE!$B$43)</f>
        <v/>
      </c>
      <c r="D22" s="205"/>
      <c r="E22" s="205"/>
      <c r="F22" s="205"/>
    </row>
    <row r="23" customFormat="false" ht="19.5" hidden="false" customHeight="true" outlineLevel="0" collapsed="false">
      <c r="A23" s="333" t="s">
        <v>1075</v>
      </c>
      <c r="B23" s="334" t="n">
        <f aca="false">IFERROR(SUMIFS(LEDGER_ENGINE!$I$2:$I$546,LEDGER_ENGINE!$Y$2:$Y$546,"25")-SUMIFS(LEDGER_ENGINE!$J$2:$J$546,LEDGER_ENGINE!$Y$2:$Y$546,"25")+SUMIFS(LEDGER_ENGINE!$I$2:$I$546,LEDGER_ENGINE!$Y$2:$Y$546,"26")-SUMIFS(LEDGER_ENGINE!$J$2:$J$546,LEDGER_ENGINE!$Y$2:$Y$546,"26")+SUMIFS(LEDGER_ENGINE!$I$2:$I$546,LEDGER_ENGINE!$Y$2:$Y$546,"27")-SUMIFS(LEDGER_ENGINE!$J$2:$J$546,LEDGER_ENGINE!$Y$2:$Y$546,"27"),0)</f>
        <v>0</v>
      </c>
      <c r="C23" s="334" t="str">
        <f aca="false">IF(TE_DHENA_KRAHASUESE!$B$44="","",TE_DHENA_KRAHASUESE!$B$44)</f>
        <v/>
      </c>
      <c r="D23" s="205"/>
      <c r="E23" s="205"/>
      <c r="F23" s="205"/>
    </row>
    <row r="24" customFormat="false" ht="19.5" hidden="false" customHeight="true" outlineLevel="0" collapsed="false">
      <c r="A24" s="335" t="s">
        <v>1076</v>
      </c>
      <c r="B24" s="336"/>
      <c r="C24" s="334" t="str">
        <f aca="false">IF(TE_DHENA_KRAHASUESE!$B$45="","",TE_DHENA_KRAHASUESE!$B$45)</f>
        <v/>
      </c>
      <c r="D24" s="205"/>
      <c r="E24" s="205"/>
      <c r="F24" s="205"/>
    </row>
    <row r="25" customFormat="false" ht="19.5" hidden="false" customHeight="true" outlineLevel="0" collapsed="false">
      <c r="A25" s="333" t="s">
        <v>1077</v>
      </c>
      <c r="B25" s="334" t="n">
        <f aca="false">IFERROR(SUMIFS(LEDGER_ENGINE!$I$2:$I$546,LEDGER_ENGINE!$Z$2:$Z$546,"211")-SUMIFS(LEDGER_ENGINE!$J$2:$J$546,LEDGER_ENGINE!$Z$2:$Z$546,"211")+SUMIFS(LEDGER_ENGINE!$I$2:$I$546,LEDGER_ENGINE!$Z$2:$Z$546,"212")-SUMIFS(LEDGER_ENGINE!$J$2:$J$546,LEDGER_ENGINE!$Z$2:$Z$546,"212"),0)</f>
        <v>0</v>
      </c>
      <c r="C25" s="334" t="str">
        <f aca="false">IF(TE_DHENA_KRAHASUESE!$B$46="","",TE_DHENA_KRAHASUESE!$B$46)</f>
        <v/>
      </c>
      <c r="D25" s="205"/>
      <c r="E25" s="205"/>
      <c r="F25" s="205"/>
    </row>
    <row r="26" customFormat="false" ht="19.5" hidden="false" customHeight="true" outlineLevel="0" collapsed="false">
      <c r="A26" s="333" t="s">
        <v>1078</v>
      </c>
      <c r="B26" s="334" t="n">
        <f aca="false">IFERROR(SUMIFS(LEDGER_ENGINE!$I$2:$I$546,LEDGER_ENGINE!$Z$2:$Z$546,"213")-SUMIFS(LEDGER_ENGINE!$J$2:$J$546,LEDGER_ENGINE!$Z$2:$Z$546,"213"),0)</f>
        <v>0</v>
      </c>
      <c r="C26" s="334" t="str">
        <f aca="false">IF(TE_DHENA_KRAHASUESE!$B$47="","",TE_DHENA_KRAHASUESE!$B$47)</f>
        <v/>
      </c>
      <c r="D26" s="205"/>
      <c r="E26" s="205"/>
      <c r="F26" s="205"/>
    </row>
    <row r="27" customFormat="false" ht="19.5" hidden="false" customHeight="true" outlineLevel="0" collapsed="false">
      <c r="A27" s="333" t="s">
        <v>1079</v>
      </c>
      <c r="B27" s="334" t="n">
        <f aca="false">IFERROR(SUMIFS(LEDGER_ENGINE!$I$2:$I$546,LEDGER_ENGINE!$Z$2:$Z$546,"215")-SUMIFS(LEDGER_ENGINE!$J$2:$J$546,LEDGER_ENGINE!$Z$2:$Z$546,"215")+SUMIFS(LEDGER_ENGINE!$I$2:$I$546,LEDGER_ENGINE!$Z$2:$Z$546,"218")-SUMIFS(LEDGER_ENGINE!$J$2:$J$546,LEDGER_ENGINE!$Z$2:$Z$546,"218"),0)</f>
        <v>0</v>
      </c>
      <c r="C27" s="334" t="str">
        <f aca="false">IF(TE_DHENA_KRAHASUESE!$B$48="","",TE_DHENA_KRAHASUESE!$B$48)</f>
        <v/>
      </c>
      <c r="D27" s="205"/>
      <c r="E27" s="205"/>
      <c r="F27" s="205"/>
    </row>
    <row r="28" customFormat="false" ht="19.5" hidden="false" customHeight="true" outlineLevel="0" collapsed="false">
      <c r="A28" s="333" t="s">
        <v>1080</v>
      </c>
      <c r="B28" s="334" t="n">
        <f aca="false">IFERROR(SUMIFS(LEDGER_ENGINE!$I$2:$I$546,LEDGER_ENGINE!$Z$2:$Z$546,"231")-SUMIFS(LEDGER_ENGINE!$J$2:$J$546,LEDGER_ENGINE!$Z$2:$Z$546,"231")+SUMIFS(LEDGER_ENGINE!$I$2:$I$546,LEDGER_ENGINE!$Z$2:$Z$546,"232")-SUMIFS(LEDGER_ENGINE!$J$2:$J$546,LEDGER_ENGINE!$Z$2:$Z$546,"232"),0)</f>
        <v>0</v>
      </c>
      <c r="C28" s="334" t="str">
        <f aca="false">IF(TE_DHENA_KRAHASUESE!$B$49="","",TE_DHENA_KRAHASUESE!$B$49)</f>
        <v/>
      </c>
      <c r="D28" s="205"/>
      <c r="E28" s="205"/>
      <c r="F28" s="205"/>
    </row>
    <row r="29" customFormat="false" ht="19.5" hidden="false" customHeight="true" outlineLevel="0" collapsed="false">
      <c r="A29" s="337" t="s">
        <v>1081</v>
      </c>
      <c r="B29" s="334" t="n">
        <f aca="false">IFERROR(SUMIFS(LEDGER_ENGINE!$J$2:$J$546,LEDGER_ENGINE!$Z$2:$Z$546,"281")-SUMIFS(LEDGER_ENGINE!$I$2:$I$546,LEDGER_ENGINE!$Z$2:$Z$546,"281")+SUMIFS(LEDGER_ENGINE!$J$2:$J$546,LEDGER_ENGINE!$Z$2:$Z$546,"291")-SUMIFS(LEDGER_ENGINE!$I$2:$I$546,LEDGER_ENGINE!$Z$2:$Z$546,"291"),0)</f>
        <v>0</v>
      </c>
      <c r="C29" s="334" t="str">
        <f aca="false">IF(TE_DHENA_KRAHASUESE!$B$50="","",TE_DHENA_KRAHASUESE!$B$50)</f>
        <v/>
      </c>
      <c r="D29" s="205"/>
      <c r="E29" s="205"/>
      <c r="F29" s="205"/>
    </row>
    <row r="30" customFormat="false" ht="19.5" hidden="false" customHeight="true" outlineLevel="0" collapsed="false">
      <c r="A30" s="338" t="s">
        <v>1082</v>
      </c>
      <c r="B30" s="339" t="n">
        <f aca="false">SUM(B25:B28)-B29</f>
        <v>0</v>
      </c>
      <c r="C30" s="339" t="str">
        <f aca="false">IF(TE_DHENA_KRAHASUESE!$B$51="","",TE_DHENA_KRAHASUESE!$B$51)</f>
        <v/>
      </c>
      <c r="D30" s="205"/>
      <c r="E30" s="205"/>
      <c r="F30" s="205"/>
    </row>
    <row r="31" customFormat="false" ht="19.5" hidden="false" customHeight="true" outlineLevel="0" collapsed="false">
      <c r="A31" s="335" t="s">
        <v>1083</v>
      </c>
      <c r="B31" s="336"/>
      <c r="C31" s="334" t="str">
        <f aca="false">IF(TE_DHENA_KRAHASUESE!$B$52="","",TE_DHENA_KRAHASUESE!$B$52)</f>
        <v/>
      </c>
      <c r="D31" s="205"/>
      <c r="E31" s="205"/>
      <c r="F31" s="205"/>
    </row>
    <row r="32" customFormat="false" ht="19.5" hidden="false" customHeight="true" outlineLevel="0" collapsed="false">
      <c r="A32" s="333" t="s">
        <v>1084</v>
      </c>
      <c r="B32" s="334" t="n">
        <f aca="false">IFERROR(SUMIFS(LEDGER_ENGINE!$I$2:$I$546,LEDGER_ENGINE!$Z$2:$Z$546,"201")-SUMIFS(LEDGER_ENGINE!$J$2:$J$546,LEDGER_ENGINE!$Z$2:$Z$546,"201")+SUMIFS(LEDGER_ENGINE!$I$2:$I$546,LEDGER_ENGINE!$Z$2:$Z$546,"203")-SUMIFS(LEDGER_ENGINE!$J$2:$J$546,LEDGER_ENGINE!$Z$2:$Z$546,"203")+SUMIFS(LEDGER_ENGINE!$I$2:$I$546,LEDGER_ENGINE!$Z$2:$Z$546,"205")-SUMIFS(LEDGER_ENGINE!$J$2:$J$546,LEDGER_ENGINE!$Z$2:$Z$546,"205")+SUMIFS(LEDGER_ENGINE!$I$2:$I$546,LEDGER_ENGINE!$Z$2:$Z$546,"208")-SUMIFS(LEDGER_ENGINE!$J$2:$J$546,LEDGER_ENGINE!$Z$2:$Z$546,"208"),0)</f>
        <v>0</v>
      </c>
      <c r="C32" s="334" t="str">
        <f aca="false">IF(TE_DHENA_KRAHASUESE!$B$53="","",TE_DHENA_KRAHASUESE!$B$53)</f>
        <v/>
      </c>
      <c r="D32" s="205"/>
      <c r="E32" s="205"/>
      <c r="F32" s="205"/>
    </row>
    <row r="33" customFormat="false" ht="19.5" hidden="false" customHeight="true" outlineLevel="0" collapsed="false">
      <c r="A33" s="337" t="s">
        <v>1085</v>
      </c>
      <c r="B33" s="334" t="n">
        <f aca="false">IFERROR(SUMIFS(LEDGER_ENGINE!$J$2:$J$546,LEDGER_ENGINE!$Z$2:$Z$546,"280")-SUMIFS(LEDGER_ENGINE!$I$2:$I$546,LEDGER_ENGINE!$Z$2:$Z$546,"280")+SUMIFS(LEDGER_ENGINE!$J$2:$J$546,LEDGER_ENGINE!$Z$2:$Z$546,"290")-SUMIFS(LEDGER_ENGINE!$I$2:$I$546,LEDGER_ENGINE!$Z$2:$Z$546,"290"),0)</f>
        <v>0</v>
      </c>
      <c r="C33" s="334" t="str">
        <f aca="false">IF(TE_DHENA_KRAHASUESE!$B$54="","",TE_DHENA_KRAHASUESE!$B$54)</f>
        <v/>
      </c>
      <c r="D33" s="205"/>
      <c r="E33" s="205"/>
      <c r="F33" s="205"/>
    </row>
    <row r="34" customFormat="false" ht="19.5" hidden="false" customHeight="true" outlineLevel="0" collapsed="false">
      <c r="A34" s="338" t="s">
        <v>1086</v>
      </c>
      <c r="B34" s="339" t="n">
        <f aca="false">B32-B33</f>
        <v>0</v>
      </c>
      <c r="C34" s="339" t="str">
        <f aca="false">IF(TE_DHENA_KRAHASUESE!$B$55="","",TE_DHENA_KRAHASUESE!$B$55)</f>
        <v/>
      </c>
      <c r="D34" s="205"/>
      <c r="E34" s="205"/>
      <c r="F34" s="205"/>
    </row>
    <row r="35" customFormat="false" ht="19.5" hidden="false" customHeight="true" outlineLevel="0" collapsed="false">
      <c r="A35" s="340" t="s">
        <v>1087</v>
      </c>
      <c r="B35" s="341" t="n">
        <f aca="false">SUM(B23,B30,B34)</f>
        <v>0</v>
      </c>
      <c r="C35" s="341" t="str">
        <f aca="false">IF(TE_DHENA_KRAHASUESE!$B$56="","",TE_DHENA_KRAHASUESE!$B$56)</f>
        <v/>
      </c>
      <c r="D35" s="205"/>
      <c r="E35" s="205"/>
      <c r="F35" s="205"/>
    </row>
    <row r="36" customFormat="false" ht="19.5" hidden="false" customHeight="true" outlineLevel="0" collapsed="false">
      <c r="A36" s="343" t="s">
        <v>1088</v>
      </c>
      <c r="B36" s="344" t="n">
        <f aca="false">SUM(B21,B35)</f>
        <v>0</v>
      </c>
      <c r="C36" s="344" t="str">
        <f aca="false">IF(TE_DHENA_KRAHASUESE!$B$57="","",TE_DHENA_KRAHASUESE!$B$57)</f>
        <v/>
      </c>
      <c r="D36" s="205"/>
      <c r="E36" s="205"/>
      <c r="F36" s="205"/>
    </row>
    <row r="37" customFormat="false" ht="19.5" hidden="false" customHeight="true" outlineLevel="0" collapsed="false">
      <c r="A37" s="205"/>
      <c r="B37" s="345"/>
      <c r="C37" s="346" t="str">
        <f aca="false">IF(TE_DHENA_KRAHASUESE!$B$58="","",TE_DHENA_KRAHASUESE!$B$58)</f>
        <v/>
      </c>
      <c r="D37" s="205"/>
      <c r="E37" s="205"/>
      <c r="F37" s="205"/>
    </row>
    <row r="38" customFormat="false" ht="19.5" hidden="false" customHeight="true" outlineLevel="0" collapsed="false">
      <c r="A38" s="329" t="s">
        <v>1089</v>
      </c>
      <c r="B38" s="330"/>
      <c r="C38" s="347" t="str">
        <f aca="false">IF(TE_DHENA_KRAHASUESE!$B$59="","",TE_DHENA_KRAHASUESE!$B$59)</f>
        <v/>
      </c>
      <c r="D38" s="205"/>
      <c r="E38" s="205"/>
      <c r="F38" s="205"/>
    </row>
    <row r="39" customFormat="false" ht="19.5" hidden="false" customHeight="true" outlineLevel="0" collapsed="false">
      <c r="A39" s="331" t="s">
        <v>1090</v>
      </c>
      <c r="B39" s="332"/>
      <c r="C39" s="342" t="str">
        <f aca="false">IF(TE_DHENA_KRAHASUESE!$B$60="","",TE_DHENA_KRAHASUESE!$B$60)</f>
        <v/>
      </c>
      <c r="D39" s="205"/>
      <c r="E39" s="205"/>
      <c r="F39" s="205"/>
    </row>
    <row r="40" customFormat="false" ht="19.5" hidden="false" customHeight="true" outlineLevel="0" collapsed="false">
      <c r="A40" s="333" t="s">
        <v>1091</v>
      </c>
      <c r="B40" s="334" t="n">
        <f aca="false">IFERROR(SUMIFS(LEDGER_ENGINE!$J$2:$J$546,LEDGER_ENGINE!$Z$2:$Z$546,"461")-SUMIFS(LEDGER_ENGINE!$I$2:$I$546,LEDGER_ENGINE!$Z$2:$Z$546,"461")+SUMIFS(LEDGER_ENGINE!$J$2:$J$546,LEDGER_ENGINE!$Z$2:$Z$546,"519")-SUMIFS(LEDGER_ENGINE!$I$2:$I$546,LEDGER_ENGINE!$Z$2:$Z$546,"519"),0)</f>
        <v>0</v>
      </c>
      <c r="C40" s="334" t="str">
        <f aca="false">IF(TE_DHENA_KRAHASUESE!$B$61="","",TE_DHENA_KRAHASUESE!$B$61)</f>
        <v/>
      </c>
      <c r="D40" s="205"/>
      <c r="E40" s="205"/>
      <c r="F40" s="205"/>
    </row>
    <row r="41" customFormat="false" ht="19.5" hidden="false" customHeight="true" outlineLevel="0" collapsed="false">
      <c r="A41" s="335" t="s">
        <v>1092</v>
      </c>
      <c r="B41" s="336"/>
      <c r="C41" s="334" t="str">
        <f aca="false">IF(TE_DHENA_KRAHASUESE!$B$62="","",TE_DHENA_KRAHASUESE!$B$62)</f>
        <v/>
      </c>
      <c r="D41" s="205"/>
      <c r="E41" s="205"/>
      <c r="F41" s="205"/>
    </row>
    <row r="42" customFormat="false" ht="19.5" hidden="false" customHeight="true" outlineLevel="0" collapsed="false">
      <c r="A42" s="333" t="s">
        <v>1093</v>
      </c>
      <c r="B42" s="334" t="n">
        <f aca="false">IFERROR(SUMIFS(LEDGER_ENGINE!$J$2:$J$546,LEDGER_ENGINE!$Z$2:$Z$546,"401")-SUMIFS(LEDGER_ENGINE!$I$2:$I$546,LEDGER_ENGINE!$Z$2:$Z$546,"401")+SUMIFS(LEDGER_ENGINE!$J$2:$J$546,LEDGER_ENGINE!$Z$2:$Z$546,"403")-SUMIFS(LEDGER_ENGINE!$I$2:$I$546,LEDGER_ENGINE!$Z$2:$Z$546,"403")+SUMIFS(LEDGER_ENGINE!$J$2:$J$546,LEDGER_ENGINE!$Z$2:$Z$546,"404")-SUMIFS(LEDGER_ENGINE!$I$2:$I$546,LEDGER_ENGINE!$Z$2:$Z$546,"404")+SUMIFS(LEDGER_ENGINE!$J$2:$J$546,LEDGER_ENGINE!$Z$2:$Z$546,"408")-SUMIFS(LEDGER_ENGINE!$I$2:$I$546,LEDGER_ENGINE!$Z$2:$Z$546,"408"),0)</f>
        <v>0</v>
      </c>
      <c r="C42" s="334" t="str">
        <f aca="false">IF(TE_DHENA_KRAHASUESE!$B$63="","",TE_DHENA_KRAHASUESE!$B$63)</f>
        <v/>
      </c>
      <c r="D42" s="205"/>
      <c r="E42" s="205"/>
      <c r="F42" s="205"/>
    </row>
    <row r="43" customFormat="false" ht="19.5" hidden="false" customHeight="true" outlineLevel="0" collapsed="false">
      <c r="A43" s="333" t="s">
        <v>1094</v>
      </c>
      <c r="B43" s="334" t="n">
        <f aca="false">IFERROR(SUMIFS(LEDGER_ENGINE!$J$2:$J$546,LEDGER_ENGINE!$Z$2:$Z$546,"421")-SUMIFS(LEDGER_ENGINE!$I$2:$I$546,LEDGER_ENGINE!$Z$2:$Z$546,"421")+SUMIFS(LEDGER_ENGINE!$J$2:$J$546,LEDGER_ENGINE!$Z$2:$Z$546,"431")-SUMIFS(LEDGER_ENGINE!$I$2:$I$546,LEDGER_ENGINE!$Z$2:$Z$546,"431")+SUMIFS(LEDGER_ENGINE!$J$2:$J$546,LEDGER_ENGINE!$Z$2:$Z$546,"437")-SUMIFS(LEDGER_ENGINE!$I$2:$I$546,LEDGER_ENGINE!$Z$2:$Z$546,"437")+SUMIFS(LEDGER_ENGINE!$J$2:$J$546,LEDGER_ENGINE!$Z$2:$Z$546,"438")-SUMIFS(LEDGER_ENGINE!$I$2:$I$546,LEDGER_ENGINE!$Z$2:$Z$546,"438"),0)</f>
        <v>0</v>
      </c>
      <c r="C43" s="334" t="str">
        <f aca="false">IF(TE_DHENA_KRAHASUESE!$B$64="","",TE_DHENA_KRAHASUESE!$B$64)</f>
        <v/>
      </c>
      <c r="D43" s="205"/>
      <c r="E43" s="205"/>
      <c r="F43" s="205"/>
    </row>
    <row r="44" customFormat="false" ht="19.5" hidden="false" customHeight="true" outlineLevel="0" collapsed="false">
      <c r="A44" s="333" t="s">
        <v>1095</v>
      </c>
      <c r="B44" s="334" t="n">
        <f aca="false">IFERROR(SUMIFS(LEDGER_ENGINE!$J$2:$J$546,LEDGER_ENGINE!$Z$2:$Z$546,"441")-SUMIFS(LEDGER_ENGINE!$I$2:$I$546,LEDGER_ENGINE!$Z$2:$Z$546,"441")+SUMIFS(LEDGER_ENGINE!$J$2:$J$546,LEDGER_ENGINE!$Z$2:$Z$546,"442")-SUMIFS(LEDGER_ENGINE!$I$2:$I$546,LEDGER_ENGINE!$Z$2:$Z$546,"442")+SUMIFS(LEDGER_ENGINE!$J$2:$J$546,LEDGER_ENGINE!$Z$2:$Z$546,"443")-SUMIFS(LEDGER_ENGINE!$I$2:$I$546,LEDGER_ENGINE!$Z$2:$Z$546,"443")+SUMIFS(LEDGER_ENGINE!$J$2:$J$546,LEDGER_ENGINE!$Z$2:$Z$546,"444")-SUMIFS(LEDGER_ENGINE!$I$2:$I$546,LEDGER_ENGINE!$Z$2:$Z$546,"444")+SUMIFS(LEDGER_ENGINE!$J$2:$J$546,LEDGER_ENGINE!$AA$2:$AA$546,"4457")-SUMIFS(LEDGER_ENGINE!$I$2:$I$546,LEDGER_ENGINE!$AA$2:$AA$546,"4457")+SUMIFS(LEDGER_ENGINE!$J$2:$J$546,LEDGER_ENGINE!$AA$2:$AA$546,"4458")-SUMIFS(LEDGER_ENGINE!$I$2:$I$546,LEDGER_ENGINE!$AA$2:$AA$546,"4458")+SUMIFS(LEDGER_ENGINE!$J$2:$J$546,LEDGER_ENGINE!$Z$2:$Z$546,"446")-SUMIFS(LEDGER_ENGINE!$I$2:$I$546,LEDGER_ENGINE!$Z$2:$Z$546,"446")+SUMIFS(LEDGER_ENGINE!$J$2:$J$546,LEDGER_ENGINE!$Z$2:$Z$546,"447")-SUMIFS(LEDGER_ENGINE!$I$2:$I$546,LEDGER_ENGINE!$Z$2:$Z$546,"447")+SUMIFS(LEDGER_ENGINE!$J$2:$J$546,LEDGER_ENGINE!$Z$2:$Z$546,"448")-SUMIFS(LEDGER_ENGINE!$I$2:$I$546,LEDGER_ENGINE!$Z$2:$Z$546,"448")+SUMIFS(LEDGER_ENGINE!$J$2:$J$546,LEDGER_ENGINE!$Z$2:$Z$546,"449")-SUMIFS(LEDGER_ENGINE!$I$2:$I$546,LEDGER_ENGINE!$Z$2:$Z$546,"449"),0)</f>
        <v>0</v>
      </c>
      <c r="C44" s="334" t="str">
        <f aca="false">IF(TE_DHENA_KRAHASUESE!$B$65="","",TE_DHENA_KRAHASUESE!$B$65)</f>
        <v/>
      </c>
      <c r="D44" s="205"/>
      <c r="E44" s="205"/>
      <c r="F44" s="205"/>
    </row>
    <row r="45" customFormat="false" ht="19.5" hidden="false" customHeight="true" outlineLevel="0" collapsed="false">
      <c r="A45" s="333" t="s">
        <v>1096</v>
      </c>
      <c r="B45" s="334" t="n">
        <f aca="false">IFERROR(SUMIFS(LEDGER_ENGINE!$J$2:$J$546,LEDGER_ENGINE!$Z$2:$Z$546,"409")-SUMIFS(LEDGER_ENGINE!$I$2:$I$546,LEDGER_ENGINE!$Z$2:$Z$546,"409")+SUMIFS(LEDGER_ENGINE!$J$2:$J$546,LEDGER_ENGINE!$Z$2:$Z$546,"488")-SUMIFS(LEDGER_ENGINE!$I$2:$I$546,LEDGER_ENGINE!$Z$2:$Z$546,"488"),0)</f>
        <v>0</v>
      </c>
      <c r="C45" s="334" t="str">
        <f aca="false">IF(TE_DHENA_KRAHASUESE!$B$66="","",TE_DHENA_KRAHASUESE!$B$66)</f>
        <v/>
      </c>
      <c r="D45" s="205"/>
      <c r="E45" s="205"/>
      <c r="F45" s="205"/>
    </row>
    <row r="46" customFormat="false" ht="19.5" hidden="false" customHeight="true" outlineLevel="0" collapsed="false">
      <c r="A46" s="333" t="s">
        <v>1097</v>
      </c>
      <c r="B46" s="334" t="n">
        <f aca="false">IFERROR(SUMIFS(LEDGER_ENGINE!$J$2:$J$546,LEDGER_ENGINE!$Z$2:$Z$546,"455")-SUMIFS(LEDGER_ENGINE!$I$2:$I$546,LEDGER_ENGINE!$Z$2:$Z$546,"455")+SUMIFS(LEDGER_ENGINE!$J$2:$J$546,LEDGER_ENGINE!$Z$2:$Z$546,"457")-SUMIFS(LEDGER_ENGINE!$I$2:$I$546,LEDGER_ENGINE!$Z$2:$Z$546,"457")+SUMIFS(LEDGER_ENGINE!$J$2:$J$546,LEDGER_ENGINE!$Z$2:$Z$546,"477")-SUMIFS(LEDGER_ENGINE!$I$2:$I$546,LEDGER_ENGINE!$Z$2:$Z$546,"477")+SUMIFS(LEDGER_ENGINE!$J$2:$J$546,LEDGER_ENGINE!$Z$2:$Z$546,"481")-SUMIFS(LEDGER_ENGINE!$I$2:$I$546,LEDGER_ENGINE!$Z$2:$Z$546,"481"),0)</f>
        <v>0</v>
      </c>
      <c r="C46" s="334" t="str">
        <f aca="false">IF(TE_DHENA_KRAHASUESE!$B$67="","",TE_DHENA_KRAHASUESE!$B$67)</f>
        <v/>
      </c>
      <c r="D46" s="205"/>
      <c r="E46" s="205"/>
      <c r="F46" s="205"/>
    </row>
    <row r="47" customFormat="false" ht="19.5" hidden="false" customHeight="true" outlineLevel="0" collapsed="false">
      <c r="A47" s="340" t="s">
        <v>1098</v>
      </c>
      <c r="B47" s="341" t="n">
        <f aca="false">SUM(B40,B42:B46)</f>
        <v>0</v>
      </c>
      <c r="C47" s="341" t="str">
        <f aca="false">IF(TE_DHENA_KRAHASUESE!$B$68="","",TE_DHENA_KRAHASUESE!$B$68)</f>
        <v/>
      </c>
      <c r="D47" s="205"/>
      <c r="E47" s="205"/>
      <c r="F47" s="205"/>
    </row>
    <row r="48" customFormat="false" ht="19.5" hidden="false" customHeight="true" outlineLevel="0" collapsed="false">
      <c r="A48" s="331" t="s">
        <v>1099</v>
      </c>
      <c r="B48" s="332"/>
      <c r="C48" s="342" t="str">
        <f aca="false">IF(TE_DHENA_KRAHASUESE!$B$69="","",TE_DHENA_KRAHASUESE!$B$69)</f>
        <v/>
      </c>
      <c r="D48" s="205"/>
      <c r="E48" s="205"/>
      <c r="F48" s="205"/>
    </row>
    <row r="49" customFormat="false" ht="19.5" hidden="false" customHeight="true" outlineLevel="0" collapsed="false">
      <c r="A49" s="333" t="s">
        <v>1091</v>
      </c>
      <c r="B49" s="334" t="n">
        <f aca="false">IFERROR(SUMIFS(LEDGER_ENGINE!$J$2:$J$546,LEDGER_ENGINE!$Z$2:$Z$546,"468")-SUMIFS(LEDGER_ENGINE!$I$2:$I$546,LEDGER_ENGINE!$Z$2:$Z$546,"468"),0)</f>
        <v>0</v>
      </c>
      <c r="C49" s="334" t="str">
        <f aca="false">IF(TE_DHENA_KRAHASUESE!$B$70="","",TE_DHENA_KRAHASUESE!$B$70)</f>
        <v/>
      </c>
      <c r="D49" s="205"/>
      <c r="E49" s="205"/>
      <c r="F49" s="205"/>
    </row>
    <row r="50" customFormat="false" ht="19.5" hidden="false" customHeight="true" outlineLevel="0" collapsed="false">
      <c r="A50" s="333" t="s">
        <v>1100</v>
      </c>
      <c r="B50" s="334" t="n">
        <f aca="false">IFERROR(SUMIFS(LEDGER_ENGINE!$J$2:$J$546,LEDGER_ENGINE!$Y$2:$Y$546,"47")-SUMIFS(LEDGER_ENGINE!$I$2:$I$546,LEDGER_ENGINE!$Y$2:$Y$546,"47"),0)</f>
        <v>0</v>
      </c>
      <c r="C50" s="334" t="str">
        <f aca="false">IF(TE_DHENA_KRAHASUESE!$B$71="","",TE_DHENA_KRAHASUESE!$B$71)</f>
        <v/>
      </c>
      <c r="D50" s="205"/>
      <c r="E50" s="205"/>
      <c r="F50" s="205"/>
    </row>
    <row r="51" customFormat="false" ht="19.5" hidden="false" customHeight="true" outlineLevel="0" collapsed="false">
      <c r="A51" s="340" t="s">
        <v>1101</v>
      </c>
      <c r="B51" s="341" t="n">
        <f aca="false">SUM(B49:B50)</f>
        <v>0</v>
      </c>
      <c r="C51" s="341" t="str">
        <f aca="false">IF(TE_DHENA_KRAHASUESE!$B$72="","",TE_DHENA_KRAHASUESE!$B$72)</f>
        <v/>
      </c>
      <c r="D51" s="205"/>
      <c r="E51" s="205"/>
      <c r="F51" s="205"/>
    </row>
    <row r="52" customFormat="false" ht="19.5" hidden="false" customHeight="true" outlineLevel="0" collapsed="false">
      <c r="A52" s="331" t="s">
        <v>1102</v>
      </c>
      <c r="B52" s="332"/>
      <c r="C52" s="342" t="str">
        <f aca="false">IF(TE_DHENA_KRAHASUESE!$B$73="","",TE_DHENA_KRAHASUESE!$B$73)</f>
        <v/>
      </c>
      <c r="D52" s="205"/>
      <c r="E52" s="205"/>
      <c r="F52" s="205"/>
    </row>
    <row r="53" customFormat="false" ht="19.5" hidden="false" customHeight="true" outlineLevel="0" collapsed="false">
      <c r="A53" s="333" t="s">
        <v>1103</v>
      </c>
      <c r="B53" s="334" t="n">
        <f aca="false">IFERROR(SUMIFS(LEDGER_ENGINE!$J$2:$J$546,LEDGER_ENGINE!$Z$2:$Z$546,"101")-SUMIFS(LEDGER_ENGINE!$I$2:$I$546,LEDGER_ENGINE!$Z$2:$Z$546,"101")+SUMIFS(LEDGER_ENGINE!$J$2:$J$546,LEDGER_ENGINE!$Z$2:$Z$546,"102")-SUMIFS(LEDGER_ENGINE!$I$2:$I$546,LEDGER_ENGINE!$Z$2:$Z$546,"102")+SUMIFS(LEDGER_ENGINE!$J$2:$J$546,LEDGER_ENGINE!$Z$2:$Z$546,"104")-SUMIFS(LEDGER_ENGINE!$I$2:$I$546,LEDGER_ENGINE!$Z$2:$Z$546,"104")+SUMIFS(LEDGER_ENGINE!$J$2:$J$546,LEDGER_ENGINE!$Z$2:$Z$546,"105")-SUMIFS(LEDGER_ENGINE!$I$2:$I$546,LEDGER_ENGINE!$Z$2:$Z$546,"105")+SUMIFS(LEDGER_ENGINE!$J$2:$J$546,LEDGER_ENGINE!$Z$2:$Z$546,"106")-SUMIFS(LEDGER_ENGINE!$I$2:$I$546,LEDGER_ENGINE!$Z$2:$Z$546,"106")+SUMIFS(LEDGER_ENGINE!$J$2:$J$546,LEDGER_ENGINE!$Z$2:$Z$546,"107")-SUMIFS(LEDGER_ENGINE!$I$2:$I$546,LEDGER_ENGINE!$Z$2:$Z$546,"107")+SUMIFS(LEDGER_ENGINE!$J$2:$J$546,LEDGER_ENGINE!$Z$2:$Z$546,"108")-SUMIFS(LEDGER_ENGINE!$I$2:$I$546,LEDGER_ENGINE!$Z$2:$Z$546,"108"),0)</f>
        <v>0</v>
      </c>
      <c r="C53" s="334" t="str">
        <f aca="false">IF(TE_DHENA_KRAHASUESE!$B$74="","",TE_DHENA_KRAHASUESE!$B$74)</f>
        <v/>
      </c>
      <c r="D53" s="205"/>
      <c r="E53" s="205"/>
      <c r="F53" s="205"/>
    </row>
    <row r="54" customFormat="false" ht="19.5" hidden="false" customHeight="true" outlineLevel="0" collapsed="false">
      <c r="A54" s="333" t="s">
        <v>1104</v>
      </c>
      <c r="B54" s="334" t="n">
        <f aca="false">BILANCI_PROVE!$G$18-BILANCI_PROVE!$F$18</f>
        <v>0</v>
      </c>
      <c r="C54" s="334" t="str">
        <f aca="false">IF(TE_DHENA_KRAHASUESE!$B$75="","",TE_DHENA_KRAHASUESE!$B$75)</f>
        <v/>
      </c>
      <c r="D54" s="205"/>
      <c r="E54" s="205"/>
      <c r="F54" s="205"/>
    </row>
    <row r="55" customFormat="false" ht="19.5" hidden="false" customHeight="true" outlineLevel="0" collapsed="false">
      <c r="A55" s="337" t="s">
        <v>1105</v>
      </c>
      <c r="B55" s="336" t="n">
        <v>0</v>
      </c>
      <c r="C55" s="334" t="str">
        <f aca="false">IF(TE_DHENA_KRAHASUESE!$B$76="","",TE_DHENA_KRAHASUESE!$B$76)</f>
        <v/>
      </c>
      <c r="D55" s="205"/>
      <c r="E55" s="205"/>
      <c r="F55" s="205"/>
    </row>
    <row r="56" customFormat="false" ht="19.5" hidden="false" customHeight="true" outlineLevel="0" collapsed="false">
      <c r="A56" s="340" t="s">
        <v>1106</v>
      </c>
      <c r="B56" s="341" t="n">
        <f aca="false">SUM(B53:B54)-B55</f>
        <v>0</v>
      </c>
      <c r="C56" s="341" t="str">
        <f aca="false">IF(TE_DHENA_KRAHASUESE!$B$77="","",TE_DHENA_KRAHASUESE!$B$77)</f>
        <v/>
      </c>
      <c r="D56" s="205"/>
      <c r="E56" s="205"/>
      <c r="F56" s="205"/>
    </row>
    <row r="57" customFormat="false" ht="19.5" hidden="false" customHeight="true" outlineLevel="0" collapsed="false">
      <c r="A57" s="343" t="s">
        <v>1107</v>
      </c>
      <c r="B57" s="344" t="n">
        <f aca="false">SUM(B47,B51,B56)</f>
        <v>0</v>
      </c>
      <c r="C57" s="344" t="str">
        <f aca="false">IF(TE_DHENA_KRAHASUESE!$B$78="","",TE_DHENA_KRAHASUESE!$B$78)</f>
        <v/>
      </c>
      <c r="D57" s="205"/>
      <c r="E57" s="205"/>
      <c r="F57" s="205"/>
    </row>
    <row r="58" customFormat="false" ht="19.5" hidden="false" customHeight="true" outlineLevel="0" collapsed="false">
      <c r="A58" s="205"/>
      <c r="B58" s="345"/>
      <c r="C58" s="345"/>
      <c r="D58" s="205"/>
      <c r="E58" s="205"/>
      <c r="F58" s="205"/>
    </row>
    <row r="59" customFormat="false" ht="19.5" hidden="false" customHeight="true" outlineLevel="0" collapsed="false">
      <c r="A59" s="329" t="s">
        <v>1108</v>
      </c>
      <c r="B59" s="330"/>
      <c r="C59" s="330"/>
      <c r="D59" s="205"/>
      <c r="E59" s="205"/>
      <c r="F59" s="205"/>
    </row>
    <row r="60" customFormat="false" ht="19.5" hidden="false" customHeight="true" outlineLevel="0" collapsed="false">
      <c r="A60" s="335" t="s">
        <v>1109</v>
      </c>
      <c r="B60" s="348" t="str">
        <f aca="false">IF(ABS(B36-B57)&lt;1,"OK","KONTROLLO")</f>
        <v>OK</v>
      </c>
      <c r="C60" s="336"/>
      <c r="D60" s="205"/>
      <c r="E60" s="205"/>
      <c r="F60" s="205"/>
    </row>
    <row r="61" customFormat="false" ht="19.5" hidden="false" customHeight="true" outlineLevel="0" collapsed="false">
      <c r="A61" s="335" t="s">
        <v>1110</v>
      </c>
      <c r="B61" s="334" t="n">
        <f aca="false">B36-B57</f>
        <v>0</v>
      </c>
      <c r="C61" s="336"/>
      <c r="D61" s="205"/>
      <c r="E61" s="205"/>
      <c r="F61" s="205"/>
    </row>
    <row r="62" customFormat="false" ht="19.5" hidden="false" customHeight="true" outlineLevel="0" collapsed="false">
      <c r="A62" s="335" t="s">
        <v>1111</v>
      </c>
      <c r="B62" s="348" t="str">
        <f aca="false">IF(ABS(B54-(BILANCI_PROVE!$G$18-BILANCI_PROVE!$F$18))&lt;1,"OK","KONTROLLO")</f>
        <v>OK</v>
      </c>
      <c r="C62" s="336"/>
      <c r="D62" s="205"/>
      <c r="E62" s="205"/>
      <c r="F62" s="205"/>
    </row>
    <row r="63" customFormat="false" ht="19.5" hidden="false" customHeight="true" outlineLevel="0" collapsed="false">
      <c r="A63" s="335" t="s">
        <v>1112</v>
      </c>
      <c r="B63" s="349" t="str">
        <f aca="false">IF(AND(B60="OK",B62="OK"),"BILANCI OK","KONTROLLO")</f>
        <v>BILANCI OK</v>
      </c>
      <c r="C63" s="336"/>
      <c r="D63" s="205"/>
      <c r="E63" s="205"/>
      <c r="F63" s="205"/>
    </row>
    <row r="64" customFormat="false" ht="13.5" hidden="false" customHeight="true" outlineLevel="0" collapsed="false">
      <c r="A64" s="205"/>
      <c r="B64" s="205"/>
      <c r="C64" s="205"/>
      <c r="D64" s="205"/>
      <c r="E64" s="205"/>
      <c r="F64" s="205"/>
    </row>
    <row r="65" customFormat="false" ht="27.75" hidden="false" customHeight="true" outlineLevel="0" collapsed="false">
      <c r="A65" s="350" t="s">
        <v>1113</v>
      </c>
      <c r="B65" s="350"/>
      <c r="C65" s="350"/>
      <c r="D65" s="205"/>
      <c r="E65" s="205"/>
      <c r="F65" s="205"/>
    </row>
    <row r="66" customFormat="false" ht="43.5" hidden="false" customHeight="true" outlineLevel="0" collapsed="false">
      <c r="A66" s="350" t="s">
        <v>1114</v>
      </c>
      <c r="B66" s="350"/>
      <c r="C66" s="350"/>
      <c r="D66" s="350"/>
      <c r="E66" s="350"/>
      <c r="F66" s="205"/>
    </row>
    <row r="67" customFormat="false" ht="13.5" hidden="false" customHeight="true" outlineLevel="0" collapsed="false">
      <c r="A67" s="205"/>
      <c r="B67" s="205"/>
      <c r="C67" s="205"/>
      <c r="D67" s="205"/>
      <c r="E67" s="205"/>
      <c r="F67" s="205"/>
    </row>
    <row r="68" customFormat="false" ht="13.5" hidden="false" customHeight="true" outlineLevel="0" collapsed="false">
      <c r="A68" s="205"/>
      <c r="B68" s="205"/>
      <c r="C68" s="205"/>
      <c r="D68" s="205"/>
      <c r="E68" s="205"/>
      <c r="F68" s="205"/>
    </row>
    <row r="69" customFormat="false" ht="13.5" hidden="false" customHeight="true" outlineLevel="0" collapsed="false">
      <c r="A69" s="205"/>
      <c r="B69" s="205"/>
      <c r="C69" s="205"/>
      <c r="D69" s="205"/>
      <c r="E69" s="205"/>
      <c r="F69" s="205"/>
    </row>
    <row r="70" customFormat="false" ht="13.5" hidden="false" customHeight="true" outlineLevel="0" collapsed="false">
      <c r="A70" s="205"/>
      <c r="B70" s="205"/>
      <c r="C70" s="205"/>
      <c r="D70" s="205"/>
      <c r="E70" s="205"/>
      <c r="F70" s="205"/>
    </row>
    <row r="71" customFormat="false" ht="13.5" hidden="false" customHeight="true" outlineLevel="0" collapsed="false">
      <c r="A71" s="205"/>
      <c r="B71" s="205"/>
      <c r="C71" s="205"/>
      <c r="D71" s="205"/>
      <c r="E71" s="205"/>
      <c r="F71" s="205"/>
    </row>
    <row r="72" customFormat="false" ht="13.5" hidden="false" customHeight="true" outlineLevel="0" collapsed="false">
      <c r="A72" s="205"/>
      <c r="B72" s="205"/>
      <c r="C72" s="205"/>
      <c r="D72" s="205"/>
      <c r="E72" s="205"/>
      <c r="F72" s="205"/>
    </row>
    <row r="73" customFormat="false" ht="13.5" hidden="false" customHeight="true" outlineLevel="0" collapsed="false">
      <c r="A73" s="205"/>
      <c r="B73" s="205"/>
      <c r="C73" s="205"/>
      <c r="D73" s="205"/>
      <c r="E73" s="205"/>
      <c r="F73" s="205"/>
    </row>
    <row r="74" customFormat="false" ht="13.5" hidden="false" customHeight="true" outlineLevel="0" collapsed="false">
      <c r="A74" s="205"/>
      <c r="B74" s="205"/>
      <c r="C74" s="205"/>
      <c r="D74" s="205"/>
      <c r="E74" s="205"/>
      <c r="F74" s="205"/>
    </row>
    <row r="75" customFormat="false" ht="13.5" hidden="false" customHeight="true" outlineLevel="0" collapsed="false">
      <c r="A75" s="205"/>
      <c r="B75" s="205"/>
      <c r="C75" s="205"/>
      <c r="D75" s="205"/>
      <c r="E75" s="205"/>
      <c r="F75" s="205"/>
    </row>
    <row r="76" customFormat="false" ht="13.5" hidden="false" customHeight="true" outlineLevel="0" collapsed="false">
      <c r="A76" s="205"/>
      <c r="B76" s="205"/>
      <c r="C76" s="205"/>
      <c r="D76" s="205"/>
      <c r="E76" s="205"/>
      <c r="F76" s="205"/>
    </row>
    <row r="77" customFormat="false" ht="13.5" hidden="false" customHeight="true" outlineLevel="0" collapsed="false">
      <c r="A77" s="205"/>
      <c r="B77" s="205"/>
      <c r="C77" s="205"/>
      <c r="D77" s="205"/>
      <c r="E77" s="205"/>
      <c r="F77" s="205"/>
    </row>
    <row r="78" customFormat="false" ht="13.5" hidden="false" customHeight="true" outlineLevel="0" collapsed="false">
      <c r="A78" s="205"/>
      <c r="B78" s="205"/>
      <c r="C78" s="205"/>
      <c r="D78" s="205"/>
      <c r="E78" s="205"/>
      <c r="F78" s="205"/>
    </row>
    <row r="79" customFormat="false" ht="13.5" hidden="false" customHeight="true" outlineLevel="0" collapsed="false">
      <c r="A79" s="205"/>
      <c r="B79" s="205"/>
      <c r="C79" s="205"/>
      <c r="D79" s="205"/>
      <c r="E79" s="205"/>
      <c r="F79" s="205"/>
    </row>
    <row r="80" customFormat="false" ht="13.5" hidden="false" customHeight="true" outlineLevel="0" collapsed="false">
      <c r="A80" s="205"/>
      <c r="B80" s="205"/>
      <c r="C80" s="205"/>
      <c r="D80" s="205"/>
      <c r="E80" s="205"/>
      <c r="F80" s="205"/>
    </row>
  </sheetData>
  <sheetProtection sheet="true" password="91db" formatCells="false" formatColumns="false" formatRows="false" sort="false" autoFilter="false"/>
  <mergeCells count="4">
    <mergeCell ref="A1:C1"/>
    <mergeCell ref="A2:C2"/>
    <mergeCell ref="A65:C65"/>
    <mergeCell ref="A66:E66"/>
  </mergeCells>
  <conditionalFormatting sqref="B60:B63">
    <cfRule type="expression" priority="2" aboveAverage="0" equalAverage="0" bottom="0" percent="0" rank="0" text="" dxfId="10">
      <formula>ISNUMBER(SEARCH("KONTROLLO",B60))</formula>
    </cfRule>
  </conditionalFormatting>
  <hyperlinks>
    <hyperlink ref="E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34"/>
    <col collapsed="false" customWidth="true" hidden="false" outlineLevel="0" max="4" min="3" style="1" width="14"/>
    <col collapsed="false" customWidth="true" hidden="false" outlineLevel="0" max="5" min="5" style="1" width="16"/>
    <col collapsed="false" customWidth="true" hidden="false" outlineLevel="0" max="6" min="6" style="1" width="24"/>
    <col collapsed="false" customWidth="true" hidden="false" outlineLevel="0" max="7" min="7" style="1" width="42"/>
    <col collapsed="false" customWidth="true" hidden="false" outlineLevel="0" max="8" min="8" style="1" width="16"/>
    <col collapsed="false" customWidth="true" hidden="false" outlineLevel="0" max="9" min="9" style="1" width="14"/>
    <col collapsed="false" customWidth="true" hidden="false" outlineLevel="0" max="11" min="11" style="1" width="16"/>
  </cols>
  <sheetData>
    <row r="1" customFormat="false" ht="19.5" hidden="false" customHeight="true" outlineLevel="0" collapsed="false">
      <c r="A1" s="139" t="s">
        <v>1115</v>
      </c>
      <c r="B1" s="139"/>
      <c r="C1" s="139"/>
      <c r="D1" s="139"/>
      <c r="E1" s="139"/>
      <c r="F1" s="139"/>
      <c r="G1" s="139"/>
      <c r="H1" s="139"/>
      <c r="I1" s="139"/>
      <c r="K1" s="29" t="s">
        <v>19</v>
      </c>
    </row>
    <row r="2" customFormat="false" ht="19.5" hidden="false" customHeight="true" outlineLevel="0" collapsed="false">
      <c r="A2" s="180" t="s">
        <v>1116</v>
      </c>
    </row>
    <row r="3" customFormat="false" ht="19.5" hidden="false" customHeight="true" outlineLevel="0" collapsed="false"/>
    <row r="4" customFormat="false" ht="19.5" hidden="false" customHeight="true" outlineLevel="0" collapsed="false">
      <c r="A4" s="185" t="s">
        <v>771</v>
      </c>
      <c r="B4" s="185" t="s">
        <v>764</v>
      </c>
    </row>
    <row r="5" customFormat="false" ht="19.5" hidden="false" customHeight="true" outlineLevel="0" collapsed="false">
      <c r="A5" s="351" t="s">
        <v>1117</v>
      </c>
      <c r="B5" s="352" t="n">
        <f aca="false">BILANCI_MIKRO_FINAL!B36</f>
        <v>0</v>
      </c>
    </row>
    <row r="6" customFormat="false" ht="19.5" hidden="false" customHeight="true" outlineLevel="0" collapsed="false">
      <c r="A6" s="351" t="s">
        <v>1118</v>
      </c>
      <c r="B6" s="352" t="n">
        <f aca="false">BILANCI_MIKRO_FINAL!B57</f>
        <v>0</v>
      </c>
    </row>
    <row r="7" customFormat="false" ht="19.5" hidden="false" customHeight="true" outlineLevel="0" collapsed="false">
      <c r="A7" s="351" t="s">
        <v>1110</v>
      </c>
      <c r="B7" s="353" t="n">
        <f aca="false">BILANCI_MIKRO_FINAL!B61</f>
        <v>0</v>
      </c>
    </row>
    <row r="8" customFormat="false" ht="19.5" hidden="false" customHeight="true" outlineLevel="0" collapsed="false">
      <c r="A8" s="351" t="s">
        <v>1112</v>
      </c>
      <c r="B8" s="354" t="str">
        <f aca="false">BILANCI_MIKRO_FINAL!B63</f>
        <v>BILANCI OK</v>
      </c>
    </row>
    <row r="9" customFormat="false" ht="19.5" hidden="false" customHeight="true" outlineLevel="0" collapsed="false">
      <c r="A9" s="351" t="s">
        <v>81</v>
      </c>
      <c r="B9" s="355" t="s">
        <v>1119</v>
      </c>
    </row>
    <row r="10" customFormat="false" ht="19.5" hidden="false" customHeight="true" outlineLevel="0" collapsed="false"/>
    <row r="11" customFormat="false" ht="19.5" hidden="false" customHeight="true" outlineLevel="0" collapsed="false"/>
    <row r="12" customFormat="false" ht="19.5" hidden="false" customHeight="true" outlineLevel="0" collapsed="false">
      <c r="A12" s="356" t="s">
        <v>183</v>
      </c>
      <c r="B12" s="356" t="s">
        <v>758</v>
      </c>
      <c r="C12" s="356" t="s">
        <v>790</v>
      </c>
      <c r="D12" s="356" t="s">
        <v>791</v>
      </c>
      <c r="E12" s="356" t="s">
        <v>1120</v>
      </c>
      <c r="F12" s="356" t="s">
        <v>1121</v>
      </c>
      <c r="G12" s="356" t="s">
        <v>1122</v>
      </c>
      <c r="H12" s="356" t="s">
        <v>189</v>
      </c>
      <c r="I12" s="356" t="s">
        <v>748</v>
      </c>
    </row>
    <row r="13" customFormat="false" ht="19.5" hidden="false" customHeight="true" outlineLevel="0" collapsed="false">
      <c r="A13" s="355" t="s">
        <v>204</v>
      </c>
      <c r="B13" s="355" t="s">
        <v>205</v>
      </c>
      <c r="C13" s="357" t="n">
        <v>0</v>
      </c>
      <c r="D13" s="357" t="n">
        <v>66000000</v>
      </c>
      <c r="E13" s="357" t="n">
        <v>-66000000</v>
      </c>
      <c r="F13" s="355" t="s">
        <v>202</v>
      </c>
      <c r="G13" s="355" t="s">
        <v>1123</v>
      </c>
      <c r="H13" s="355" t="s">
        <v>197</v>
      </c>
      <c r="I13" s="355" t="s">
        <v>56</v>
      </c>
    </row>
    <row r="14" customFormat="false" ht="19.5" hidden="false" customHeight="true" outlineLevel="0" collapsed="false">
      <c r="A14" s="355" t="s">
        <v>221</v>
      </c>
      <c r="B14" s="355" t="s">
        <v>222</v>
      </c>
      <c r="C14" s="357" t="n">
        <v>0</v>
      </c>
      <c r="D14" s="357" t="n">
        <v>120000</v>
      </c>
      <c r="E14" s="357" t="n">
        <v>-120000</v>
      </c>
      <c r="F14" s="355" t="s">
        <v>202</v>
      </c>
      <c r="G14" s="355" t="s">
        <v>1123</v>
      </c>
      <c r="H14" s="355" t="s">
        <v>197</v>
      </c>
      <c r="I14" s="355" t="s">
        <v>56</v>
      </c>
    </row>
    <row r="15" customFormat="false" ht="19.5" hidden="false" customHeight="true" outlineLevel="0" collapsed="false">
      <c r="A15" s="355" t="s">
        <v>226</v>
      </c>
      <c r="B15" s="355" t="s">
        <v>227</v>
      </c>
      <c r="C15" s="352" t="n">
        <f aca="false">SUMIFS(DITARI!$F$6:$F$550,DITARI!$D$6:$D$550,"108")</f>
        <v>0</v>
      </c>
      <c r="D15" s="352" t="n">
        <f aca="false">SUMIFS(DITARI!$G$6:$G$550,DITARI!$D$6:$D$550,"108")</f>
        <v>0</v>
      </c>
      <c r="E15" s="352" t="n">
        <f aca="false">C15-D15</f>
        <v>0</v>
      </c>
      <c r="F15" s="355" t="s">
        <v>202</v>
      </c>
      <c r="G15" s="355" t="s">
        <v>1124</v>
      </c>
      <c r="H15" s="355" t="s">
        <v>197</v>
      </c>
      <c r="I15" s="358" t="str">
        <f aca="false">IF(PLANI_LLOGARIVE!$B$10="Fitim / Humbje e pashpërndarë","OK","KONTROLLO")</f>
        <v>OK</v>
      </c>
    </row>
    <row r="16" customFormat="false" ht="19.5" hidden="false" customHeight="true" outlineLevel="0" collapsed="false">
      <c r="A16" s="355" t="s">
        <v>249</v>
      </c>
      <c r="B16" s="355" t="s">
        <v>250</v>
      </c>
      <c r="C16" s="357" t="n">
        <v>16000000</v>
      </c>
      <c r="D16" s="357" t="n">
        <v>0</v>
      </c>
      <c r="E16" s="357" t="n">
        <v>16000000</v>
      </c>
      <c r="F16" s="355" t="s">
        <v>234</v>
      </c>
      <c r="G16" s="355" t="s">
        <v>1125</v>
      </c>
      <c r="H16" s="355" t="s">
        <v>240</v>
      </c>
      <c r="I16" s="355" t="s">
        <v>56</v>
      </c>
    </row>
    <row r="17" customFormat="false" ht="19.5" hidden="false" customHeight="true" outlineLevel="0" collapsed="false">
      <c r="A17" s="355" t="s">
        <v>251</v>
      </c>
      <c r="B17" s="355" t="s">
        <v>252</v>
      </c>
      <c r="C17" s="357" t="n">
        <v>50853333</v>
      </c>
      <c r="D17" s="357" t="n">
        <v>0</v>
      </c>
      <c r="E17" s="357" t="n">
        <v>50853333</v>
      </c>
      <c r="F17" s="355" t="s">
        <v>234</v>
      </c>
      <c r="G17" s="355" t="s">
        <v>1125</v>
      </c>
      <c r="H17" s="355" t="s">
        <v>240</v>
      </c>
      <c r="I17" s="355" t="s">
        <v>56</v>
      </c>
    </row>
    <row r="18" customFormat="false" ht="19.5" hidden="false" customHeight="true" outlineLevel="0" collapsed="false">
      <c r="A18" s="355" t="s">
        <v>253</v>
      </c>
      <c r="B18" s="355" t="s">
        <v>254</v>
      </c>
      <c r="C18" s="357" t="n">
        <v>12000000</v>
      </c>
      <c r="D18" s="357" t="n">
        <v>0</v>
      </c>
      <c r="E18" s="357" t="n">
        <v>12000000</v>
      </c>
      <c r="F18" s="355" t="s">
        <v>234</v>
      </c>
      <c r="G18" s="355" t="s">
        <v>1126</v>
      </c>
      <c r="H18" s="355" t="s">
        <v>240</v>
      </c>
      <c r="I18" s="355" t="s">
        <v>56</v>
      </c>
    </row>
    <row r="19" customFormat="false" ht="19.5" hidden="false" customHeight="true" outlineLevel="0" collapsed="false">
      <c r="A19" s="355" t="s">
        <v>255</v>
      </c>
      <c r="B19" s="355" t="s">
        <v>256</v>
      </c>
      <c r="C19" s="357" t="n">
        <v>1200000</v>
      </c>
      <c r="D19" s="357" t="n">
        <v>0</v>
      </c>
      <c r="E19" s="357" t="n">
        <v>1200000</v>
      </c>
      <c r="F19" s="355" t="s">
        <v>234</v>
      </c>
      <c r="G19" s="355" t="s">
        <v>1127</v>
      </c>
      <c r="H19" s="355" t="s">
        <v>240</v>
      </c>
      <c r="I19" s="355" t="s">
        <v>56</v>
      </c>
    </row>
    <row r="20" customFormat="false" ht="19.5" hidden="false" customHeight="true" outlineLevel="0" collapsed="false">
      <c r="A20" s="355" t="s">
        <v>257</v>
      </c>
      <c r="B20" s="355" t="s">
        <v>258</v>
      </c>
      <c r="C20" s="357" t="n">
        <v>500000</v>
      </c>
      <c r="D20" s="357" t="n">
        <v>0</v>
      </c>
      <c r="E20" s="357" t="n">
        <v>500000</v>
      </c>
      <c r="F20" s="355" t="s">
        <v>234</v>
      </c>
      <c r="G20" s="355" t="s">
        <v>1127</v>
      </c>
      <c r="H20" s="355" t="s">
        <v>240</v>
      </c>
      <c r="I20" s="355" t="s">
        <v>56</v>
      </c>
    </row>
    <row r="21" customFormat="false" ht="19.5" hidden="false" customHeight="true" outlineLevel="0" collapsed="false">
      <c r="A21" s="355" t="s">
        <v>268</v>
      </c>
      <c r="B21" s="355" t="s">
        <v>269</v>
      </c>
      <c r="C21" s="357" t="n">
        <v>0</v>
      </c>
      <c r="D21" s="357" t="n">
        <v>4936667</v>
      </c>
      <c r="E21" s="357" t="n">
        <v>-4936667</v>
      </c>
      <c r="F21" s="355" t="s">
        <v>234</v>
      </c>
      <c r="G21" s="355" t="s">
        <v>1128</v>
      </c>
      <c r="H21" s="355" t="s">
        <v>267</v>
      </c>
      <c r="I21" s="355" t="s">
        <v>56</v>
      </c>
    </row>
    <row r="22" customFormat="false" ht="19.5" hidden="false" customHeight="true" outlineLevel="0" collapsed="false">
      <c r="A22" s="355" t="s">
        <v>284</v>
      </c>
      <c r="B22" s="355" t="s">
        <v>285</v>
      </c>
      <c r="C22" s="357" t="n">
        <v>4567400</v>
      </c>
      <c r="D22" s="357" t="n">
        <v>800000</v>
      </c>
      <c r="E22" s="357" t="n">
        <v>3767400</v>
      </c>
      <c r="F22" s="355" t="s">
        <v>1129</v>
      </c>
      <c r="G22" s="355" t="s">
        <v>1130</v>
      </c>
      <c r="H22" s="355" t="s">
        <v>240</v>
      </c>
      <c r="I22" s="355" t="s">
        <v>56</v>
      </c>
    </row>
    <row r="23" customFormat="false" ht="19.5" hidden="false" customHeight="true" outlineLevel="0" collapsed="false">
      <c r="A23" s="355" t="s">
        <v>296</v>
      </c>
      <c r="B23" s="355" t="s">
        <v>295</v>
      </c>
      <c r="C23" s="357" t="n">
        <v>800000</v>
      </c>
      <c r="D23" s="357" t="n">
        <v>8000000</v>
      </c>
      <c r="E23" s="357" t="n">
        <v>-7200000</v>
      </c>
      <c r="F23" s="355" t="s">
        <v>1129</v>
      </c>
      <c r="G23" s="355" t="s">
        <v>1131</v>
      </c>
      <c r="H23" s="355" t="s">
        <v>240</v>
      </c>
      <c r="I23" s="355" t="s">
        <v>56</v>
      </c>
    </row>
    <row r="24" customFormat="false" ht="19.5" hidden="false" customHeight="true" outlineLevel="0" collapsed="false">
      <c r="A24" s="355" t="s">
        <v>301</v>
      </c>
      <c r="B24" s="355" t="s">
        <v>302</v>
      </c>
      <c r="C24" s="357" t="n">
        <v>8000000</v>
      </c>
      <c r="D24" s="357" t="n">
        <v>8000000</v>
      </c>
      <c r="E24" s="357" t="n">
        <v>0</v>
      </c>
      <c r="F24" s="355" t="s">
        <v>1129</v>
      </c>
      <c r="G24" s="355" t="s">
        <v>304</v>
      </c>
      <c r="H24" s="355" t="s">
        <v>240</v>
      </c>
      <c r="I24" s="355" t="s">
        <v>56</v>
      </c>
    </row>
    <row r="25" customFormat="false" ht="19.5" hidden="false" customHeight="true" outlineLevel="0" collapsed="false">
      <c r="A25" s="355" t="s">
        <v>305</v>
      </c>
      <c r="B25" s="355" t="s">
        <v>306</v>
      </c>
      <c r="C25" s="357" t="n">
        <v>29400000</v>
      </c>
      <c r="D25" s="357" t="n">
        <v>0</v>
      </c>
      <c r="E25" s="357" t="n">
        <v>29400000</v>
      </c>
      <c r="F25" s="355" t="s">
        <v>1129</v>
      </c>
      <c r="G25" s="355" t="s">
        <v>306</v>
      </c>
      <c r="H25" s="355" t="s">
        <v>240</v>
      </c>
      <c r="I25" s="355" t="s">
        <v>56</v>
      </c>
    </row>
    <row r="26" customFormat="false" ht="19.5" hidden="false" customHeight="true" outlineLevel="0" collapsed="false">
      <c r="A26" s="355" t="s">
        <v>307</v>
      </c>
      <c r="B26" s="355" t="s">
        <v>306</v>
      </c>
      <c r="C26" s="357" t="n">
        <v>3600000</v>
      </c>
      <c r="D26" s="357" t="n">
        <v>0</v>
      </c>
      <c r="E26" s="357" t="n">
        <v>3600000</v>
      </c>
      <c r="F26" s="355" t="s">
        <v>1129</v>
      </c>
      <c r="G26" s="355" t="s">
        <v>306</v>
      </c>
      <c r="H26" s="355" t="s">
        <v>240</v>
      </c>
      <c r="I26" s="355" t="s">
        <v>56</v>
      </c>
    </row>
    <row r="27" customFormat="false" ht="19.5" hidden="false" customHeight="true" outlineLevel="0" collapsed="false">
      <c r="A27" s="355" t="s">
        <v>331</v>
      </c>
      <c r="B27" s="355" t="s">
        <v>332</v>
      </c>
      <c r="C27" s="357" t="n">
        <v>3560000</v>
      </c>
      <c r="D27" s="357" t="n">
        <v>101596000</v>
      </c>
      <c r="E27" s="357" t="n">
        <v>-98036000</v>
      </c>
      <c r="F27" s="355" t="s">
        <v>334</v>
      </c>
      <c r="G27" s="355" t="s">
        <v>1132</v>
      </c>
      <c r="H27" s="355" t="s">
        <v>333</v>
      </c>
      <c r="I27" s="355" t="s">
        <v>56</v>
      </c>
    </row>
    <row r="28" customFormat="false" ht="19.5" hidden="false" customHeight="true" outlineLevel="0" collapsed="false">
      <c r="A28" s="355" t="s">
        <v>345</v>
      </c>
      <c r="B28" s="355" t="s">
        <v>346</v>
      </c>
      <c r="C28" s="357" t="n">
        <v>21958000</v>
      </c>
      <c r="D28" s="357" t="n">
        <v>1318800</v>
      </c>
      <c r="E28" s="357" t="n">
        <v>20639200</v>
      </c>
      <c r="F28" s="355" t="s">
        <v>1129</v>
      </c>
      <c r="G28" s="355" t="s">
        <v>1133</v>
      </c>
      <c r="H28" s="355" t="s">
        <v>240</v>
      </c>
      <c r="I28" s="355" t="s">
        <v>56</v>
      </c>
    </row>
    <row r="29" customFormat="false" ht="19.5" hidden="false" customHeight="true" outlineLevel="0" collapsed="false">
      <c r="A29" s="355" t="s">
        <v>356</v>
      </c>
      <c r="B29" s="355" t="s">
        <v>357</v>
      </c>
      <c r="C29" s="357" t="n">
        <v>246400</v>
      </c>
      <c r="D29" s="357" t="n">
        <v>2350000</v>
      </c>
      <c r="E29" s="357" t="n">
        <v>-2103600</v>
      </c>
      <c r="F29" s="355" t="s">
        <v>334</v>
      </c>
      <c r="G29" s="355" t="s">
        <v>1134</v>
      </c>
      <c r="H29" s="355" t="s">
        <v>333</v>
      </c>
      <c r="I29" s="355" t="s">
        <v>56</v>
      </c>
    </row>
    <row r="30" customFormat="false" ht="19.5" hidden="false" customHeight="true" outlineLevel="0" collapsed="false">
      <c r="A30" s="355" t="s">
        <v>363</v>
      </c>
      <c r="B30" s="355" t="s">
        <v>364</v>
      </c>
      <c r="C30" s="357" t="n">
        <v>0</v>
      </c>
      <c r="D30" s="357" t="n">
        <v>673800</v>
      </c>
      <c r="E30" s="357" t="n">
        <v>-673800</v>
      </c>
      <c r="F30" s="355" t="s">
        <v>334</v>
      </c>
      <c r="G30" s="355" t="s">
        <v>1134</v>
      </c>
      <c r="H30" s="355" t="s">
        <v>333</v>
      </c>
      <c r="I30" s="355" t="s">
        <v>56</v>
      </c>
    </row>
    <row r="31" customFormat="false" ht="19.5" hidden="false" customHeight="true" outlineLevel="0" collapsed="false">
      <c r="A31" s="355" t="s">
        <v>369</v>
      </c>
      <c r="B31" s="355" t="s">
        <v>370</v>
      </c>
      <c r="C31" s="357" t="n">
        <v>12500000</v>
      </c>
      <c r="D31" s="357" t="n">
        <v>14475680</v>
      </c>
      <c r="E31" s="357" t="n">
        <v>-1975680</v>
      </c>
      <c r="F31" s="355" t="s">
        <v>334</v>
      </c>
      <c r="G31" s="355" t="s">
        <v>1134</v>
      </c>
      <c r="H31" s="355" t="s">
        <v>333</v>
      </c>
      <c r="I31" s="355" t="s">
        <v>56</v>
      </c>
    </row>
    <row r="32" customFormat="false" ht="19.5" hidden="false" customHeight="true" outlineLevel="0" collapsed="false">
      <c r="A32" s="355" t="s">
        <v>384</v>
      </c>
      <c r="B32" s="355" t="s">
        <v>385</v>
      </c>
      <c r="C32" s="357" t="n">
        <v>16290947</v>
      </c>
      <c r="D32" s="357" t="n">
        <v>0</v>
      </c>
      <c r="E32" s="357" t="n">
        <v>16290947</v>
      </c>
      <c r="F32" s="355" t="s">
        <v>1129</v>
      </c>
      <c r="G32" s="355" t="s">
        <v>1135</v>
      </c>
      <c r="H32" s="355" t="s">
        <v>240</v>
      </c>
      <c r="I32" s="355" t="s">
        <v>56</v>
      </c>
    </row>
    <row r="33" customFormat="false" ht="19.5" hidden="false" customHeight="true" outlineLevel="0" collapsed="false">
      <c r="A33" s="355" t="s">
        <v>387</v>
      </c>
      <c r="B33" s="355" t="s">
        <v>388</v>
      </c>
      <c r="C33" s="357" t="n">
        <v>0</v>
      </c>
      <c r="D33" s="357" t="n">
        <v>3659800</v>
      </c>
      <c r="E33" s="357" t="n">
        <v>-3659800</v>
      </c>
      <c r="F33" s="355" t="s">
        <v>334</v>
      </c>
      <c r="G33" s="355" t="s">
        <v>1136</v>
      </c>
      <c r="H33" s="355" t="s">
        <v>333</v>
      </c>
      <c r="I33" s="355" t="s">
        <v>56</v>
      </c>
    </row>
    <row r="34" customFormat="false" ht="19.5" hidden="false" customHeight="true" outlineLevel="0" collapsed="false">
      <c r="A34" s="355" t="s">
        <v>401</v>
      </c>
      <c r="B34" s="355" t="s">
        <v>402</v>
      </c>
      <c r="C34" s="357" t="n">
        <v>0</v>
      </c>
      <c r="D34" s="357" t="n">
        <v>91500</v>
      </c>
      <c r="E34" s="357" t="n">
        <v>-91500</v>
      </c>
      <c r="F34" s="355" t="s">
        <v>334</v>
      </c>
      <c r="G34" s="355" t="s">
        <v>1136</v>
      </c>
      <c r="H34" s="355" t="s">
        <v>333</v>
      </c>
      <c r="I34" s="355" t="s">
        <v>56</v>
      </c>
    </row>
    <row r="35" customFormat="false" ht="19.5" hidden="false" customHeight="true" outlineLevel="0" collapsed="false">
      <c r="A35" s="355" t="s">
        <v>444</v>
      </c>
      <c r="B35" s="355" t="s">
        <v>445</v>
      </c>
      <c r="C35" s="357" t="n">
        <v>0</v>
      </c>
      <c r="D35" s="357" t="n">
        <v>100000</v>
      </c>
      <c r="E35" s="357" t="n">
        <v>-100000</v>
      </c>
      <c r="F35" s="355" t="s">
        <v>1129</v>
      </c>
      <c r="G35" s="355" t="s">
        <v>1137</v>
      </c>
      <c r="H35" s="355" t="s">
        <v>267</v>
      </c>
      <c r="I35" s="355" t="s">
        <v>56</v>
      </c>
    </row>
    <row r="36" customFormat="false" ht="19.5" hidden="false" customHeight="true" outlineLevel="0" collapsed="false">
      <c r="A36" s="355" t="s">
        <v>460</v>
      </c>
      <c r="B36" s="355" t="s">
        <v>461</v>
      </c>
      <c r="C36" s="357" t="n">
        <v>44430000</v>
      </c>
      <c r="D36" s="357" t="n">
        <v>16387700</v>
      </c>
      <c r="E36" s="357" t="n">
        <v>28042300</v>
      </c>
      <c r="F36" s="355" t="s">
        <v>1129</v>
      </c>
      <c r="G36" s="355" t="s">
        <v>459</v>
      </c>
      <c r="H36" s="355" t="s">
        <v>240</v>
      </c>
      <c r="I36" s="355" t="s">
        <v>56</v>
      </c>
    </row>
    <row r="37" customFormat="false" ht="19.5" hidden="false" customHeight="true" outlineLevel="0" collapsed="false">
      <c r="A37" s="355" t="s">
        <v>470</v>
      </c>
      <c r="B37" s="355" t="s">
        <v>469</v>
      </c>
      <c r="C37" s="357" t="n">
        <v>0</v>
      </c>
      <c r="D37" s="357" t="n">
        <v>240000</v>
      </c>
      <c r="E37" s="357" t="n">
        <v>-240000</v>
      </c>
      <c r="F37" s="355" t="s">
        <v>1129</v>
      </c>
      <c r="G37" s="355" t="s">
        <v>459</v>
      </c>
      <c r="H37" s="355" t="s">
        <v>240</v>
      </c>
      <c r="I37" s="355" t="s">
        <v>56</v>
      </c>
    </row>
    <row r="38" customFormat="false" ht="19.5" hidden="false" customHeight="true" outlineLevel="0" collapsed="false">
      <c r="A38" s="359" t="s">
        <v>490</v>
      </c>
      <c r="B38" s="359" t="s">
        <v>491</v>
      </c>
      <c r="C38" s="360" t="n">
        <v>8000000</v>
      </c>
      <c r="D38" s="360" t="n">
        <v>0</v>
      </c>
      <c r="E38" s="360" t="n">
        <v>8000000</v>
      </c>
      <c r="F38" s="359" t="s">
        <v>139</v>
      </c>
      <c r="G38" s="359" t="s">
        <v>1138</v>
      </c>
      <c r="H38" s="359" t="s">
        <v>139</v>
      </c>
      <c r="I38" s="359" t="s">
        <v>56</v>
      </c>
    </row>
    <row r="39" customFormat="false" ht="19.5" hidden="false" customHeight="true" outlineLevel="0" collapsed="false">
      <c r="A39" s="359" t="s">
        <v>511</v>
      </c>
      <c r="B39" s="359" t="s">
        <v>512</v>
      </c>
      <c r="C39" s="360" t="n">
        <v>610000</v>
      </c>
      <c r="D39" s="360" t="n">
        <v>0</v>
      </c>
      <c r="E39" s="360" t="n">
        <v>610000</v>
      </c>
      <c r="F39" s="359" t="s">
        <v>139</v>
      </c>
      <c r="G39" s="359" t="s">
        <v>1138</v>
      </c>
      <c r="H39" s="359" t="s">
        <v>139</v>
      </c>
      <c r="I39" s="359" t="s">
        <v>56</v>
      </c>
    </row>
    <row r="40" customFormat="false" ht="19.5" hidden="false" customHeight="true" outlineLevel="0" collapsed="false">
      <c r="A40" s="359" t="s">
        <v>528</v>
      </c>
      <c r="B40" s="359" t="s">
        <v>529</v>
      </c>
      <c r="C40" s="360" t="n">
        <v>120000</v>
      </c>
      <c r="D40" s="360" t="n">
        <v>0</v>
      </c>
      <c r="E40" s="360" t="n">
        <v>120000</v>
      </c>
      <c r="F40" s="359" t="s">
        <v>139</v>
      </c>
      <c r="G40" s="359" t="s">
        <v>1138</v>
      </c>
      <c r="H40" s="359" t="s">
        <v>139</v>
      </c>
      <c r="I40" s="359" t="s">
        <v>56</v>
      </c>
    </row>
    <row r="41" customFormat="false" ht="19.5" hidden="false" customHeight="true" outlineLevel="0" collapsed="false">
      <c r="A41" s="359" t="s">
        <v>530</v>
      </c>
      <c r="B41" s="359" t="s">
        <v>531</v>
      </c>
      <c r="C41" s="360" t="n">
        <v>135000</v>
      </c>
      <c r="D41" s="360" t="n">
        <v>0</v>
      </c>
      <c r="E41" s="360" t="n">
        <v>135000</v>
      </c>
      <c r="F41" s="359" t="s">
        <v>139</v>
      </c>
      <c r="G41" s="359" t="s">
        <v>1138</v>
      </c>
      <c r="H41" s="359" t="s">
        <v>139</v>
      </c>
      <c r="I41" s="359" t="s">
        <v>56</v>
      </c>
    </row>
    <row r="42" customFormat="false" ht="19.5" hidden="false" customHeight="true" outlineLevel="0" collapsed="false">
      <c r="A42" s="359" t="s">
        <v>534</v>
      </c>
      <c r="B42" s="359" t="s">
        <v>535</v>
      </c>
      <c r="C42" s="360" t="n">
        <v>200000</v>
      </c>
      <c r="D42" s="360" t="n">
        <v>0</v>
      </c>
      <c r="E42" s="360" t="n">
        <v>200000</v>
      </c>
      <c r="F42" s="359" t="s">
        <v>139</v>
      </c>
      <c r="G42" s="359" t="s">
        <v>1138</v>
      </c>
      <c r="H42" s="359" t="s">
        <v>139</v>
      </c>
      <c r="I42" s="359" t="s">
        <v>56</v>
      </c>
    </row>
    <row r="43" customFormat="false" ht="19.5" hidden="false" customHeight="true" outlineLevel="0" collapsed="false">
      <c r="A43" s="359" t="s">
        <v>555</v>
      </c>
      <c r="B43" s="359" t="s">
        <v>556</v>
      </c>
      <c r="C43" s="360" t="n">
        <v>2350000</v>
      </c>
      <c r="D43" s="360" t="n">
        <v>0</v>
      </c>
      <c r="E43" s="360" t="n">
        <v>2350000</v>
      </c>
      <c r="F43" s="359" t="s">
        <v>139</v>
      </c>
      <c r="G43" s="359" t="s">
        <v>1138</v>
      </c>
      <c r="H43" s="359" t="s">
        <v>139</v>
      </c>
      <c r="I43" s="359" t="s">
        <v>56</v>
      </c>
    </row>
    <row r="44" customFormat="false" ht="19.5" hidden="false" customHeight="true" outlineLevel="0" collapsed="false">
      <c r="A44" s="359" t="s">
        <v>558</v>
      </c>
      <c r="B44" s="359" t="s">
        <v>559</v>
      </c>
      <c r="C44" s="360" t="n">
        <v>367400</v>
      </c>
      <c r="D44" s="360" t="n">
        <v>0</v>
      </c>
      <c r="E44" s="360" t="n">
        <v>367400</v>
      </c>
      <c r="F44" s="359" t="s">
        <v>139</v>
      </c>
      <c r="G44" s="359" t="s">
        <v>1138</v>
      </c>
      <c r="H44" s="359" t="s">
        <v>139</v>
      </c>
      <c r="I44" s="359" t="s">
        <v>56</v>
      </c>
    </row>
    <row r="45" customFormat="false" ht="19.5" hidden="false" customHeight="true" outlineLevel="0" collapsed="false">
      <c r="A45" s="359" t="s">
        <v>568</v>
      </c>
      <c r="B45" s="359" t="s">
        <v>569</v>
      </c>
      <c r="C45" s="360" t="n">
        <v>540000</v>
      </c>
      <c r="D45" s="360" t="n">
        <v>0</v>
      </c>
      <c r="E45" s="360" t="n">
        <v>540000</v>
      </c>
      <c r="F45" s="359" t="s">
        <v>139</v>
      </c>
      <c r="G45" s="359" t="s">
        <v>1138</v>
      </c>
      <c r="H45" s="359" t="s">
        <v>139</v>
      </c>
      <c r="I45" s="359" t="s">
        <v>56</v>
      </c>
    </row>
    <row r="46" customFormat="false" ht="19.5" hidden="false" customHeight="true" outlineLevel="0" collapsed="false">
      <c r="A46" s="359" t="s">
        <v>572</v>
      </c>
      <c r="B46" s="359" t="s">
        <v>573</v>
      </c>
      <c r="C46" s="360" t="n">
        <v>620000</v>
      </c>
      <c r="D46" s="360" t="n">
        <v>0</v>
      </c>
      <c r="E46" s="360" t="n">
        <v>620000</v>
      </c>
      <c r="F46" s="359" t="s">
        <v>139</v>
      </c>
      <c r="G46" s="359" t="s">
        <v>1138</v>
      </c>
      <c r="H46" s="359" t="s">
        <v>139</v>
      </c>
      <c r="I46" s="359" t="s">
        <v>56</v>
      </c>
    </row>
    <row r="47" customFormat="false" ht="19.5" hidden="false" customHeight="true" outlineLevel="0" collapsed="false">
      <c r="A47" s="359" t="s">
        <v>574</v>
      </c>
      <c r="B47" s="359" t="s">
        <v>565</v>
      </c>
      <c r="C47" s="360" t="n">
        <v>100000</v>
      </c>
      <c r="D47" s="360" t="n">
        <v>0</v>
      </c>
      <c r="E47" s="360" t="n">
        <v>100000</v>
      </c>
      <c r="F47" s="359" t="s">
        <v>139</v>
      </c>
      <c r="G47" s="359" t="s">
        <v>1138</v>
      </c>
      <c r="H47" s="359" t="s">
        <v>139</v>
      </c>
      <c r="I47" s="359" t="s">
        <v>56</v>
      </c>
    </row>
    <row r="48" customFormat="false" ht="19.5" hidden="false" customHeight="true" outlineLevel="0" collapsed="false">
      <c r="A48" s="359" t="s">
        <v>581</v>
      </c>
      <c r="B48" s="359" t="s">
        <v>582</v>
      </c>
      <c r="C48" s="360" t="n">
        <v>990000</v>
      </c>
      <c r="D48" s="360" t="n">
        <v>0</v>
      </c>
      <c r="E48" s="360" t="n">
        <v>990000</v>
      </c>
      <c r="F48" s="359" t="s">
        <v>139</v>
      </c>
      <c r="G48" s="359" t="s">
        <v>1138</v>
      </c>
      <c r="H48" s="359" t="s">
        <v>139</v>
      </c>
      <c r="I48" s="359" t="s">
        <v>56</v>
      </c>
    </row>
    <row r="49" customFormat="false" ht="19.5" hidden="false" customHeight="true" outlineLevel="0" collapsed="false">
      <c r="A49" s="359" t="s">
        <v>585</v>
      </c>
      <c r="B49" s="359" t="s">
        <v>586</v>
      </c>
      <c r="C49" s="360" t="n">
        <v>125000</v>
      </c>
      <c r="D49" s="360" t="n">
        <v>0</v>
      </c>
      <c r="E49" s="360" t="n">
        <v>125000</v>
      </c>
      <c r="F49" s="359" t="s">
        <v>139</v>
      </c>
      <c r="G49" s="359" t="s">
        <v>1138</v>
      </c>
      <c r="H49" s="359" t="s">
        <v>139</v>
      </c>
      <c r="I49" s="359" t="s">
        <v>56</v>
      </c>
    </row>
    <row r="50" customFormat="false" ht="19.5" hidden="false" customHeight="true" outlineLevel="0" collapsed="false">
      <c r="A50" s="359" t="s">
        <v>596</v>
      </c>
      <c r="B50" s="359" t="s">
        <v>597</v>
      </c>
      <c r="C50" s="360" t="n">
        <v>4936667</v>
      </c>
      <c r="D50" s="360" t="n">
        <v>0</v>
      </c>
      <c r="E50" s="360" t="n">
        <v>4936667</v>
      </c>
      <c r="F50" s="359" t="s">
        <v>139</v>
      </c>
      <c r="G50" s="359" t="s">
        <v>1138</v>
      </c>
      <c r="H50" s="359" t="s">
        <v>139</v>
      </c>
      <c r="I50" s="359" t="s">
        <v>56</v>
      </c>
    </row>
    <row r="51" customFormat="false" ht="19.5" hidden="false" customHeight="true" outlineLevel="0" collapsed="false">
      <c r="A51" s="359" t="s">
        <v>619</v>
      </c>
      <c r="B51" s="359" t="s">
        <v>620</v>
      </c>
      <c r="C51" s="360" t="n">
        <v>0</v>
      </c>
      <c r="D51" s="360" t="n">
        <v>18200000</v>
      </c>
      <c r="E51" s="360" t="n">
        <v>-18200000</v>
      </c>
      <c r="F51" s="359" t="s">
        <v>139</v>
      </c>
      <c r="G51" s="359" t="s">
        <v>1138</v>
      </c>
      <c r="H51" s="359" t="s">
        <v>139</v>
      </c>
      <c r="I51" s="359" t="s">
        <v>56</v>
      </c>
    </row>
    <row r="52" customFormat="false" ht="19.5" hidden="false" customHeight="true" outlineLevel="0" collapsed="false">
      <c r="A52" s="359" t="s">
        <v>626</v>
      </c>
      <c r="B52" s="359" t="s">
        <v>627</v>
      </c>
      <c r="C52" s="360" t="n">
        <v>0</v>
      </c>
      <c r="D52" s="360" t="n">
        <v>99000</v>
      </c>
      <c r="E52" s="360" t="n">
        <v>-99000</v>
      </c>
      <c r="F52" s="359" t="s">
        <v>139</v>
      </c>
      <c r="G52" s="359" t="s">
        <v>1138</v>
      </c>
      <c r="H52" s="359" t="s">
        <v>139</v>
      </c>
      <c r="I52" s="359" t="s">
        <v>56</v>
      </c>
    </row>
    <row r="53" customFormat="false" ht="19.5" hidden="false" customHeight="true" outlineLevel="0" collapsed="false">
      <c r="A53" s="359" t="s">
        <v>680</v>
      </c>
      <c r="B53" s="359" t="s">
        <v>681</v>
      </c>
      <c r="C53" s="360" t="n">
        <v>0</v>
      </c>
      <c r="D53" s="360" t="n">
        <v>110000</v>
      </c>
      <c r="E53" s="360" t="n">
        <v>-110000</v>
      </c>
      <c r="F53" s="359" t="s">
        <v>139</v>
      </c>
      <c r="G53" s="359" t="s">
        <v>1138</v>
      </c>
      <c r="H53" s="359" t="s">
        <v>139</v>
      </c>
      <c r="I53" s="359" t="s">
        <v>56</v>
      </c>
    </row>
    <row r="54" customFormat="false" ht="19.5" hidden="false" customHeight="true" outlineLevel="0" collapsed="false">
      <c r="A54" s="359" t="s">
        <v>682</v>
      </c>
      <c r="B54" s="359" t="s">
        <v>683</v>
      </c>
      <c r="C54" s="360" t="n">
        <v>0</v>
      </c>
      <c r="D54" s="360" t="n">
        <v>102000</v>
      </c>
      <c r="E54" s="360" t="n">
        <v>-102000</v>
      </c>
      <c r="F54" s="359" t="s">
        <v>139</v>
      </c>
      <c r="G54" s="359" t="s">
        <v>1138</v>
      </c>
      <c r="H54" s="359" t="s">
        <v>139</v>
      </c>
      <c r="I54" s="359" t="s">
        <v>56</v>
      </c>
    </row>
    <row r="55" customFormat="false" ht="19.5" hidden="false" customHeight="true" outlineLevel="0" collapsed="false"/>
    <row r="56" customFormat="false" ht="19.5" hidden="false" customHeight="true" outlineLevel="0" collapsed="false"/>
    <row r="57" customFormat="false" ht="19.5" hidden="false" customHeight="true" outlineLevel="0" collapsed="false">
      <c r="A57" s="361" t="s">
        <v>1139</v>
      </c>
      <c r="B57" s="361" t="s">
        <v>764</v>
      </c>
    </row>
    <row r="58" customFormat="false" ht="19.5" hidden="false" customHeight="true" outlineLevel="0" collapsed="false">
      <c r="A58" s="351" t="s">
        <v>1140</v>
      </c>
      <c r="B58" s="352" t="n">
        <f aca="false">DITARI!$A$3</f>
        <v>0</v>
      </c>
    </row>
    <row r="59" customFormat="false" ht="19.5" hidden="false" customHeight="true" outlineLevel="0" collapsed="false">
      <c r="A59" s="351" t="s">
        <v>1141</v>
      </c>
      <c r="B59" s="352" t="n">
        <f aca="false">DITARI!$B$3</f>
        <v>0</v>
      </c>
    </row>
    <row r="60" customFormat="false" ht="19.5" hidden="false" customHeight="true" outlineLevel="0" collapsed="false">
      <c r="A60" s="351" t="s">
        <v>1142</v>
      </c>
      <c r="B60" s="352" t="n">
        <f aca="false">DITARI!$C$3</f>
        <v>0</v>
      </c>
    </row>
    <row r="61" customFormat="false" ht="19.5" hidden="false" customHeight="true" outlineLevel="0" collapsed="false">
      <c r="A61" s="351" t="s">
        <v>1143</v>
      </c>
      <c r="B61" s="352" t="n">
        <f aca="false">BILANCI_MIKRO_FINAL!$B$61</f>
        <v>0</v>
      </c>
    </row>
    <row r="62" customFormat="false" ht="19.5" hidden="false" customHeight="true" outlineLevel="0" collapsed="false">
      <c r="A62" s="351" t="s">
        <v>1144</v>
      </c>
      <c r="B62" s="355" t="s">
        <v>1145</v>
      </c>
    </row>
  </sheetData>
  <sheetProtection sheet="true" password="91db" formatCells="false" formatColumns="false" formatRows="false" sort="false" autoFilter="false"/>
  <mergeCells count="1">
    <mergeCell ref="A1:I1"/>
  </mergeCells>
  <hyperlinks>
    <hyperlink ref="K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51" width="44"/>
    <col collapsed="false" customWidth="true" hidden="false" outlineLevel="0" max="2" min="2" style="51" width="86"/>
    <col collapsed="false" customWidth="true" hidden="false" outlineLevel="0" max="4" min="4" style="1" width="16"/>
  </cols>
  <sheetData>
    <row r="1" s="51" customFormat="true" ht="19.5" hidden="false" customHeight="true" outlineLevel="0" collapsed="false">
      <c r="A1" s="72" t="s">
        <v>1146</v>
      </c>
      <c r="B1" s="72"/>
      <c r="D1" s="29" t="s">
        <v>19</v>
      </c>
    </row>
    <row r="3" customFormat="false" ht="14.25" hidden="false" customHeight="true" outlineLevel="0" collapsed="false">
      <c r="A3" s="362" t="s">
        <v>1147</v>
      </c>
      <c r="B3" s="362"/>
    </row>
    <row r="4" customFormat="false" ht="14.25" hidden="false" customHeight="true" outlineLevel="0" collapsed="false">
      <c r="A4" s="81" t="s">
        <v>1148</v>
      </c>
      <c r="B4" s="81" t="s">
        <v>1149</v>
      </c>
    </row>
    <row r="5" customFormat="false" ht="14.25" hidden="false" customHeight="true" outlineLevel="0" collapsed="false">
      <c r="A5" s="317" t="s">
        <v>1150</v>
      </c>
      <c r="B5" s="363" t="str">
        <f aca="false">SETTINGS!B5</f>
        <v/>
      </c>
    </row>
    <row r="6" customFormat="false" ht="14.25" hidden="false" customHeight="true" outlineLevel="0" collapsed="false">
      <c r="A6" s="317" t="s">
        <v>1151</v>
      </c>
      <c r="B6" s="363" t="str">
        <f aca="false">SETTINGS!B6</f>
        <v/>
      </c>
    </row>
    <row r="7" customFormat="false" ht="14.25" hidden="false" customHeight="true" outlineLevel="0" collapsed="false">
      <c r="A7" s="317" t="s">
        <v>1152</v>
      </c>
      <c r="B7" s="364" t="n">
        <f aca="false">SETTINGS!B9</f>
        <v>2025</v>
      </c>
    </row>
    <row r="8" customFormat="false" ht="14.25" hidden="false" customHeight="true" outlineLevel="0" collapsed="false">
      <c r="A8" s="317" t="s">
        <v>1153</v>
      </c>
      <c r="B8" s="317" t="s">
        <v>1154</v>
      </c>
    </row>
    <row r="9" customFormat="false" ht="14.25" hidden="false" customHeight="true" outlineLevel="0" collapsed="false">
      <c r="A9" s="317" t="s">
        <v>1155</v>
      </c>
      <c r="B9" s="365" t="n">
        <f aca="false">SETTINGS!B10</f>
        <v>2024</v>
      </c>
    </row>
    <row r="10" customFormat="false" ht="14.25" hidden="false" customHeight="true" outlineLevel="0" collapsed="false">
      <c r="A10" s="317" t="s">
        <v>1156</v>
      </c>
      <c r="B10" s="317" t="s">
        <v>1157</v>
      </c>
    </row>
    <row r="11" customFormat="false" ht="14.25" hidden="false" customHeight="true" outlineLevel="0" collapsed="false">
      <c r="A11" s="317" t="s">
        <v>1158</v>
      </c>
      <c r="B11" s="366" t="n">
        <f aca="false">BILANCI_MIKRO_FINAL!B7</f>
        <v>0</v>
      </c>
    </row>
    <row r="12" customFormat="false" ht="14.25" hidden="false" customHeight="true" outlineLevel="0" collapsed="false">
      <c r="A12" s="317" t="s">
        <v>1159</v>
      </c>
      <c r="B12" s="366" t="n">
        <f aca="false">BILANCI_MIKRO_FINAL!B8</f>
        <v>0</v>
      </c>
    </row>
    <row r="13" customFormat="false" ht="14.25" hidden="false" customHeight="true" outlineLevel="0" collapsed="false">
      <c r="A13" s="317" t="s">
        <v>1160</v>
      </c>
      <c r="B13" s="366" t="n">
        <f aca="false">BILANCI_MIKRO_FINAL!B9</f>
        <v>0</v>
      </c>
    </row>
    <row r="14" customFormat="false" ht="14.25" hidden="false" customHeight="true" outlineLevel="0" collapsed="false">
      <c r="A14" s="317" t="s">
        <v>1161</v>
      </c>
      <c r="B14" s="366" t="n">
        <f aca="false">BILANCI_MIKRO_FINAL!B12</f>
        <v>0</v>
      </c>
    </row>
    <row r="15" customFormat="false" ht="14.25" hidden="false" customHeight="true" outlineLevel="0" collapsed="false">
      <c r="A15" s="317" t="s">
        <v>1162</v>
      </c>
      <c r="B15" s="366" t="n">
        <f aca="false">BILANCI_MIKRO_FINAL!B16</f>
        <v>0</v>
      </c>
    </row>
    <row r="16" customFormat="false" ht="14.25" hidden="false" customHeight="true" outlineLevel="0" collapsed="false">
      <c r="A16" s="317" t="s">
        <v>1163</v>
      </c>
      <c r="B16" s="366" t="n">
        <f aca="false">BILANCI_MIKRO_FINAL!B17</f>
        <v>0</v>
      </c>
    </row>
    <row r="17" customFormat="false" ht="14.25" hidden="false" customHeight="true" outlineLevel="0" collapsed="false">
      <c r="A17" s="317" t="s">
        <v>1164</v>
      </c>
      <c r="B17" s="367" t="s">
        <v>1165</v>
      </c>
    </row>
    <row r="18" customFormat="false" ht="14.25" hidden="false" customHeight="true" outlineLevel="0" collapsed="false">
      <c r="A18" s="317" t="s">
        <v>1166</v>
      </c>
      <c r="B18" s="363" t="n">
        <f aca="false">PASH_MIKRO_FINAL!B5</f>
        <v>0</v>
      </c>
    </row>
    <row r="19" customFormat="false" ht="14.25" hidden="false" customHeight="true" outlineLevel="0" collapsed="false">
      <c r="A19" s="317" t="s">
        <v>1167</v>
      </c>
      <c r="B19" s="366" t="n">
        <f aca="false">PASH_MIKRO_FINAL!B6</f>
        <v>0</v>
      </c>
    </row>
    <row r="20" customFormat="false" ht="14.25" hidden="false" customHeight="true" outlineLevel="0" collapsed="false">
      <c r="A20" s="317" t="s">
        <v>1168</v>
      </c>
      <c r="B20" s="366" t="n">
        <f aca="false">PASH_MIKRO_FINAL!B8</f>
        <v>0</v>
      </c>
    </row>
    <row r="21" customFormat="false" ht="14.25" hidden="false" customHeight="true" outlineLevel="0" collapsed="false">
      <c r="A21" s="317" t="s">
        <v>1169</v>
      </c>
      <c r="B21" s="88" t="s">
        <v>1170</v>
      </c>
    </row>
    <row r="22" customFormat="false" ht="14.25" hidden="false" customHeight="true" outlineLevel="0" collapsed="false">
      <c r="A22" s="317" t="s">
        <v>1171</v>
      </c>
      <c r="B22" s="317" t="s">
        <v>1172</v>
      </c>
    </row>
  </sheetData>
  <sheetProtection sheet="true" password="91db" formatCells="false" formatColumns="false" formatRows="false" sort="false" autoFilter="false"/>
  <mergeCells count="2">
    <mergeCell ref="A1:B1"/>
    <mergeCell ref="A3:B3"/>
  </mergeCells>
  <hyperlinks>
    <hyperlink ref="D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2" min="1" style="51" width="5"/>
    <col collapsed="false" customWidth="true" hidden="false" outlineLevel="0" max="8" min="3" style="1" width="11"/>
    <col collapsed="false" customWidth="true" hidden="false" outlineLevel="0" max="13" min="9" style="1" width="14"/>
    <col collapsed="false" customWidth="true" hidden="false" outlineLevel="0" max="14" min="14" style="1" width="3"/>
    <col collapsed="false" customWidth="true" hidden="false" outlineLevel="0" max="15" min="15" style="1" width="2"/>
    <col collapsed="false" customWidth="true" hidden="true" outlineLevel="0" max="16" min="16" style="1" width="22"/>
    <col collapsed="false" customWidth="true" hidden="true" outlineLevel="0" max="17" min="17" style="1" width="16"/>
  </cols>
  <sheetData>
    <row r="1" s="51" customFormat="true" ht="15.75" hidden="false" customHeight="true" outlineLevel="0" collapsed="false">
      <c r="A1" s="2"/>
      <c r="B1" s="368" t="s">
        <v>1173</v>
      </c>
      <c r="C1" s="368"/>
      <c r="D1" s="368"/>
      <c r="E1" s="6"/>
      <c r="F1" s="369" t="s">
        <v>1174</v>
      </c>
      <c r="G1" s="369"/>
      <c r="H1" s="369"/>
      <c r="I1" s="369"/>
      <c r="J1" s="370"/>
      <c r="K1" s="370"/>
      <c r="L1" s="370" t="s">
        <v>1175</v>
      </c>
      <c r="M1" s="370"/>
      <c r="N1" s="6"/>
      <c r="O1" s="6"/>
      <c r="P1" s="371" t="s">
        <v>1176</v>
      </c>
    </row>
    <row r="2" customFormat="false" ht="19.5" hidden="false" customHeight="true" outlineLevel="0" collapsed="false">
      <c r="A2" s="2"/>
      <c r="B2" s="368"/>
      <c r="C2" s="368"/>
      <c r="D2" s="368"/>
      <c r="E2" s="6"/>
      <c r="F2" s="372" t="str">
        <f aca="false">SETTINGS!B5</f>
        <v/>
      </c>
      <c r="G2" s="372"/>
      <c r="H2" s="372"/>
      <c r="I2" s="372"/>
      <c r="J2" s="372"/>
      <c r="K2" s="372"/>
      <c r="L2" s="373" t="str">
        <f aca="false">"Viti Fiskal "&amp;SETTINGS!B9</f>
        <v>Viti Fiskal 2025</v>
      </c>
      <c r="M2" s="373"/>
      <c r="N2" s="6"/>
      <c r="O2" s="6"/>
      <c r="P2" s="6" t="s">
        <v>1177</v>
      </c>
      <c r="Q2" s="101" t="n">
        <f aca="false">COUNTIFS(DITARI!$D$6:$D$550,"&lt;&gt;",DITARI!$C$6:$C$550,"")</f>
        <v>130</v>
      </c>
    </row>
    <row r="3" customFormat="false" ht="19.5" hidden="false" customHeight="true" outlineLevel="0" collapsed="false">
      <c r="A3" s="2"/>
      <c r="B3" s="2"/>
      <c r="C3" s="2"/>
      <c r="D3" s="2"/>
      <c r="E3" s="6"/>
      <c r="F3" s="372"/>
      <c r="G3" s="372"/>
      <c r="H3" s="372"/>
      <c r="I3" s="372"/>
      <c r="J3" s="372"/>
      <c r="K3" s="372"/>
      <c r="L3" s="373"/>
      <c r="M3" s="373"/>
      <c r="N3" s="6"/>
      <c r="O3" s="6"/>
      <c r="P3" s="6" t="s">
        <v>1178</v>
      </c>
      <c r="Q3" s="101" t="n">
        <f aca="false">KONTROLL_VEPRIMI!$I$4</f>
        <v>0</v>
      </c>
    </row>
    <row r="4" customFormat="false" ht="9.75" hidden="false" customHeight="true" outlineLevel="0" collapsed="false">
      <c r="A4" s="2"/>
      <c r="B4" s="374" t="s">
        <v>1179</v>
      </c>
      <c r="C4" s="374"/>
      <c r="D4" s="374"/>
      <c r="E4" s="6"/>
      <c r="F4" s="8"/>
      <c r="G4" s="8"/>
      <c r="H4" s="8"/>
      <c r="I4" s="8"/>
      <c r="J4" s="8"/>
      <c r="K4" s="8"/>
      <c r="L4" s="8"/>
      <c r="M4" s="8"/>
      <c r="N4" s="6"/>
      <c r="O4" s="6"/>
      <c r="P4" s="6"/>
    </row>
    <row r="5" customFormat="false" ht="25.5" hidden="false" customHeight="true" outlineLevel="0" collapsed="false">
      <c r="A5" s="375"/>
      <c r="B5" s="376" t="s">
        <v>1180</v>
      </c>
      <c r="C5" s="376"/>
      <c r="D5" s="376"/>
      <c r="E5" s="6"/>
      <c r="F5" s="377" t="str">
        <f aca="false">"Sot ka "&amp;IFERROR(SUMPRODUCT((DITARI!$C$6:$C$550&lt;&gt;"")/COUNTIF(DITARI!$C$6:$C$550,DITARI!$C$6:$C$550&amp;"")),0)&amp;" veprime të regjistruara në Ditar."</f>
        <v>Sot ka 0 veprime të regjistruara në Ditar.</v>
      </c>
      <c r="G5" s="377"/>
      <c r="H5" s="377"/>
      <c r="I5" s="377"/>
      <c r="J5" s="377"/>
      <c r="K5" s="377"/>
      <c r="L5" s="377"/>
      <c r="M5" s="377"/>
      <c r="N5" s="6"/>
      <c r="O5" s="6"/>
      <c r="P5" s="6"/>
    </row>
    <row r="6" customFormat="false" ht="25.5" hidden="false" customHeight="true" outlineLevel="0" collapsed="false">
      <c r="A6" s="2"/>
      <c r="B6" s="378" t="s">
        <v>1181</v>
      </c>
      <c r="C6" s="378"/>
      <c r="D6" s="378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customFormat="false" ht="25.5" hidden="false" customHeight="true" outlineLevel="0" collapsed="false">
      <c r="A7" s="2"/>
      <c r="B7" s="378" t="s">
        <v>1182</v>
      </c>
      <c r="C7" s="378"/>
      <c r="D7" s="378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customFormat="false" ht="21.75" hidden="false" customHeight="true" outlineLevel="0" collapsed="false">
      <c r="A8" s="2"/>
      <c r="B8" s="378" t="s">
        <v>1183</v>
      </c>
      <c r="C8" s="378"/>
      <c r="D8" s="378"/>
      <c r="E8" s="6"/>
      <c r="F8" s="379" t="s">
        <v>1184</v>
      </c>
      <c r="G8" s="379"/>
      <c r="H8" s="379"/>
      <c r="I8" s="379"/>
      <c r="J8" s="379"/>
      <c r="K8" s="379"/>
      <c r="L8" s="379"/>
      <c r="M8" s="379"/>
      <c r="N8" s="6"/>
      <c r="O8" s="6"/>
      <c r="P8" s="6"/>
    </row>
    <row r="9" customFormat="false" ht="25.5" hidden="false" customHeight="true" outlineLevel="0" collapsed="false">
      <c r="A9" s="2"/>
      <c r="B9" s="378" t="s">
        <v>1185</v>
      </c>
      <c r="C9" s="378"/>
      <c r="D9" s="378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customFormat="false" ht="3" hidden="false" customHeight="true" outlineLevel="0" collapsed="false">
      <c r="A10" s="2"/>
      <c r="B10" s="380"/>
      <c r="C10" s="380"/>
      <c r="D10" s="380"/>
      <c r="E10" s="6"/>
      <c r="F10" s="15"/>
      <c r="G10" s="15"/>
      <c r="H10" s="381"/>
      <c r="I10" s="381"/>
      <c r="J10" s="2"/>
      <c r="K10" s="2"/>
      <c r="L10" s="17"/>
      <c r="M10" s="17"/>
      <c r="N10" s="6"/>
      <c r="O10" s="6"/>
      <c r="P10" s="6"/>
    </row>
    <row r="11" customFormat="false" ht="24" hidden="false" customHeight="true" outlineLevel="0" collapsed="false">
      <c r="A11" s="2"/>
      <c r="B11" s="382" t="s">
        <v>1186</v>
      </c>
      <c r="C11" s="382"/>
      <c r="D11" s="382"/>
      <c r="E11" s="6"/>
      <c r="F11" s="383" t="s">
        <v>1187</v>
      </c>
      <c r="G11" s="383"/>
      <c r="H11" s="383" t="s">
        <v>1188</v>
      </c>
      <c r="I11" s="383"/>
      <c r="J11" s="383" t="s">
        <v>1189</v>
      </c>
      <c r="K11" s="383"/>
      <c r="L11" s="383" t="s">
        <v>383</v>
      </c>
      <c r="M11" s="383"/>
      <c r="N11" s="6"/>
      <c r="O11" s="6"/>
      <c r="P11" s="6"/>
    </row>
    <row r="12" customFormat="false" ht="30" hidden="false" customHeight="true" outlineLevel="0" collapsed="false">
      <c r="A12" s="2"/>
      <c r="B12" s="374" t="s">
        <v>1190</v>
      </c>
      <c r="C12" s="374"/>
      <c r="D12" s="374"/>
      <c r="E12" s="6"/>
      <c r="F12" s="384" t="n">
        <f aca="false">PASH_MIKRO_FINAL!$B$6+PASH_MIKRO_FINAL!$B$7+PASH_MIKRO_FINAL!$B$9+MAX(PASH_MIKRO_FINAL!$B$18,0)+MAX(PASH_MIKRO_FINAL!$B$19,0)</f>
        <v>0</v>
      </c>
      <c r="G12" s="384"/>
      <c r="H12" s="384" t="n">
        <f aca="false">PASH_MIKRO_FINAL!$B$8+PASH_MIKRO_FINAL!$B$10+PASH_MIKRO_FINAL!$B$11+PASH_MIKRO_FINAL!$B$12+PASH_MIKRO_FINAL!$B$15+MAX(-PASH_MIKRO_FINAL!$B$18,0)+MAX(-PASH_MIKRO_FINAL!$B$19,0)+PASH_MIKRO_FINAL!$B$22</f>
        <v>0</v>
      </c>
      <c r="I12" s="384"/>
      <c r="J12" s="385" t="n">
        <f aca="false">PASH_MIKRO_FINAL!$B$23</f>
        <v>0</v>
      </c>
      <c r="K12" s="385"/>
      <c r="L12" s="386" t="s">
        <v>1191</v>
      </c>
      <c r="M12" s="386"/>
      <c r="N12" s="6"/>
      <c r="O12" s="6"/>
      <c r="P12" s="6"/>
    </row>
    <row r="13" customFormat="false" ht="25.5" hidden="false" customHeight="true" outlineLevel="0" collapsed="false">
      <c r="A13" s="2"/>
      <c r="B13" s="378" t="s">
        <v>1192</v>
      </c>
      <c r="C13" s="378"/>
      <c r="D13" s="378"/>
      <c r="E13" s="6"/>
      <c r="F13" s="384"/>
      <c r="G13" s="384"/>
      <c r="H13" s="384"/>
      <c r="I13" s="384"/>
      <c r="J13" s="385"/>
      <c r="K13" s="385"/>
      <c r="L13" s="386"/>
      <c r="M13" s="386"/>
      <c r="N13" s="6"/>
      <c r="O13" s="6"/>
      <c r="P13" s="6"/>
    </row>
    <row r="14" customFormat="false" ht="25.5" hidden="false" customHeight="true" outlineLevel="0" collapsed="false">
      <c r="A14" s="2"/>
      <c r="B14" s="378" t="s">
        <v>1193</v>
      </c>
      <c r="C14" s="378"/>
      <c r="D14" s="37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customFormat="false" ht="21.75" hidden="false" customHeight="true" outlineLevel="0" collapsed="false">
      <c r="A15" s="2"/>
      <c r="B15" s="2"/>
      <c r="C15" s="2"/>
      <c r="D15" s="2"/>
      <c r="E15" s="6"/>
      <c r="F15" s="379" t="s">
        <v>1194</v>
      </c>
      <c r="G15" s="379"/>
      <c r="H15" s="379"/>
      <c r="I15" s="379"/>
      <c r="J15" s="379"/>
      <c r="K15" s="379"/>
      <c r="L15" s="379"/>
      <c r="M15" s="379"/>
      <c r="N15" s="6"/>
      <c r="O15" s="6"/>
      <c r="P15" s="6"/>
    </row>
    <row r="16" customFormat="false" ht="6" hidden="false" customHeight="true" outlineLevel="0" collapsed="false">
      <c r="A16" s="2"/>
      <c r="B16" s="2"/>
      <c r="C16" s="2"/>
      <c r="D16" s="2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customFormat="false" ht="21.75" hidden="false" customHeight="true" outlineLevel="0" collapsed="false">
      <c r="A17" s="2"/>
      <c r="B17" s="374" t="s">
        <v>1195</v>
      </c>
      <c r="C17" s="374"/>
      <c r="D17" s="374"/>
      <c r="E17" s="6"/>
      <c r="F17" s="387" t="s">
        <v>137</v>
      </c>
      <c r="G17" s="387"/>
      <c r="H17" s="387"/>
      <c r="I17" s="387" t="s">
        <v>1196</v>
      </c>
      <c r="J17" s="387"/>
      <c r="K17" s="387"/>
      <c r="L17" s="387" t="s">
        <v>1197</v>
      </c>
      <c r="M17" s="387"/>
      <c r="N17" s="6"/>
      <c r="O17" s="6"/>
      <c r="P17" s="6"/>
    </row>
    <row r="18" customFormat="false" ht="25.5" hidden="false" customHeight="true" outlineLevel="0" collapsed="false">
      <c r="A18" s="2"/>
      <c r="B18" s="388" t="s">
        <v>1198</v>
      </c>
      <c r="C18" s="388"/>
      <c r="D18" s="388"/>
      <c r="E18" s="6"/>
      <c r="F18" s="389" t="n">
        <f aca="false">DITARI!$C$3</f>
        <v>0</v>
      </c>
      <c r="G18" s="389"/>
      <c r="H18" s="389"/>
      <c r="I18" s="389" t="n">
        <f aca="false">BILANCI_MIKRO_FINAL!$B$61</f>
        <v>0</v>
      </c>
      <c r="J18" s="389"/>
      <c r="K18" s="389"/>
      <c r="L18" s="390" t="n">
        <f aca="false">KONTROLL_VEPRIMI!H4</f>
        <v>0</v>
      </c>
      <c r="M18" s="390"/>
      <c r="N18" s="6"/>
      <c r="O18" s="6"/>
      <c r="P18" s="6"/>
    </row>
    <row r="19" customFormat="false" ht="13.5" hidden="false" customHeight="true" outlineLevel="0" collapsed="false">
      <c r="A19" s="2"/>
      <c r="B19" s="2"/>
      <c r="C19" s="2"/>
      <c r="D19" s="2"/>
      <c r="E19" s="6"/>
      <c r="F19" s="6"/>
      <c r="G19" s="6"/>
      <c r="H19" s="6"/>
      <c r="I19" s="391" t="str">
        <f aca="false">IF($I$18=0,"",IF(ABS($I$18-PASH_MIKRO_FINAL!$B$23)&lt;1,"Në pritje të mbylljes — jo gabim","⚠ Kontrollo — diferencë e papërligjur"))</f>
        <v/>
      </c>
      <c r="J19" s="391"/>
      <c r="K19" s="391"/>
      <c r="L19" s="6"/>
      <c r="M19" s="6"/>
      <c r="N19" s="6"/>
      <c r="O19" s="6"/>
      <c r="P19" s="6"/>
    </row>
    <row r="20" customFormat="false" ht="3.75" hidden="false" customHeight="true" outlineLevel="0" collapsed="false">
      <c r="A20" s="2"/>
      <c r="B20" s="2"/>
      <c r="C20" s="2"/>
      <c r="D20" s="2"/>
      <c r="E20" s="6"/>
      <c r="F20" s="26"/>
      <c r="G20" s="26"/>
      <c r="H20" s="26"/>
      <c r="I20" s="26"/>
      <c r="J20" s="26"/>
      <c r="K20" s="26"/>
      <c r="L20" s="26"/>
      <c r="M20" s="26"/>
      <c r="N20" s="6"/>
      <c r="O20" s="6"/>
      <c r="P20" s="6"/>
    </row>
    <row r="21" customFormat="false" ht="19.5" hidden="false" customHeight="true" outlineLevel="0" collapsed="false">
      <c r="A21" s="2"/>
      <c r="B21" s="2"/>
      <c r="C21" s="2"/>
      <c r="D21" s="2"/>
      <c r="E21" s="6"/>
      <c r="F21" s="392" t="s">
        <v>1199</v>
      </c>
      <c r="G21" s="392"/>
      <c r="H21" s="392"/>
      <c r="I21" s="392" t="s">
        <v>1200</v>
      </c>
      <c r="J21" s="392"/>
      <c r="K21" s="392"/>
      <c r="L21" s="6"/>
      <c r="M21" s="6"/>
      <c r="N21" s="6"/>
      <c r="O21" s="6"/>
      <c r="P21" s="6"/>
    </row>
    <row r="22" customFormat="false" ht="14.25" hidden="false" customHeight="true" outlineLevel="0" collapsed="false">
      <c r="A22" s="2"/>
      <c r="B22" s="2"/>
      <c r="C22" s="2"/>
      <c r="D22" s="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customFormat="false" ht="14.25" hidden="false" customHeight="true" outlineLevel="0" collapsed="false">
      <c r="A23" s="2"/>
      <c r="B23" s="2"/>
      <c r="C23" s="2"/>
      <c r="D23" s="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customFormat="false" ht="14.25" hidden="false" customHeight="true" outlineLevel="0" collapsed="false">
      <c r="A24" s="2"/>
      <c r="B24" s="2"/>
      <c r="C24" s="2"/>
      <c r="D24" s="2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customFormat="false" ht="14.25" hidden="false" customHeight="true" outlineLevel="0" collapsed="false">
      <c r="A25" s="2"/>
      <c r="B25" s="2"/>
      <c r="C25" s="2"/>
      <c r="D25" s="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customFormat="false" ht="14.25" hidden="false" customHeight="true" outlineLevel="0" collapsed="false">
      <c r="A26" s="2"/>
      <c r="B26" s="393" t="s">
        <v>1201</v>
      </c>
      <c r="C26" s="393"/>
      <c r="D26" s="393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customFormat="false" ht="14.25" hidden="false" customHeight="true" outlineLevel="0" collapsed="false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customFormat="false" ht="14.25" hidden="false" customHeight="true" outlineLevel="0" collapsed="false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customFormat="false" ht="14.25" hidden="false" customHeight="true" outlineLevel="0" collapsed="false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customFormat="false" ht="14.25" hidden="false" customHeight="true" outlineLevel="0" collapsed="false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customFormat="false" ht="14.25" hidden="false" customHeight="true" outlineLevel="0" collapsed="false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customFormat="false" ht="14.25" hidden="false" customHeight="true" outlineLevel="0" collapsed="false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customFormat="false" ht="14.25" hidden="false" customHeight="true" outlineLevel="0" collapsed="false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customFormat="false" ht="14.25" hidden="false" customHeight="true" outlineLevel="0" collapsed="false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customFormat="false" ht="14.25" hidden="false" customHeight="true" outlineLevel="0" collapsed="false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customFormat="false" ht="14.25" hidden="false" customHeight="true" outlineLevel="0" collapsed="false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customFormat="false" ht="14.25" hidden="false" customHeight="true" outlineLevel="0" collapsed="false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customFormat="false" ht="14.25" hidden="false" customHeight="true" outlineLevel="0" collapsed="false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customFormat="false" ht="14.25" hidden="false" customHeight="true" outlineLevel="0" collapsed="false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customFormat="false" ht="14.25" hidden="false" customHeight="true" outlineLevel="0" collapsed="false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customFormat="false" ht="14.25" hidden="false" customHeight="true" outlineLevel="0" collapsed="false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customFormat="false" ht="14.25" hidden="false" customHeight="true" outlineLevel="0" collapsed="false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customFormat="false" ht="14.25" hidden="false" customHeight="true" outlineLevel="0" collapsed="false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customFormat="false" ht="14.25" hidden="false" customHeight="true" outlineLevel="0" collapsed="false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customFormat="false" ht="14.25" hidden="false" customHeight="true" outlineLevel="0" collapsed="false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</sheetData>
  <sheetProtection sheet="true" password="91db" formatCells="false" formatColumns="false" formatRows="false" sort="false" autoFilter="false"/>
  <mergeCells count="42">
    <mergeCell ref="B1:D2"/>
    <mergeCell ref="F1:I1"/>
    <mergeCell ref="J1:K1"/>
    <mergeCell ref="L1:M1"/>
    <mergeCell ref="F2:K3"/>
    <mergeCell ref="L2:M3"/>
    <mergeCell ref="B4:D4"/>
    <mergeCell ref="F4:M4"/>
    <mergeCell ref="B5:D5"/>
    <mergeCell ref="F5:M5"/>
    <mergeCell ref="B6:D6"/>
    <mergeCell ref="B7:D7"/>
    <mergeCell ref="B8:D8"/>
    <mergeCell ref="F8:M8"/>
    <mergeCell ref="B9:D9"/>
    <mergeCell ref="B10:D10"/>
    <mergeCell ref="B11:D11"/>
    <mergeCell ref="F11:G11"/>
    <mergeCell ref="H11:I11"/>
    <mergeCell ref="J11:K11"/>
    <mergeCell ref="L11:M11"/>
    <mergeCell ref="B12:D12"/>
    <mergeCell ref="F12:G13"/>
    <mergeCell ref="H12:I13"/>
    <mergeCell ref="J12:K13"/>
    <mergeCell ref="L12:M13"/>
    <mergeCell ref="B13:D13"/>
    <mergeCell ref="B14:D14"/>
    <mergeCell ref="F15:M15"/>
    <mergeCell ref="B17:D17"/>
    <mergeCell ref="F17:H17"/>
    <mergeCell ref="I17:K17"/>
    <mergeCell ref="L17:M17"/>
    <mergeCell ref="B18:D18"/>
    <mergeCell ref="F18:H18"/>
    <mergeCell ref="I18:K18"/>
    <mergeCell ref="L18:M18"/>
    <mergeCell ref="I19:K19"/>
    <mergeCell ref="F20:M20"/>
    <mergeCell ref="F21:H21"/>
    <mergeCell ref="I21:K21"/>
    <mergeCell ref="B26:D26"/>
  </mergeCells>
  <conditionalFormatting sqref="F18:H18">
    <cfRule type="cellIs" priority="2" operator="equal" aboveAverage="0" equalAverage="0" bottom="0" percent="0" rank="0" text="" dxfId="17">
      <formula>0</formula>
    </cfRule>
    <cfRule type="cellIs" priority="3" operator="notEqual" aboveAverage="0" equalAverage="0" bottom="0" percent="0" rank="0" text="" dxfId="18">
      <formula>0</formula>
    </cfRule>
  </conditionalFormatting>
  <conditionalFormatting sqref="L18:M18">
    <cfRule type="cellIs" priority="4" operator="equal" aboveAverage="0" equalAverage="0" bottom="0" percent="0" rank="0" text="" dxfId="17">
      <formula>0</formula>
    </cfRule>
    <cfRule type="cellIs" priority="5" operator="notEqual" aboveAverage="0" equalAverage="0" bottom="0" percent="0" rank="0" text="" dxfId="18">
      <formula>0</formula>
    </cfRule>
  </conditionalFormatting>
  <conditionalFormatting sqref="J12:K13">
    <cfRule type="cellIs" priority="6" operator="greaterThanOrEqual" aboveAverage="0" equalAverage="0" bottom="0" percent="0" rank="0" text="" dxfId="19">
      <formula>0</formula>
    </cfRule>
    <cfRule type="cellIs" priority="7" operator="lessThan" aboveAverage="0" equalAverage="0" bottom="0" percent="0" rank="0" text="" dxfId="20">
      <formula>0</formula>
    </cfRule>
  </conditionalFormatting>
  <conditionalFormatting sqref="I18:K18">
    <cfRule type="expression" priority="8" aboveAverage="0" equalAverage="0" bottom="0" percent="0" rank="0" text="" dxfId="19">
      <formula>$I$18=0</formula>
    </cfRule>
    <cfRule type="expression" priority="9" aboveAverage="0" equalAverage="0" bottom="0" percent="0" rank="0" text="" dxfId="21">
      <formula>AND($I$18&lt;&gt;0,ABS($I$18-PASH_MIKRO_FINAL!$B$23)&lt;1)</formula>
    </cfRule>
    <cfRule type="expression" priority="10" aboveAverage="0" equalAverage="0" bottom="0" percent="0" rank="0" text="" dxfId="20">
      <formula>AND($I$18&lt;&gt;0,ABS($I$18-PASH_MIKRO_FINAL!$B$23)&gt;=1)</formula>
    </cfRule>
  </conditionalFormatting>
  <hyperlinks>
    <hyperlink ref="L1" location="'SETTINGS'!A1" display="Cilësimet  ⚙"/>
    <hyperlink ref="B6" location="'FILLONI_KETU'!A1" display="›  Fillo Këtu"/>
    <hyperlink ref="B7" location="'DITARI'!A1" display="›  Ditari"/>
    <hyperlink ref="B8" location="'LIBRI_I_MADH'!A1" display="›  Libri i Madh"/>
    <hyperlink ref="B9" location="'BILANCI_PROVE'!A1" display="›  Bilanci i Provës"/>
    <hyperlink ref="B11" location="'PASH_MIKRO_FINAL'!A1" display="›  Pasqyrat (PASH)"/>
    <hyperlink ref="L12" location="'BILANCI_PROVE'!A1" display="Shiko Bilancin e Provës (4456/4457)"/>
    <hyperlink ref="B13" location="'SETTINGS'!A1" display="›  Cilësimet"/>
    <hyperlink ref="B14" location="'USER_MANUAL'!A1" display="›  Manuali"/>
    <hyperlink ref="B18" location="'AUDIT_BILANC'!A1" display="›  Zona e Kontabilistit"/>
    <hyperlink ref="F21" location="'AUDIT_BILANC'!A1" display="›  Diagnostikimi i Bilancit (Audit)"/>
    <hyperlink ref="I21" location="'KONTROLL_VEPRIMI'!A1" display="›  Kontrolli i Veprimeve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2"/>
    <col collapsed="false" customWidth="true" hidden="false" outlineLevel="0" max="3" min="3" style="1" width="18"/>
    <col collapsed="false" customWidth="true" hidden="false" outlineLevel="0" max="4" min="4" style="1" width="58"/>
    <col collapsed="false" customWidth="true" hidden="false" outlineLevel="0" max="7" min="6" style="1" width="14"/>
    <col collapsed="false" customWidth="true" hidden="false" outlineLevel="0" max="8" min="8" style="1" width="15"/>
    <col collapsed="false" customWidth="true" hidden="false" outlineLevel="0" max="9" min="9" style="1" width="28"/>
    <col collapsed="false" customWidth="true" hidden="false" outlineLevel="0" max="10" min="10" style="1" width="55.71"/>
  </cols>
  <sheetData>
    <row r="1" customFormat="false" ht="19.5" hidden="false" customHeight="true" outlineLevel="0" collapsed="false">
      <c r="A1" s="394" t="s">
        <v>1202</v>
      </c>
      <c r="B1" s="394"/>
      <c r="C1" s="394"/>
      <c r="D1" s="394"/>
      <c r="E1" s="394"/>
      <c r="F1" s="394"/>
      <c r="G1" s="394"/>
      <c r="H1" s="394"/>
      <c r="I1" s="394"/>
      <c r="J1" s="394"/>
    </row>
    <row r="2" customFormat="false" ht="19.5" hidden="false" customHeight="true" outlineLevel="0" collapsed="false">
      <c r="A2" s="395" t="s">
        <v>1203</v>
      </c>
      <c r="B2" s="395"/>
      <c r="C2" s="395"/>
      <c r="D2" s="395"/>
      <c r="E2" s="395"/>
      <c r="F2" s="395"/>
      <c r="G2" s="395"/>
      <c r="H2" s="395"/>
      <c r="I2" s="395"/>
      <c r="J2" s="395"/>
    </row>
    <row r="3" customFormat="false" ht="19.5" hidden="false" customHeight="true" outlineLevel="0" collapsed="false"/>
    <row r="4" customFormat="false" ht="19.5" hidden="false" customHeight="true" outlineLevel="0" collapsed="false">
      <c r="A4" s="396" t="s">
        <v>1204</v>
      </c>
      <c r="B4" s="396"/>
      <c r="C4" s="396"/>
      <c r="D4" s="396"/>
      <c r="E4" s="396"/>
      <c r="F4" s="396"/>
      <c r="G4" s="396"/>
      <c r="H4" s="396"/>
      <c r="I4" s="396"/>
      <c r="J4" s="396"/>
    </row>
    <row r="5" customFormat="false" ht="19.5" hidden="false" customHeight="true" outlineLevel="0" collapsed="false">
      <c r="A5" s="397" t="s">
        <v>1205</v>
      </c>
      <c r="B5" s="398" t="s">
        <v>231</v>
      </c>
      <c r="D5" s="399" t="s">
        <v>1206</v>
      </c>
      <c r="E5" s="399"/>
      <c r="F5" s="399"/>
      <c r="G5" s="399"/>
      <c r="H5" s="399"/>
      <c r="I5" s="399"/>
      <c r="J5" s="399"/>
    </row>
    <row r="6" customFormat="false" ht="19.5" hidden="false" customHeight="true" outlineLevel="0" collapsed="false">
      <c r="A6" s="397" t="s">
        <v>1207</v>
      </c>
      <c r="B6" s="400" t="s">
        <v>226</v>
      </c>
      <c r="D6" s="399"/>
      <c r="E6" s="399"/>
      <c r="F6" s="399"/>
      <c r="G6" s="399"/>
      <c r="H6" s="399"/>
      <c r="I6" s="399"/>
      <c r="J6" s="399"/>
    </row>
    <row r="7" customFormat="false" ht="19.5" hidden="false" customHeight="true" outlineLevel="0" collapsed="false">
      <c r="A7" s="397" t="s">
        <v>1208</v>
      </c>
      <c r="B7" s="401" t="n">
        <f aca="false">DATE(SETTINGS!$B$9,12,31)</f>
        <v>46022</v>
      </c>
      <c r="D7" s="399"/>
      <c r="E7" s="399"/>
      <c r="F7" s="399"/>
      <c r="G7" s="399"/>
      <c r="H7" s="399"/>
      <c r="I7" s="399"/>
      <c r="J7" s="399"/>
    </row>
    <row r="8" customFormat="false" ht="19.5" hidden="false" customHeight="true" outlineLevel="0" collapsed="false">
      <c r="A8" s="397" t="s">
        <v>1209</v>
      </c>
      <c r="B8" s="402" t="s">
        <v>813</v>
      </c>
      <c r="C8" s="403" t="s">
        <v>1210</v>
      </c>
      <c r="D8" s="399"/>
      <c r="E8" s="399"/>
      <c r="F8" s="399"/>
      <c r="G8" s="399"/>
      <c r="H8" s="399"/>
      <c r="I8" s="399"/>
      <c r="J8" s="399"/>
    </row>
    <row r="9" customFormat="false" ht="19.5" hidden="false" customHeight="true" outlineLevel="0" collapsed="false">
      <c r="A9" s="397" t="s">
        <v>1211</v>
      </c>
      <c r="B9" s="404" t="n">
        <f aca="false">SUMIFS(LEDGER_ENGINE!$W$2:$W$396,LEDGER_ENGINE!$X$2:$X$396,"7")+SUMIFS(LEDGER_ENGINE!$W$485:$W$526,LEDGER_ENGINE!$X$485:$X$526,"7")-SUMIFS(LEDGER_ENGINE!$V$2:$V$396,LEDGER_ENGINE!$X$2:$X$396,"7")-SUMIFS(LEDGER_ENGINE!$V$485:$V$526,LEDGER_ENGINE!$X$485:$X$526,"7")</f>
        <v>0</v>
      </c>
      <c r="D9" s="399"/>
      <c r="E9" s="399"/>
      <c r="F9" s="399"/>
      <c r="G9" s="399"/>
      <c r="H9" s="399"/>
      <c r="I9" s="399"/>
      <c r="J9" s="399"/>
    </row>
    <row r="10" customFormat="false" ht="19.5" hidden="false" customHeight="true" outlineLevel="0" collapsed="false">
      <c r="A10" s="397" t="s">
        <v>1212</v>
      </c>
      <c r="B10" s="404" t="n">
        <f aca="false">SUMIFS(LEDGER_ENGINE!$V$2:$V$396,LEDGER_ENGINE!$X$2:$X$396,"6")+SUMIFS(LEDGER_ENGINE!$V$485:$V$526,LEDGER_ENGINE!$X$485:$X$526,"6")-SUMIFS(LEDGER_ENGINE!$W$2:$W$396,LEDGER_ENGINE!$X$2:$X$396,"6")-SUMIFS(LEDGER_ENGINE!$W$485:$W$526,LEDGER_ENGINE!$X$485:$X$526,"6")</f>
        <v>0</v>
      </c>
      <c r="D10" s="399"/>
      <c r="E10" s="399"/>
      <c r="F10" s="399"/>
      <c r="G10" s="399"/>
      <c r="H10" s="399"/>
      <c r="I10" s="399"/>
      <c r="J10" s="399"/>
    </row>
    <row r="11" customFormat="false" ht="19.5" hidden="false" customHeight="true" outlineLevel="0" collapsed="false">
      <c r="A11" s="397" t="s">
        <v>1213</v>
      </c>
      <c r="B11" s="404" t="n">
        <f aca="false">$B$9-$B$10</f>
        <v>0</v>
      </c>
      <c r="D11" s="399"/>
      <c r="E11" s="399"/>
      <c r="F11" s="399"/>
      <c r="G11" s="399"/>
      <c r="H11" s="399"/>
      <c r="I11" s="399"/>
      <c r="J11" s="399"/>
    </row>
    <row r="12" customFormat="false" ht="19.5" hidden="false" customHeight="true" outlineLevel="0" collapsed="false">
      <c r="A12" s="397" t="s">
        <v>1214</v>
      </c>
      <c r="B12" s="404" t="str">
        <f aca="false">IF(B11&gt;0,"FITIM",IF(B11&lt;0,"HUMBJE","ZERO"))</f>
        <v>ZERO</v>
      </c>
      <c r="D12" s="399"/>
      <c r="E12" s="399"/>
      <c r="F12" s="399"/>
      <c r="G12" s="399"/>
      <c r="H12" s="399"/>
      <c r="I12" s="399"/>
      <c r="J12" s="399"/>
    </row>
    <row r="13" customFormat="false" ht="19.5" hidden="false" customHeight="true" outlineLevel="0" collapsed="false">
      <c r="A13" s="397" t="s">
        <v>1215</v>
      </c>
      <c r="B13" s="404" t="str">
        <f aca="false">IF(OR(COUNTIF(DITARI!$C$6:$C$550,"MB-CL7")&gt;0,COUNTIF(DITARI!$C$6:$C$550,"MB-CL6")&gt;0),IF(AND(COUNTIF(DITARI!$C$6:$C$550,"MB-CL7")&gt;0,COUNTIF(DITARI!$C$6:$C$550,"MB-CL6")&gt;0,ABS($B$122)&lt;0.005,ABS($B$123)&lt;0.005,DITARI!$D$3="OK",BILANCI_PROVE!$M$2="OK"),IF(COUNTIF(DITARI!$C$6:$C$550,"MB-RES")&gt;0,IF(ABS(BILANCI_PROVE!$G$18-BILANCI_PROVE!$F$18)&lt;0.005,"REZULTATI I TRANSFERUAR NË 108","MBYLLJE E PJESSHME / E PAVLEFSHME"),IF(ABS((BILANCI_PROVE!$G$18-BILANCI_PROVE!$F$18)-PASH_MIKRO_FINAL!$B$23)&lt;0.005,"MBYLLJA E POSTUAR","MBYLLJE E PJESSHME / E PAVLEFSHME")),"MBYLLJE E PJESSHME / E PAVLEFSHME"),IF(OR(DITARI!$D$3&lt;&gt;"OK",BILANCI_PROVE!$M$2&lt;&gt;"OK",VEPRIMET_RREGULLUESE!$C$168&lt;&gt;"GATI",PASH_MIKRO_FINAL!$B$28&lt;&gt;"OK"),"BLLOKUAR - KONTROLLO",IF(COUNTIF(DITAR_MBYLLJE_AUTO!$H$4:$H$24,"GATI PËR POSTIM")&gt;0,"POSTO FILLIMISHT RREGULLIMET",IF($B$8="PO","POSTIM AUTOMATIK NË PROCES","GATI — ZGJIDH PO"))))</f>
        <v>GATI — ZGJIDH PO</v>
      </c>
      <c r="D13" s="399"/>
      <c r="E13" s="399"/>
      <c r="F13" s="399"/>
      <c r="G13" s="399"/>
      <c r="H13" s="399"/>
      <c r="I13" s="399"/>
      <c r="J13" s="399"/>
    </row>
    <row r="14" customFormat="false" ht="19.5" hidden="false" customHeight="true" outlineLevel="0" collapsed="false"/>
    <row r="15" customFormat="false" ht="19.5" hidden="false" customHeight="true" outlineLevel="0" collapsed="false">
      <c r="A15" s="396" t="s">
        <v>1216</v>
      </c>
      <c r="B15" s="396"/>
      <c r="C15" s="396"/>
      <c r="D15" s="396"/>
      <c r="E15" s="396"/>
      <c r="F15" s="396"/>
      <c r="G15" s="396"/>
      <c r="H15" s="396"/>
      <c r="I15" s="396"/>
      <c r="J15" s="396"/>
    </row>
    <row r="16" customFormat="false" ht="19.5" hidden="false" customHeight="true" outlineLevel="0" collapsed="false">
      <c r="A16" s="405" t="s">
        <v>106</v>
      </c>
      <c r="B16" s="405" t="s">
        <v>183</v>
      </c>
      <c r="C16" s="406" t="s">
        <v>758</v>
      </c>
      <c r="D16" s="405" t="s">
        <v>768</v>
      </c>
      <c r="E16" s="405" t="s">
        <v>769</v>
      </c>
      <c r="F16" s="405" t="s">
        <v>855</v>
      </c>
      <c r="G16" s="405" t="s">
        <v>856</v>
      </c>
      <c r="H16" s="405" t="s">
        <v>867</v>
      </c>
      <c r="I16" s="406" t="s">
        <v>189</v>
      </c>
      <c r="J16" s="406" t="s">
        <v>748</v>
      </c>
    </row>
    <row r="17" customFormat="false" ht="19.5" hidden="false" customHeight="true" outlineLevel="0" collapsed="false">
      <c r="A17" s="407" t="n">
        <v>1</v>
      </c>
      <c r="B17" s="407" t="s">
        <v>619</v>
      </c>
      <c r="C17" s="408" t="s">
        <v>620</v>
      </c>
      <c r="D17" s="409" t="n">
        <f aca="false">IFERROR(SUMIFS(LEDGER_ENGINE!$V$2:$V$396,LEDGER_ENGINE!$Z$2:$Z$396,$B17)+SUMIFS(LEDGER_ENGINE!$V$485:$V$526,LEDGER_ENGINE!$Z$485:$Z$526,$B17),0)</f>
        <v>0</v>
      </c>
      <c r="E17" s="409" t="n">
        <f aca="false">IFERROR(SUMIFS(LEDGER_ENGINE!$W$2:$W$396,LEDGER_ENGINE!$Z$2:$Z$396,$B17)+SUMIFS(LEDGER_ENGINE!$W$485:$W$526,LEDGER_ENGINE!$Z$485:$Z$526,$B17),0)</f>
        <v>0</v>
      </c>
      <c r="F17" s="410" t="str">
        <f aca="false">IF(E17&gt;D17,B17,IF(D17&gt;E17,$B$5,""))</f>
        <v/>
      </c>
      <c r="G17" s="410" t="str">
        <f aca="false">IF(E17&gt;D17,$B$5,IF(D17&gt;E17,B17,""))</f>
        <v/>
      </c>
      <c r="H17" s="409" t="n">
        <f aca="false">ABS(D17-E17)</f>
        <v>0</v>
      </c>
      <c r="I17" s="411" t="str">
        <f aca="false">IF(H17=0,"Pa saldo",IF(E17&gt;D17,"Mbyllje e ardhurave","Korrigjim të ardhurash"))</f>
        <v>Pa saldo</v>
      </c>
      <c r="J17" s="412" t="str">
        <f aca="false">IF(H17=0,"Pa saldo",IF($B$8="PO","Gati për DITAR","Në pritje"))</f>
        <v>Pa saldo</v>
      </c>
    </row>
    <row r="18" customFormat="false" ht="19.5" hidden="false" customHeight="true" outlineLevel="0" collapsed="false">
      <c r="A18" s="407" t="n">
        <v>2</v>
      </c>
      <c r="B18" s="407" t="s">
        <v>622</v>
      </c>
      <c r="C18" s="408" t="s">
        <v>623</v>
      </c>
      <c r="D18" s="409" t="n">
        <f aca="false">IFERROR(SUMIFS(LEDGER_ENGINE!$V$2:$V$396,LEDGER_ENGINE!$Z$2:$Z$396,$B18)+SUMIFS(LEDGER_ENGINE!$V$485:$V$526,LEDGER_ENGINE!$Z$485:$Z$526,$B18),0)</f>
        <v>0</v>
      </c>
      <c r="E18" s="409" t="n">
        <f aca="false">IFERROR(SUMIFS(LEDGER_ENGINE!$W$2:$W$396,LEDGER_ENGINE!$Z$2:$Z$396,$B18)+SUMIFS(LEDGER_ENGINE!$W$485:$W$526,LEDGER_ENGINE!$Z$485:$Z$526,$B18),0)</f>
        <v>0</v>
      </c>
      <c r="F18" s="410" t="str">
        <f aca="false">IF(E18&gt;D18,B18,IF(D18&gt;E18,$B$5,""))</f>
        <v/>
      </c>
      <c r="G18" s="410" t="str">
        <f aca="false">IF(E18&gt;D18,$B$5,IF(D18&gt;E18,B18,""))</f>
        <v/>
      </c>
      <c r="H18" s="409" t="n">
        <f aca="false">ABS(D18-E18)</f>
        <v>0</v>
      </c>
      <c r="I18" s="411" t="str">
        <f aca="false">IF(H18=0,"Pa saldo",IF(E18&gt;D18,"Mbyllje e ardhurave","Korrigjim të ardhurash"))</f>
        <v>Pa saldo</v>
      </c>
      <c r="J18" s="412" t="str">
        <f aca="false">IF(H18=0,"Pa saldo",IF($B$8="PO","Gati për DITAR","Në pritje"))</f>
        <v>Pa saldo</v>
      </c>
    </row>
    <row r="19" customFormat="false" ht="19.5" hidden="false" customHeight="true" outlineLevel="0" collapsed="false">
      <c r="A19" s="407" t="n">
        <v>3</v>
      </c>
      <c r="B19" s="407" t="s">
        <v>624</v>
      </c>
      <c r="C19" s="408" t="s">
        <v>625</v>
      </c>
      <c r="D19" s="409" t="n">
        <f aca="false">IFERROR(SUMIFS(LEDGER_ENGINE!$V$2:$V$396,LEDGER_ENGINE!$Z$2:$Z$396,$B19)+SUMIFS(LEDGER_ENGINE!$V$485:$V$526,LEDGER_ENGINE!$Z$485:$Z$526,$B19),0)</f>
        <v>0</v>
      </c>
      <c r="E19" s="409" t="n">
        <f aca="false">IFERROR(SUMIFS(LEDGER_ENGINE!$W$2:$W$396,LEDGER_ENGINE!$Z$2:$Z$396,$B19)+SUMIFS(LEDGER_ENGINE!$W$485:$W$526,LEDGER_ENGINE!$Z$485:$Z$526,$B19),0)</f>
        <v>0</v>
      </c>
      <c r="F19" s="410" t="str">
        <f aca="false">IF(E19&gt;D19,B19,IF(D19&gt;E19,$B$5,""))</f>
        <v/>
      </c>
      <c r="G19" s="410" t="str">
        <f aca="false">IF(E19&gt;D19,$B$5,IF(D19&gt;E19,B19,""))</f>
        <v/>
      </c>
      <c r="H19" s="409" t="n">
        <f aca="false">ABS(D19-E19)</f>
        <v>0</v>
      </c>
      <c r="I19" s="411" t="str">
        <f aca="false">IF(H19=0,"Pa saldo",IF(E19&gt;D19,"Mbyllje e ardhurave","Korrigjim të ardhurash"))</f>
        <v>Pa saldo</v>
      </c>
      <c r="J19" s="412" t="str">
        <f aca="false">IF(H19=0,"Pa saldo",IF($B$8="PO","Gati për DITAR","Në pritje"))</f>
        <v>Pa saldo</v>
      </c>
    </row>
    <row r="20" customFormat="false" ht="19.5" hidden="false" customHeight="true" outlineLevel="0" collapsed="false">
      <c r="A20" s="407" t="n">
        <v>4</v>
      </c>
      <c r="B20" s="407" t="s">
        <v>626</v>
      </c>
      <c r="C20" s="408" t="s">
        <v>627</v>
      </c>
      <c r="D20" s="409" t="n">
        <f aca="false">IFERROR(SUMIFS(LEDGER_ENGINE!$V$2:$V$396,LEDGER_ENGINE!$Z$2:$Z$396,$B20)+SUMIFS(LEDGER_ENGINE!$V$485:$V$526,LEDGER_ENGINE!$Z$485:$Z$526,$B20),0)</f>
        <v>0</v>
      </c>
      <c r="E20" s="409" t="n">
        <f aca="false">IFERROR(SUMIFS(LEDGER_ENGINE!$W$2:$W$396,LEDGER_ENGINE!$Z$2:$Z$396,$B20)+SUMIFS(LEDGER_ENGINE!$W$485:$W$526,LEDGER_ENGINE!$Z$485:$Z$526,$B20),0)</f>
        <v>0</v>
      </c>
      <c r="F20" s="410" t="str">
        <f aca="false">IF(E20&gt;D20,B20,IF(D20&gt;E20,$B$5,""))</f>
        <v/>
      </c>
      <c r="G20" s="410" t="str">
        <f aca="false">IF(E20&gt;D20,$B$5,IF(D20&gt;E20,B20,""))</f>
        <v/>
      </c>
      <c r="H20" s="409" t="n">
        <f aca="false">ABS(D20-E20)</f>
        <v>0</v>
      </c>
      <c r="I20" s="411" t="str">
        <f aca="false">IF(H20=0,"Pa saldo",IF(E20&gt;D20,"Mbyllje e ardhurave","Korrigjim të ardhurash"))</f>
        <v>Pa saldo</v>
      </c>
      <c r="J20" s="412" t="str">
        <f aca="false">IF(H20=0,"Pa saldo",IF($B$8="PO","Gati për DITAR","Në pritje"))</f>
        <v>Pa saldo</v>
      </c>
    </row>
    <row r="21" customFormat="false" ht="19.5" hidden="false" customHeight="true" outlineLevel="0" collapsed="false">
      <c r="A21" s="407" t="n">
        <v>5</v>
      </c>
      <c r="B21" s="407" t="s">
        <v>628</v>
      </c>
      <c r="C21" s="408" t="s">
        <v>629</v>
      </c>
      <c r="D21" s="409" t="n">
        <f aca="false">IFERROR(SUMIFS(LEDGER_ENGINE!$V$2:$V$396,LEDGER_ENGINE!$Z$2:$Z$396,$B21)+SUMIFS(LEDGER_ENGINE!$V$485:$V$526,LEDGER_ENGINE!$Z$485:$Z$526,$B21),0)</f>
        <v>0</v>
      </c>
      <c r="E21" s="409" t="n">
        <f aca="false">IFERROR(SUMIFS(LEDGER_ENGINE!$W$2:$W$396,LEDGER_ENGINE!$Z$2:$Z$396,$B21)+SUMIFS(LEDGER_ENGINE!$W$485:$W$526,LEDGER_ENGINE!$Z$485:$Z$526,$B21),0)</f>
        <v>0</v>
      </c>
      <c r="F21" s="410" t="str">
        <f aca="false">IF(E21&gt;D21,B21,IF(D21&gt;E21,$B$5,""))</f>
        <v/>
      </c>
      <c r="G21" s="410" t="str">
        <f aca="false">IF(E21&gt;D21,$B$5,IF(D21&gt;E21,B21,""))</f>
        <v/>
      </c>
      <c r="H21" s="409" t="n">
        <f aca="false">ABS(D21-E21)</f>
        <v>0</v>
      </c>
      <c r="I21" s="411" t="str">
        <f aca="false">IF(H21=0,"Pa saldo",IF(E21&gt;D21,"Mbyllje e ardhurave","Korrigjim të ardhurash"))</f>
        <v>Pa saldo</v>
      </c>
      <c r="J21" s="412" t="str">
        <f aca="false">IF(H21=0,"Pa saldo",IF($B$8="PO","Gati për DITAR","Në pritje"))</f>
        <v>Pa saldo</v>
      </c>
    </row>
    <row r="22" customFormat="false" ht="19.5" hidden="false" customHeight="true" outlineLevel="0" collapsed="false">
      <c r="A22" s="407" t="n">
        <v>6</v>
      </c>
      <c r="B22" s="407" t="s">
        <v>630</v>
      </c>
      <c r="C22" s="408" t="s">
        <v>631</v>
      </c>
      <c r="D22" s="409" t="n">
        <f aca="false">IFERROR(SUMIFS(LEDGER_ENGINE!$V$2:$V$396,LEDGER_ENGINE!$Z$2:$Z$396,$B22)+SUMIFS(LEDGER_ENGINE!$V$485:$V$526,LEDGER_ENGINE!$Z$485:$Z$526,$B22),0)</f>
        <v>0</v>
      </c>
      <c r="E22" s="409" t="n">
        <f aca="false">IFERROR(SUMIFS(LEDGER_ENGINE!$W$2:$W$396,LEDGER_ENGINE!$Z$2:$Z$396,$B22)+SUMIFS(LEDGER_ENGINE!$W$485:$W$526,LEDGER_ENGINE!$Z$485:$Z$526,$B22),0)</f>
        <v>0</v>
      </c>
      <c r="F22" s="410" t="str">
        <f aca="false">IF(E22&gt;D22,B22,IF(D22&gt;E22,$B$5,""))</f>
        <v/>
      </c>
      <c r="G22" s="410" t="str">
        <f aca="false">IF(E22&gt;D22,$B$5,IF(D22&gt;E22,B22,""))</f>
        <v/>
      </c>
      <c r="H22" s="409" t="n">
        <f aca="false">ABS(D22-E22)</f>
        <v>0</v>
      </c>
      <c r="I22" s="411" t="str">
        <f aca="false">IF(H22=0,"Pa saldo",IF(E22&gt;D22,"Mbyllje e ardhurave","Korrigjim të ardhurash"))</f>
        <v>Pa saldo</v>
      </c>
      <c r="J22" s="412" t="str">
        <f aca="false">IF(H22=0,"Pa saldo",IF($B$8="PO","Gati për DITAR","Në pritje"))</f>
        <v>Pa saldo</v>
      </c>
    </row>
    <row r="23" customFormat="false" ht="19.5" hidden="false" customHeight="true" outlineLevel="0" collapsed="false">
      <c r="A23" s="407" t="n">
        <v>7</v>
      </c>
      <c r="B23" s="407" t="s">
        <v>633</v>
      </c>
      <c r="C23" s="408" t="s">
        <v>634</v>
      </c>
      <c r="D23" s="409" t="n">
        <f aca="false">IFERROR(SUMIFS(LEDGER_ENGINE!$V$2:$V$396,LEDGER_ENGINE!$Z$2:$Z$396,$B23)+SUMIFS(LEDGER_ENGINE!$V$485:$V$526,LEDGER_ENGINE!$Z$485:$Z$526,$B23),0)</f>
        <v>0</v>
      </c>
      <c r="E23" s="409" t="n">
        <f aca="false">IFERROR(SUMIFS(LEDGER_ENGINE!$W$2:$W$396,LEDGER_ENGINE!$Z$2:$Z$396,$B23)+SUMIFS(LEDGER_ENGINE!$W$485:$W$526,LEDGER_ENGINE!$Z$485:$Z$526,$B23),0)</f>
        <v>0</v>
      </c>
      <c r="F23" s="410" t="str">
        <f aca="false">IF(E23&gt;D23,B23,IF(D23&gt;E23,$B$5,""))</f>
        <v/>
      </c>
      <c r="G23" s="410" t="str">
        <f aca="false">IF(E23&gt;D23,$B$5,IF(D23&gt;E23,B23,""))</f>
        <v/>
      </c>
      <c r="H23" s="409" t="n">
        <f aca="false">ABS(D23-E23)</f>
        <v>0</v>
      </c>
      <c r="I23" s="411" t="str">
        <f aca="false">IF(H23=0,"Pa saldo",IF(E23&gt;D23,"Mbyllje e ardhurave","Korrigjim të ardhurash"))</f>
        <v>Pa saldo</v>
      </c>
      <c r="J23" s="412" t="str">
        <f aca="false">IF(H23=0,"Pa saldo",IF($B$8="PO","Gati për DITAR","Në pritje"))</f>
        <v>Pa saldo</v>
      </c>
    </row>
    <row r="24" customFormat="false" ht="19.5" hidden="false" customHeight="true" outlineLevel="0" collapsed="false">
      <c r="A24" s="407" t="n">
        <v>8</v>
      </c>
      <c r="B24" s="407" t="s">
        <v>635</v>
      </c>
      <c r="C24" s="408" t="s">
        <v>636</v>
      </c>
      <c r="D24" s="409" t="n">
        <f aca="false">IFERROR(SUMIFS(LEDGER_ENGINE!$V$2:$V$396,LEDGER_ENGINE!$Z$2:$Z$396,$B24)+SUMIFS(LEDGER_ENGINE!$V$485:$V$526,LEDGER_ENGINE!$Z$485:$Z$526,$B24),0)</f>
        <v>0</v>
      </c>
      <c r="E24" s="409" t="n">
        <f aca="false">IFERROR(SUMIFS(LEDGER_ENGINE!$W$2:$W$396,LEDGER_ENGINE!$Z$2:$Z$396,$B24)+SUMIFS(LEDGER_ENGINE!$W$485:$W$526,LEDGER_ENGINE!$Z$485:$Z$526,$B24),0)</f>
        <v>0</v>
      </c>
      <c r="F24" s="410" t="str">
        <f aca="false">IF(E24&gt;D24,B24,IF(D24&gt;E24,$B$5,""))</f>
        <v/>
      </c>
      <c r="G24" s="410" t="str">
        <f aca="false">IF(E24&gt;D24,$B$5,IF(D24&gt;E24,B24,""))</f>
        <v/>
      </c>
      <c r="H24" s="409" t="n">
        <f aca="false">ABS(D24-E24)</f>
        <v>0</v>
      </c>
      <c r="I24" s="411" t="str">
        <f aca="false">IF(H24=0,"Pa saldo",IF(E24&gt;D24,"Mbyllje e ardhurave","Korrigjim të ardhurash"))</f>
        <v>Pa saldo</v>
      </c>
      <c r="J24" s="412" t="str">
        <f aca="false">IF(H24=0,"Pa saldo",IF($B$8="PO","Gati për DITAR","Në pritje"))</f>
        <v>Pa saldo</v>
      </c>
    </row>
    <row r="25" customFormat="false" ht="19.5" hidden="false" customHeight="true" outlineLevel="0" collapsed="false">
      <c r="A25" s="407" t="n">
        <v>9</v>
      </c>
      <c r="B25" s="407" t="s">
        <v>639</v>
      </c>
      <c r="C25" s="408" t="s">
        <v>640</v>
      </c>
      <c r="D25" s="409" t="n">
        <f aca="false">IFERROR(SUMIFS(LEDGER_ENGINE!$V$2:$V$396,LEDGER_ENGINE!$Z$2:$Z$396,$B25)+SUMIFS(LEDGER_ENGINE!$V$485:$V$526,LEDGER_ENGINE!$Z$485:$Z$526,$B25),0)</f>
        <v>0</v>
      </c>
      <c r="E25" s="409" t="n">
        <f aca="false">IFERROR(SUMIFS(LEDGER_ENGINE!$W$2:$W$396,LEDGER_ENGINE!$Z$2:$Z$396,$B25)+SUMIFS(LEDGER_ENGINE!$W$485:$W$526,LEDGER_ENGINE!$Z$485:$Z$526,$B25),0)</f>
        <v>0</v>
      </c>
      <c r="F25" s="410" t="str">
        <f aca="false">IF(E25&gt;D25,B25,IF(D25&gt;E25,$B$5,""))</f>
        <v/>
      </c>
      <c r="G25" s="410" t="str">
        <f aca="false">IF(E25&gt;D25,$B$5,IF(D25&gt;E25,B25,""))</f>
        <v/>
      </c>
      <c r="H25" s="409" t="n">
        <f aca="false">ABS(D25-E25)</f>
        <v>0</v>
      </c>
      <c r="I25" s="411" t="str">
        <f aca="false">IF(H25=0,"Pa saldo",IF(E25&gt;D25,"Mbyllje e ardhurave","Korrigjim të ardhurash"))</f>
        <v>Pa saldo</v>
      </c>
      <c r="J25" s="412" t="str">
        <f aca="false">IF(H25=0,"Pa saldo",IF($B$8="PO","Gati për DITAR","Në pritje"))</f>
        <v>Pa saldo</v>
      </c>
    </row>
    <row r="26" customFormat="false" ht="19.5" hidden="false" customHeight="true" outlineLevel="0" collapsed="false">
      <c r="A26" s="407" t="n">
        <v>10</v>
      </c>
      <c r="B26" s="407" t="s">
        <v>644</v>
      </c>
      <c r="C26" s="408" t="s">
        <v>645</v>
      </c>
      <c r="D26" s="409" t="n">
        <f aca="false">IFERROR(SUMIFS(LEDGER_ENGINE!$V$2:$V$396,LEDGER_ENGINE!$Z$2:$Z$396,$B26)+SUMIFS(LEDGER_ENGINE!$V$485:$V$526,LEDGER_ENGINE!$Z$485:$Z$526,$B26),0)</f>
        <v>0</v>
      </c>
      <c r="E26" s="409" t="n">
        <f aca="false">IFERROR(SUMIFS(LEDGER_ENGINE!$W$2:$W$396,LEDGER_ENGINE!$Z$2:$Z$396,$B26)+SUMIFS(LEDGER_ENGINE!$W$485:$W$526,LEDGER_ENGINE!$Z$485:$Z$526,$B26),0)</f>
        <v>0</v>
      </c>
      <c r="F26" s="410" t="str">
        <f aca="false">IF(E26&gt;D26,B26,IF(D26&gt;E26,$B$5,""))</f>
        <v/>
      </c>
      <c r="G26" s="410" t="str">
        <f aca="false">IF(E26&gt;D26,$B$5,IF(D26&gt;E26,B26,""))</f>
        <v/>
      </c>
      <c r="H26" s="409" t="n">
        <f aca="false">ABS(D26-E26)</f>
        <v>0</v>
      </c>
      <c r="I26" s="411" t="str">
        <f aca="false">IF(H26=0,"Pa saldo",IF(E26&gt;D26,"Mbyllje e ardhurave","Korrigjim të ardhurash"))</f>
        <v>Pa saldo</v>
      </c>
      <c r="J26" s="412" t="str">
        <f aca="false">IF(H26=0,"Pa saldo",IF($B$8="PO","Gati për DITAR","Në pritje"))</f>
        <v>Pa saldo</v>
      </c>
    </row>
    <row r="27" customFormat="false" ht="19.5" hidden="false" customHeight="true" outlineLevel="0" collapsed="false">
      <c r="A27" s="407" t="n">
        <v>11</v>
      </c>
      <c r="B27" s="407" t="s">
        <v>648</v>
      </c>
      <c r="C27" s="408" t="s">
        <v>649</v>
      </c>
      <c r="D27" s="409" t="n">
        <f aca="false">IFERROR(SUMIFS(LEDGER_ENGINE!$V$2:$V$396,LEDGER_ENGINE!$Z$2:$Z$396,$B27)+SUMIFS(LEDGER_ENGINE!$V$485:$V$526,LEDGER_ENGINE!$Z$485:$Z$526,$B27),0)</f>
        <v>0</v>
      </c>
      <c r="E27" s="409" t="n">
        <f aca="false">IFERROR(SUMIFS(LEDGER_ENGINE!$W$2:$W$396,LEDGER_ENGINE!$Z$2:$Z$396,$B27)+SUMIFS(LEDGER_ENGINE!$W$485:$W$526,LEDGER_ENGINE!$Z$485:$Z$526,$B27),0)</f>
        <v>0</v>
      </c>
      <c r="F27" s="410" t="str">
        <f aca="false">IF(E27&gt;D27,B27,IF(D27&gt;E27,$B$5,""))</f>
        <v/>
      </c>
      <c r="G27" s="410" t="str">
        <f aca="false">IF(E27&gt;D27,$B$5,IF(D27&gt;E27,B27,""))</f>
        <v/>
      </c>
      <c r="H27" s="409" t="n">
        <f aca="false">ABS(D27-E27)</f>
        <v>0</v>
      </c>
      <c r="I27" s="411" t="str">
        <f aca="false">IF(H27=0,"Pa saldo",IF(E27&gt;D27,"Mbyllje e ardhurave","Korrigjim të ardhurash"))</f>
        <v>Pa saldo</v>
      </c>
      <c r="J27" s="412" t="str">
        <f aca="false">IF(H27=0,"Pa saldo",IF($B$8="PO","Gati për DITAR","Në pritje"))</f>
        <v>Pa saldo</v>
      </c>
    </row>
    <row r="28" customFormat="false" ht="19.5" hidden="false" customHeight="true" outlineLevel="0" collapsed="false">
      <c r="A28" s="407" t="n">
        <v>12</v>
      </c>
      <c r="B28" s="407" t="s">
        <v>651</v>
      </c>
      <c r="C28" s="408" t="s">
        <v>652</v>
      </c>
      <c r="D28" s="409" t="n">
        <f aca="false">IFERROR(SUMIFS(LEDGER_ENGINE!$V$2:$V$396,LEDGER_ENGINE!$Z$2:$Z$396,$B28)+SUMIFS(LEDGER_ENGINE!$V$485:$V$526,LEDGER_ENGINE!$Z$485:$Z$526,$B28),0)</f>
        <v>0</v>
      </c>
      <c r="E28" s="409" t="n">
        <f aca="false">IFERROR(SUMIFS(LEDGER_ENGINE!$W$2:$W$396,LEDGER_ENGINE!$Z$2:$Z$396,$B28)+SUMIFS(LEDGER_ENGINE!$W$485:$W$526,LEDGER_ENGINE!$Z$485:$Z$526,$B28),0)</f>
        <v>0</v>
      </c>
      <c r="F28" s="410" t="str">
        <f aca="false">IF(E28&gt;D28,B28,IF(D28&gt;E28,$B$5,""))</f>
        <v/>
      </c>
      <c r="G28" s="410" t="str">
        <f aca="false">IF(E28&gt;D28,$B$5,IF(D28&gt;E28,B28,""))</f>
        <v/>
      </c>
      <c r="H28" s="409" t="n">
        <f aca="false">ABS(D28-E28)</f>
        <v>0</v>
      </c>
      <c r="I28" s="411" t="str">
        <f aca="false">IF(H28=0,"Pa saldo",IF(E28&gt;D28,"Mbyllje e ardhurave","Korrigjim të ardhurash"))</f>
        <v>Pa saldo</v>
      </c>
      <c r="J28" s="412" t="str">
        <f aca="false">IF(H28=0,"Pa saldo",IF($B$8="PO","Gati për DITAR","Në pritje"))</f>
        <v>Pa saldo</v>
      </c>
    </row>
    <row r="29" customFormat="false" ht="19.5" hidden="false" customHeight="true" outlineLevel="0" collapsed="false">
      <c r="A29" s="407" t="n">
        <v>13</v>
      </c>
      <c r="B29" s="407" t="s">
        <v>655</v>
      </c>
      <c r="C29" s="408" t="s">
        <v>654</v>
      </c>
      <c r="D29" s="409" t="n">
        <f aca="false">IFERROR(SUMIFS(LEDGER_ENGINE!$V$2:$V$396,LEDGER_ENGINE!$Z$2:$Z$396,$B29)+SUMIFS(LEDGER_ENGINE!$V$485:$V$526,LEDGER_ENGINE!$Z$485:$Z$526,$B29),0)</f>
        <v>0</v>
      </c>
      <c r="E29" s="409" t="n">
        <f aca="false">IFERROR(SUMIFS(LEDGER_ENGINE!$W$2:$W$396,LEDGER_ENGINE!$Z$2:$Z$396,$B29)+SUMIFS(LEDGER_ENGINE!$W$485:$W$526,LEDGER_ENGINE!$Z$485:$Z$526,$B29),0)</f>
        <v>0</v>
      </c>
      <c r="F29" s="410" t="str">
        <f aca="false">IF(E29&gt;D29,B29,IF(D29&gt;E29,$B$5,""))</f>
        <v/>
      </c>
      <c r="G29" s="410" t="str">
        <f aca="false">IF(E29&gt;D29,$B$5,IF(D29&gt;E29,B29,""))</f>
        <v/>
      </c>
      <c r="H29" s="409" t="n">
        <f aca="false">ABS(D29-E29)</f>
        <v>0</v>
      </c>
      <c r="I29" s="411" t="str">
        <f aca="false">IF(H29=0,"Pa saldo",IF(E29&gt;D29,"Mbyllje e ardhurave","Korrigjim të ardhurash"))</f>
        <v>Pa saldo</v>
      </c>
      <c r="J29" s="412" t="str">
        <f aca="false">IF(H29=0,"Pa saldo",IF($B$8="PO","Gati për DITAR","Në pritje"))</f>
        <v>Pa saldo</v>
      </c>
    </row>
    <row r="30" customFormat="false" ht="19.5" hidden="false" customHeight="true" outlineLevel="0" collapsed="false">
      <c r="A30" s="407" t="n">
        <v>14</v>
      </c>
      <c r="B30" s="407" t="s">
        <v>659</v>
      </c>
      <c r="C30" s="408" t="s">
        <v>660</v>
      </c>
      <c r="D30" s="409" t="n">
        <f aca="false">IFERROR(SUMIFS(LEDGER_ENGINE!$V$2:$V$396,LEDGER_ENGINE!$Z$2:$Z$396,$B30)+SUMIFS(LEDGER_ENGINE!$V$485:$V$526,LEDGER_ENGINE!$Z$485:$Z$526,$B30),0)</f>
        <v>0</v>
      </c>
      <c r="E30" s="409" t="n">
        <f aca="false">IFERROR(SUMIFS(LEDGER_ENGINE!$W$2:$W$396,LEDGER_ENGINE!$Z$2:$Z$396,$B30)+SUMIFS(LEDGER_ENGINE!$W$485:$W$526,LEDGER_ENGINE!$Z$485:$Z$526,$B30),0)</f>
        <v>0</v>
      </c>
      <c r="F30" s="410" t="str">
        <f aca="false">IF(E30&gt;D30,B30,IF(D30&gt;E30,$B$5,""))</f>
        <v/>
      </c>
      <c r="G30" s="410" t="str">
        <f aca="false">IF(E30&gt;D30,$B$5,IF(D30&gt;E30,B30,""))</f>
        <v/>
      </c>
      <c r="H30" s="409" t="n">
        <f aca="false">ABS(D30-E30)</f>
        <v>0</v>
      </c>
      <c r="I30" s="411" t="str">
        <f aca="false">IF(H30=0,"Pa saldo",IF(E30&gt;D30,"Mbyllje e ardhurave","Korrigjim të ardhurash"))</f>
        <v>Pa saldo</v>
      </c>
      <c r="J30" s="412" t="str">
        <f aca="false">IF(H30=0,"Pa saldo",IF($B$8="PO","Gati për DITAR","Në pritje"))</f>
        <v>Pa saldo</v>
      </c>
    </row>
    <row r="31" customFormat="false" ht="19.5" hidden="false" customHeight="true" outlineLevel="0" collapsed="false">
      <c r="A31" s="407" t="n">
        <v>15</v>
      </c>
      <c r="B31" s="407" t="s">
        <v>662</v>
      </c>
      <c r="C31" s="408" t="s">
        <v>663</v>
      </c>
      <c r="D31" s="409" t="n">
        <f aca="false">IFERROR(SUMIFS(LEDGER_ENGINE!$V$2:$V$396,LEDGER_ENGINE!$Z$2:$Z$396,$B31)+SUMIFS(LEDGER_ENGINE!$V$485:$V$526,LEDGER_ENGINE!$Z$485:$Z$526,$B31),0)</f>
        <v>0</v>
      </c>
      <c r="E31" s="409" t="n">
        <f aca="false">IFERROR(SUMIFS(LEDGER_ENGINE!$W$2:$W$396,LEDGER_ENGINE!$Z$2:$Z$396,$B31)+SUMIFS(LEDGER_ENGINE!$W$485:$W$526,LEDGER_ENGINE!$Z$485:$Z$526,$B31),0)</f>
        <v>0</v>
      </c>
      <c r="F31" s="410" t="str">
        <f aca="false">IF(E31&gt;D31,B31,IF(D31&gt;E31,$B$5,""))</f>
        <v/>
      </c>
      <c r="G31" s="410" t="str">
        <f aca="false">IF(E31&gt;D31,$B$5,IF(D31&gt;E31,B31,""))</f>
        <v/>
      </c>
      <c r="H31" s="409" t="n">
        <f aca="false">ABS(D31-E31)</f>
        <v>0</v>
      </c>
      <c r="I31" s="411" t="str">
        <f aca="false">IF(H31=0,"Pa saldo",IF(E31&gt;D31,"Mbyllje e ardhurave","Korrigjim të ardhurash"))</f>
        <v>Pa saldo</v>
      </c>
      <c r="J31" s="412" t="str">
        <f aca="false">IF(H31=0,"Pa saldo",IF($B$8="PO","Gati për DITAR","Në pritje"))</f>
        <v>Pa saldo</v>
      </c>
    </row>
    <row r="32" customFormat="false" ht="19.5" hidden="false" customHeight="true" outlineLevel="0" collapsed="false">
      <c r="A32" s="407" t="n">
        <v>16</v>
      </c>
      <c r="B32" s="407" t="s">
        <v>664</v>
      </c>
      <c r="C32" s="408" t="s">
        <v>665</v>
      </c>
      <c r="D32" s="409" t="n">
        <f aca="false">IFERROR(SUMIFS(LEDGER_ENGINE!$V$2:$V$396,LEDGER_ENGINE!$Z$2:$Z$396,$B32)+SUMIFS(LEDGER_ENGINE!$V$485:$V$526,LEDGER_ENGINE!$Z$485:$Z$526,$B32),0)</f>
        <v>0</v>
      </c>
      <c r="E32" s="409" t="n">
        <f aca="false">IFERROR(SUMIFS(LEDGER_ENGINE!$W$2:$W$396,LEDGER_ENGINE!$Z$2:$Z$396,$B32)+SUMIFS(LEDGER_ENGINE!$W$485:$W$526,LEDGER_ENGINE!$Z$485:$Z$526,$B32),0)</f>
        <v>0</v>
      </c>
      <c r="F32" s="410" t="str">
        <f aca="false">IF(E32&gt;D32,B32,IF(D32&gt;E32,$B$5,""))</f>
        <v/>
      </c>
      <c r="G32" s="410" t="str">
        <f aca="false">IF(E32&gt;D32,$B$5,IF(D32&gt;E32,B32,""))</f>
        <v/>
      </c>
      <c r="H32" s="409" t="n">
        <f aca="false">ABS(D32-E32)</f>
        <v>0</v>
      </c>
      <c r="I32" s="411" t="str">
        <f aca="false">IF(H32=0,"Pa saldo",IF(E32&gt;D32,"Mbyllje e ardhurave","Korrigjim të ardhurash"))</f>
        <v>Pa saldo</v>
      </c>
      <c r="J32" s="412" t="str">
        <f aca="false">IF(H32=0,"Pa saldo",IF($B$8="PO","Gati për DITAR","Në pritje"))</f>
        <v>Pa saldo</v>
      </c>
    </row>
    <row r="33" customFormat="false" ht="19.5" hidden="false" customHeight="true" outlineLevel="0" collapsed="false">
      <c r="A33" s="407" t="n">
        <v>17</v>
      </c>
      <c r="B33" s="407" t="s">
        <v>666</v>
      </c>
      <c r="C33" s="408" t="s">
        <v>667</v>
      </c>
      <c r="D33" s="409" t="n">
        <f aca="false">IFERROR(SUMIFS(LEDGER_ENGINE!$V$2:$V$396,LEDGER_ENGINE!$Z$2:$Z$396,$B33)+SUMIFS(LEDGER_ENGINE!$V$485:$V$526,LEDGER_ENGINE!$Z$485:$Z$526,$B33),0)</f>
        <v>0</v>
      </c>
      <c r="E33" s="409" t="n">
        <f aca="false">IFERROR(SUMIFS(LEDGER_ENGINE!$W$2:$W$396,LEDGER_ENGINE!$Z$2:$Z$396,$B33)+SUMIFS(LEDGER_ENGINE!$W$485:$W$526,LEDGER_ENGINE!$Z$485:$Z$526,$B33),0)</f>
        <v>0</v>
      </c>
      <c r="F33" s="410" t="str">
        <f aca="false">IF(E33&gt;D33,B33,IF(D33&gt;E33,$B$5,""))</f>
        <v/>
      </c>
      <c r="G33" s="410" t="str">
        <f aca="false">IF(E33&gt;D33,$B$5,IF(D33&gt;E33,B33,""))</f>
        <v/>
      </c>
      <c r="H33" s="409" t="n">
        <f aca="false">ABS(D33-E33)</f>
        <v>0</v>
      </c>
      <c r="I33" s="411" t="str">
        <f aca="false">IF(H33=0,"Pa saldo",IF(E33&gt;D33,"Mbyllje e ardhurave","Korrigjim të ardhurash"))</f>
        <v>Pa saldo</v>
      </c>
      <c r="J33" s="412" t="str">
        <f aca="false">IF(H33=0,"Pa saldo",IF($B$8="PO","Gati për DITAR","Në pritje"))</f>
        <v>Pa saldo</v>
      </c>
    </row>
    <row r="34" customFormat="false" ht="19.5" hidden="false" customHeight="true" outlineLevel="0" collapsed="false">
      <c r="A34" s="407" t="n">
        <v>18</v>
      </c>
      <c r="B34" s="407" t="s">
        <v>670</v>
      </c>
      <c r="C34" s="408" t="s">
        <v>671</v>
      </c>
      <c r="D34" s="409" t="n">
        <f aca="false">IFERROR(SUMIFS(LEDGER_ENGINE!$V$2:$V$396,LEDGER_ENGINE!$Z$2:$Z$396,$B34)+SUMIFS(LEDGER_ENGINE!$V$485:$V$526,LEDGER_ENGINE!$Z$485:$Z$526,$B34),0)</f>
        <v>0</v>
      </c>
      <c r="E34" s="409" t="n">
        <f aca="false">IFERROR(SUMIFS(LEDGER_ENGINE!$W$2:$W$396,LEDGER_ENGINE!$Z$2:$Z$396,$B34)+SUMIFS(LEDGER_ENGINE!$W$485:$W$526,LEDGER_ENGINE!$Z$485:$Z$526,$B34),0)</f>
        <v>0</v>
      </c>
      <c r="F34" s="410" t="str">
        <f aca="false">IF(E34&gt;D34,B34,IF(D34&gt;E34,$B$5,""))</f>
        <v/>
      </c>
      <c r="G34" s="410" t="str">
        <f aca="false">IF(E34&gt;D34,$B$5,IF(D34&gt;E34,B34,""))</f>
        <v/>
      </c>
      <c r="H34" s="409" t="n">
        <f aca="false">ABS(D34-E34)</f>
        <v>0</v>
      </c>
      <c r="I34" s="411" t="str">
        <f aca="false">IF(H34=0,"Pa saldo",IF(E34&gt;D34,"Mbyllje e ardhurave","Korrigjim të ardhurash"))</f>
        <v>Pa saldo</v>
      </c>
      <c r="J34" s="412" t="str">
        <f aca="false">IF(H34=0,"Pa saldo",IF($B$8="PO","Gati për DITAR","Në pritje"))</f>
        <v>Pa saldo</v>
      </c>
    </row>
    <row r="35" customFormat="false" ht="19.5" hidden="false" customHeight="true" outlineLevel="0" collapsed="false">
      <c r="A35" s="407" t="n">
        <v>19</v>
      </c>
      <c r="B35" s="407" t="s">
        <v>672</v>
      </c>
      <c r="C35" s="408" t="s">
        <v>673</v>
      </c>
      <c r="D35" s="409" t="n">
        <f aca="false">IFERROR(SUMIFS(LEDGER_ENGINE!$V$2:$V$396,LEDGER_ENGINE!$Z$2:$Z$396,$B35)+SUMIFS(LEDGER_ENGINE!$V$485:$V$526,LEDGER_ENGINE!$Z$485:$Z$526,$B35),0)</f>
        <v>0</v>
      </c>
      <c r="E35" s="409" t="n">
        <f aca="false">IFERROR(SUMIFS(LEDGER_ENGINE!$W$2:$W$396,LEDGER_ENGINE!$Z$2:$Z$396,$B35)+SUMIFS(LEDGER_ENGINE!$W$485:$W$526,LEDGER_ENGINE!$Z$485:$Z$526,$B35),0)</f>
        <v>0</v>
      </c>
      <c r="F35" s="410" t="str">
        <f aca="false">IF(E35&gt;D35,B35,IF(D35&gt;E35,$B$5,""))</f>
        <v/>
      </c>
      <c r="G35" s="410" t="str">
        <f aca="false">IF(E35&gt;D35,$B$5,IF(D35&gt;E35,B35,""))</f>
        <v/>
      </c>
      <c r="H35" s="409" t="n">
        <f aca="false">ABS(D35-E35)</f>
        <v>0</v>
      </c>
      <c r="I35" s="411" t="str">
        <f aca="false">IF(H35=0,"Pa saldo",IF(E35&gt;D35,"Mbyllje e ardhurave","Korrigjim të ardhurash"))</f>
        <v>Pa saldo</v>
      </c>
      <c r="J35" s="412" t="str">
        <f aca="false">IF(H35=0,"Pa saldo",IF($B$8="PO","Gati për DITAR","Në pritje"))</f>
        <v>Pa saldo</v>
      </c>
    </row>
    <row r="36" customFormat="false" ht="19.5" hidden="false" customHeight="true" outlineLevel="0" collapsed="false">
      <c r="A36" s="407" t="n">
        <v>20</v>
      </c>
      <c r="B36" s="407" t="s">
        <v>674</v>
      </c>
      <c r="C36" s="408" t="s">
        <v>675</v>
      </c>
      <c r="D36" s="409" t="n">
        <f aca="false">IFERROR(SUMIFS(LEDGER_ENGINE!$V$2:$V$396,LEDGER_ENGINE!$Z$2:$Z$396,$B36)+SUMIFS(LEDGER_ENGINE!$V$485:$V$526,LEDGER_ENGINE!$Z$485:$Z$526,$B36),0)</f>
        <v>0</v>
      </c>
      <c r="E36" s="409" t="n">
        <f aca="false">IFERROR(SUMIFS(LEDGER_ENGINE!$W$2:$W$396,LEDGER_ENGINE!$Z$2:$Z$396,$B36)+SUMIFS(LEDGER_ENGINE!$W$485:$W$526,LEDGER_ENGINE!$Z$485:$Z$526,$B36),0)</f>
        <v>0</v>
      </c>
      <c r="F36" s="410" t="str">
        <f aca="false">IF(E36&gt;D36,B36,IF(D36&gt;E36,$B$5,""))</f>
        <v/>
      </c>
      <c r="G36" s="410" t="str">
        <f aca="false">IF(E36&gt;D36,$B$5,IF(D36&gt;E36,B36,""))</f>
        <v/>
      </c>
      <c r="H36" s="409" t="n">
        <f aca="false">ABS(D36-E36)</f>
        <v>0</v>
      </c>
      <c r="I36" s="411" t="str">
        <f aca="false">IF(H36=0,"Pa saldo",IF(E36&gt;D36,"Mbyllje e ardhurave","Korrigjim të ardhurash"))</f>
        <v>Pa saldo</v>
      </c>
      <c r="J36" s="412" t="str">
        <f aca="false">IF(H36=0,"Pa saldo",IF($B$8="PO","Gati për DITAR","Në pritje"))</f>
        <v>Pa saldo</v>
      </c>
    </row>
    <row r="37" customFormat="false" ht="19.5" hidden="false" customHeight="true" outlineLevel="0" collapsed="false">
      <c r="A37" s="407" t="n">
        <v>21</v>
      </c>
      <c r="B37" s="407" t="s">
        <v>676</v>
      </c>
      <c r="C37" s="408" t="s">
        <v>677</v>
      </c>
      <c r="D37" s="409" t="n">
        <f aca="false">IFERROR(SUMIFS(LEDGER_ENGINE!$V$2:$V$396,LEDGER_ENGINE!$Z$2:$Z$396,$B37)+SUMIFS(LEDGER_ENGINE!$V$485:$V$526,LEDGER_ENGINE!$Z$485:$Z$526,$B37),0)</f>
        <v>0</v>
      </c>
      <c r="E37" s="409" t="n">
        <f aca="false">IFERROR(SUMIFS(LEDGER_ENGINE!$W$2:$W$396,LEDGER_ENGINE!$Z$2:$Z$396,$B37)+SUMIFS(LEDGER_ENGINE!$W$485:$W$526,LEDGER_ENGINE!$Z$485:$Z$526,$B37),0)</f>
        <v>0</v>
      </c>
      <c r="F37" s="410" t="str">
        <f aca="false">IF(E37&gt;D37,B37,IF(D37&gt;E37,$B$5,""))</f>
        <v/>
      </c>
      <c r="G37" s="410" t="str">
        <f aca="false">IF(E37&gt;D37,$B$5,IF(D37&gt;E37,B37,""))</f>
        <v/>
      </c>
      <c r="H37" s="409" t="n">
        <f aca="false">ABS(D37-E37)</f>
        <v>0</v>
      </c>
      <c r="I37" s="411" t="str">
        <f aca="false">IF(H37=0,"Pa saldo",IF(E37&gt;D37,"Mbyllje e ardhurave","Korrigjim të ardhurash"))</f>
        <v>Pa saldo</v>
      </c>
      <c r="J37" s="412" t="str">
        <f aca="false">IF(H37=0,"Pa saldo",IF($B$8="PO","Gati për DITAR","Në pritje"))</f>
        <v>Pa saldo</v>
      </c>
    </row>
    <row r="38" customFormat="false" ht="19.5" hidden="false" customHeight="true" outlineLevel="0" collapsed="false">
      <c r="A38" s="407" t="n">
        <v>22</v>
      </c>
      <c r="B38" s="407" t="s">
        <v>678</v>
      </c>
      <c r="C38" s="408" t="s">
        <v>679</v>
      </c>
      <c r="D38" s="409" t="n">
        <f aca="false">IFERROR(SUMIFS(LEDGER_ENGINE!$V$2:$V$396,LEDGER_ENGINE!$Z$2:$Z$396,$B38)+SUMIFS(LEDGER_ENGINE!$V$485:$V$526,LEDGER_ENGINE!$Z$485:$Z$526,$B38),0)</f>
        <v>0</v>
      </c>
      <c r="E38" s="409" t="n">
        <f aca="false">IFERROR(SUMIFS(LEDGER_ENGINE!$W$2:$W$396,LEDGER_ENGINE!$Z$2:$Z$396,$B38)+SUMIFS(LEDGER_ENGINE!$W$485:$W$526,LEDGER_ENGINE!$Z$485:$Z$526,$B38),0)</f>
        <v>0</v>
      </c>
      <c r="F38" s="410" t="str">
        <f aca="false">IF(E38&gt;D38,B38,IF(D38&gt;E38,$B$5,""))</f>
        <v/>
      </c>
      <c r="G38" s="410" t="str">
        <f aca="false">IF(E38&gt;D38,$B$5,IF(D38&gt;E38,B38,""))</f>
        <v/>
      </c>
      <c r="H38" s="409" t="n">
        <f aca="false">ABS(D38-E38)</f>
        <v>0</v>
      </c>
      <c r="I38" s="411" t="str">
        <f aca="false">IF(H38=0,"Pa saldo",IF(E38&gt;D38,"Mbyllje e ardhurave","Korrigjim të ardhurash"))</f>
        <v>Pa saldo</v>
      </c>
      <c r="J38" s="412" t="str">
        <f aca="false">IF(H38=0,"Pa saldo",IF($B$8="PO","Gati për DITAR","Në pritje"))</f>
        <v>Pa saldo</v>
      </c>
    </row>
    <row r="39" customFormat="false" ht="19.5" hidden="false" customHeight="true" outlineLevel="0" collapsed="false">
      <c r="A39" s="407" t="n">
        <v>23</v>
      </c>
      <c r="B39" s="407" t="s">
        <v>680</v>
      </c>
      <c r="C39" s="408" t="s">
        <v>681</v>
      </c>
      <c r="D39" s="409" t="n">
        <f aca="false">IFERROR(SUMIFS(LEDGER_ENGINE!$V$2:$V$396,LEDGER_ENGINE!$Z$2:$Z$396,$B39)+SUMIFS(LEDGER_ENGINE!$V$485:$V$526,LEDGER_ENGINE!$Z$485:$Z$526,$B39),0)</f>
        <v>0</v>
      </c>
      <c r="E39" s="409" t="n">
        <f aca="false">IFERROR(SUMIFS(LEDGER_ENGINE!$W$2:$W$396,LEDGER_ENGINE!$Z$2:$Z$396,$B39)+SUMIFS(LEDGER_ENGINE!$W$485:$W$526,LEDGER_ENGINE!$Z$485:$Z$526,$B39),0)</f>
        <v>0</v>
      </c>
      <c r="F39" s="410" t="str">
        <f aca="false">IF(E39&gt;D39,B39,IF(D39&gt;E39,$B$5,""))</f>
        <v/>
      </c>
      <c r="G39" s="410" t="str">
        <f aca="false">IF(E39&gt;D39,$B$5,IF(D39&gt;E39,B39,""))</f>
        <v/>
      </c>
      <c r="H39" s="409" t="n">
        <f aca="false">ABS(D39-E39)</f>
        <v>0</v>
      </c>
      <c r="I39" s="411" t="str">
        <f aca="false">IF(H39=0,"Pa saldo",IF(E39&gt;D39,"Mbyllje e ardhurave","Korrigjim të ardhurash"))</f>
        <v>Pa saldo</v>
      </c>
      <c r="J39" s="412" t="str">
        <f aca="false">IF(H39=0,"Pa saldo",IF($B$8="PO","Gati për DITAR","Në pritje"))</f>
        <v>Pa saldo</v>
      </c>
    </row>
    <row r="40" customFormat="false" ht="19.5" hidden="false" customHeight="true" outlineLevel="0" collapsed="false">
      <c r="A40" s="407" t="n">
        <v>24</v>
      </c>
      <c r="B40" s="407" t="s">
        <v>682</v>
      </c>
      <c r="C40" s="408" t="s">
        <v>683</v>
      </c>
      <c r="D40" s="409" t="n">
        <f aca="false">IFERROR(SUMIFS(LEDGER_ENGINE!$V$2:$V$396,LEDGER_ENGINE!$Z$2:$Z$396,$B40)+SUMIFS(LEDGER_ENGINE!$V$485:$V$526,LEDGER_ENGINE!$Z$485:$Z$526,$B40),0)</f>
        <v>0</v>
      </c>
      <c r="E40" s="409" t="n">
        <f aca="false">IFERROR(SUMIFS(LEDGER_ENGINE!$W$2:$W$396,LEDGER_ENGINE!$Z$2:$Z$396,$B40)+SUMIFS(LEDGER_ENGINE!$W$485:$W$526,LEDGER_ENGINE!$Z$485:$Z$526,$B40),0)</f>
        <v>0</v>
      </c>
      <c r="F40" s="410" t="str">
        <f aca="false">IF(E40&gt;D40,B40,IF(D40&gt;E40,$B$5,""))</f>
        <v/>
      </c>
      <c r="G40" s="410" t="str">
        <f aca="false">IF(E40&gt;D40,$B$5,IF(D40&gt;E40,B40,""))</f>
        <v/>
      </c>
      <c r="H40" s="409" t="n">
        <f aca="false">ABS(D40-E40)</f>
        <v>0</v>
      </c>
      <c r="I40" s="411" t="str">
        <f aca="false">IF(H40=0,"Pa saldo",IF(E40&gt;D40,"Mbyllje e ardhurave","Korrigjim të ardhurash"))</f>
        <v>Pa saldo</v>
      </c>
      <c r="J40" s="412" t="str">
        <f aca="false">IF(H40=0,"Pa saldo",IF($B$8="PO","Gati për DITAR","Në pritje"))</f>
        <v>Pa saldo</v>
      </c>
    </row>
    <row r="41" customFormat="false" ht="19.5" hidden="false" customHeight="true" outlineLevel="0" collapsed="false">
      <c r="A41" s="407" t="n">
        <v>25</v>
      </c>
      <c r="B41" s="407" t="s">
        <v>684</v>
      </c>
      <c r="C41" s="408" t="s">
        <v>685</v>
      </c>
      <c r="D41" s="409" t="n">
        <f aca="false">IFERROR(SUMIFS(LEDGER_ENGINE!$V$2:$V$396,LEDGER_ENGINE!$Z$2:$Z$396,$B41)+SUMIFS(LEDGER_ENGINE!$V$485:$V$526,LEDGER_ENGINE!$Z$485:$Z$526,$B41),0)</f>
        <v>0</v>
      </c>
      <c r="E41" s="409" t="n">
        <f aca="false">IFERROR(SUMIFS(LEDGER_ENGINE!$W$2:$W$396,LEDGER_ENGINE!$Z$2:$Z$396,$B41)+SUMIFS(LEDGER_ENGINE!$W$485:$W$526,LEDGER_ENGINE!$Z$485:$Z$526,$B41),0)</f>
        <v>0</v>
      </c>
      <c r="F41" s="410" t="str">
        <f aca="false">IF(E41&gt;D41,B41,IF(D41&gt;E41,$B$5,""))</f>
        <v/>
      </c>
      <c r="G41" s="410" t="str">
        <f aca="false">IF(E41&gt;D41,$B$5,IF(D41&gt;E41,B41,""))</f>
        <v/>
      </c>
      <c r="H41" s="409" t="n">
        <f aca="false">ABS(D41-E41)</f>
        <v>0</v>
      </c>
      <c r="I41" s="411" t="str">
        <f aca="false">IF(H41=0,"Pa saldo",IF(E41&gt;D41,"Mbyllje e ardhurave","Korrigjim të ardhurash"))</f>
        <v>Pa saldo</v>
      </c>
      <c r="J41" s="412" t="str">
        <f aca="false">IF(H41=0,"Pa saldo",IF($B$8="PO","Gati për DITAR","Në pritje"))</f>
        <v>Pa saldo</v>
      </c>
    </row>
    <row r="42" customFormat="false" ht="19.5" hidden="false" customHeight="true" outlineLevel="0" collapsed="false">
      <c r="A42" s="407" t="n">
        <v>26</v>
      </c>
      <c r="B42" s="407" t="s">
        <v>688</v>
      </c>
      <c r="C42" s="408" t="s">
        <v>660</v>
      </c>
      <c r="D42" s="409" t="n">
        <f aca="false">IFERROR(SUMIFS(LEDGER_ENGINE!$V$2:$V$396,LEDGER_ENGINE!$Z$2:$Z$396,$B42)+SUMIFS(LEDGER_ENGINE!$V$485:$V$526,LEDGER_ENGINE!$Z$485:$Z$526,$B42),0)</f>
        <v>0</v>
      </c>
      <c r="E42" s="409" t="n">
        <f aca="false">IFERROR(SUMIFS(LEDGER_ENGINE!$W$2:$W$396,LEDGER_ENGINE!$Z$2:$Z$396,$B42)+SUMIFS(LEDGER_ENGINE!$W$485:$W$526,LEDGER_ENGINE!$Z$485:$Z$526,$B42),0)</f>
        <v>0</v>
      </c>
      <c r="F42" s="410" t="str">
        <f aca="false">IF(E42&gt;D42,B42,IF(D42&gt;E42,$B$5,""))</f>
        <v/>
      </c>
      <c r="G42" s="410" t="str">
        <f aca="false">IF(E42&gt;D42,$B$5,IF(D42&gt;E42,B42,""))</f>
        <v/>
      </c>
      <c r="H42" s="409" t="n">
        <f aca="false">ABS(D42-E42)</f>
        <v>0</v>
      </c>
      <c r="I42" s="411" t="str">
        <f aca="false">IF(H42=0,"Pa saldo",IF(E42&gt;D42,"Mbyllje e ardhurave","Korrigjim të ardhurash"))</f>
        <v>Pa saldo</v>
      </c>
      <c r="J42" s="412" t="str">
        <f aca="false">IF(H42=0,"Pa saldo",IF($B$8="PO","Gati për DITAR","Në pritje"))</f>
        <v>Pa saldo</v>
      </c>
    </row>
    <row r="43" customFormat="false" ht="19.5" hidden="false" customHeight="true" outlineLevel="0" collapsed="false">
      <c r="A43" s="407" t="n">
        <v>27</v>
      </c>
      <c r="B43" s="407" t="s">
        <v>690</v>
      </c>
      <c r="C43" s="408" t="s">
        <v>691</v>
      </c>
      <c r="D43" s="409" t="n">
        <f aca="false">IFERROR(SUMIFS(LEDGER_ENGINE!$V$2:$V$396,LEDGER_ENGINE!$Z$2:$Z$396,$B43)+SUMIFS(LEDGER_ENGINE!$V$485:$V$526,LEDGER_ENGINE!$Z$485:$Z$526,$B43),0)</f>
        <v>0</v>
      </c>
      <c r="E43" s="409" t="n">
        <f aca="false">IFERROR(SUMIFS(LEDGER_ENGINE!$W$2:$W$396,LEDGER_ENGINE!$Z$2:$Z$396,$B43)+SUMIFS(LEDGER_ENGINE!$W$485:$W$526,LEDGER_ENGINE!$Z$485:$Z$526,$B43),0)</f>
        <v>0</v>
      </c>
      <c r="F43" s="410" t="str">
        <f aca="false">IF(E43&gt;D43,B43,IF(D43&gt;E43,$B$5,""))</f>
        <v/>
      </c>
      <c r="G43" s="410" t="str">
        <f aca="false">IF(E43&gt;D43,$B$5,IF(D43&gt;E43,B43,""))</f>
        <v/>
      </c>
      <c r="H43" s="409" t="n">
        <f aca="false">ABS(D43-E43)</f>
        <v>0</v>
      </c>
      <c r="I43" s="411" t="str">
        <f aca="false">IF(H43=0,"Pa saldo",IF(E43&gt;D43,"Mbyllje e ardhurave","Korrigjim të ardhurash"))</f>
        <v>Pa saldo</v>
      </c>
      <c r="J43" s="412" t="str">
        <f aca="false">IF(H43=0,"Pa saldo",IF($B$8="PO","Gati për DITAR","Në pritje"))</f>
        <v>Pa saldo</v>
      </c>
    </row>
    <row r="44" customFormat="false" ht="19.5" hidden="false" customHeight="true" outlineLevel="0" collapsed="false">
      <c r="A44" s="407" t="n">
        <v>28</v>
      </c>
      <c r="B44" s="407" t="s">
        <v>694</v>
      </c>
      <c r="C44" s="408" t="s">
        <v>695</v>
      </c>
      <c r="D44" s="409" t="n">
        <f aca="false">IFERROR(SUMIFS(LEDGER_ENGINE!$V$2:$V$396,LEDGER_ENGINE!$Z$2:$Z$396,$B44)+SUMIFS(LEDGER_ENGINE!$V$485:$V$526,LEDGER_ENGINE!$Z$485:$Z$526,$B44),0)</f>
        <v>0</v>
      </c>
      <c r="E44" s="409" t="n">
        <f aca="false">IFERROR(SUMIFS(LEDGER_ENGINE!$W$2:$W$396,LEDGER_ENGINE!$Z$2:$Z$396,$B44)+SUMIFS(LEDGER_ENGINE!$W$485:$W$526,LEDGER_ENGINE!$Z$485:$Z$526,$B44),0)</f>
        <v>0</v>
      </c>
      <c r="F44" s="410" t="str">
        <f aca="false">IF(E44&gt;D44,B44,IF(D44&gt;E44,$B$5,""))</f>
        <v/>
      </c>
      <c r="G44" s="410" t="str">
        <f aca="false">IF(E44&gt;D44,$B$5,IF(D44&gt;E44,B44,""))</f>
        <v/>
      </c>
      <c r="H44" s="409" t="n">
        <f aca="false">ABS(D44-E44)</f>
        <v>0</v>
      </c>
      <c r="I44" s="411" t="str">
        <f aca="false">IF(H44=0,"Pa saldo",IF(E44&gt;D44,"Mbyllje e ardhurave","Korrigjim të ardhurash"))</f>
        <v>Pa saldo</v>
      </c>
      <c r="J44" s="412" t="str">
        <f aca="false">IF(H44=0,"Pa saldo",IF($B$8="PO","Gati për DITAR","Në pritje"))</f>
        <v>Pa saldo</v>
      </c>
    </row>
    <row r="45" customFormat="false" ht="19.5" hidden="false" customHeight="true" outlineLevel="0" collapsed="false">
      <c r="A45" s="407" t="n">
        <v>29</v>
      </c>
      <c r="B45" s="407" t="s">
        <v>697</v>
      </c>
      <c r="C45" s="408" t="s">
        <v>698</v>
      </c>
      <c r="D45" s="409" t="n">
        <f aca="false">IFERROR(SUMIFS(LEDGER_ENGINE!$V$2:$V$396,LEDGER_ENGINE!$Z$2:$Z$396,$B45)+SUMIFS(LEDGER_ENGINE!$V$485:$V$526,LEDGER_ENGINE!$Z$485:$Z$526,$B45),0)</f>
        <v>0</v>
      </c>
      <c r="E45" s="409" t="n">
        <f aca="false">IFERROR(SUMIFS(LEDGER_ENGINE!$W$2:$W$396,LEDGER_ENGINE!$Z$2:$Z$396,$B45)+SUMIFS(LEDGER_ENGINE!$W$485:$W$526,LEDGER_ENGINE!$Z$485:$Z$526,$B45),0)</f>
        <v>0</v>
      </c>
      <c r="F45" s="410" t="str">
        <f aca="false">IF(E45&gt;D45,B45,IF(D45&gt;E45,$B$5,""))</f>
        <v/>
      </c>
      <c r="G45" s="410" t="str">
        <f aca="false">IF(E45&gt;D45,$B$5,IF(D45&gt;E45,B45,""))</f>
        <v/>
      </c>
      <c r="H45" s="409" t="n">
        <f aca="false">ABS(D45-E45)</f>
        <v>0</v>
      </c>
      <c r="I45" s="411" t="str">
        <f aca="false">IF(H45=0,"Pa saldo",IF(E45&gt;D45,"Mbyllje e ardhurave","Korrigjim të ardhurash"))</f>
        <v>Pa saldo</v>
      </c>
      <c r="J45" s="412" t="str">
        <f aca="false">IF(H45=0,"Pa saldo",IF($B$8="PO","Gati për DITAR","Në pritje"))</f>
        <v>Pa saldo</v>
      </c>
    </row>
    <row r="46" customFormat="false" ht="19.5" hidden="false" customHeight="true" outlineLevel="0" collapsed="false"/>
    <row r="47" customFormat="false" ht="19.5" hidden="false" customHeight="true" outlineLevel="0" collapsed="false"/>
    <row r="48" customFormat="false" ht="19.5" hidden="false" customHeight="true" outlineLevel="0" collapsed="false">
      <c r="A48" s="396" t="s">
        <v>1217</v>
      </c>
      <c r="B48" s="396"/>
      <c r="C48" s="396"/>
      <c r="D48" s="396"/>
      <c r="E48" s="396"/>
      <c r="F48" s="396"/>
      <c r="G48" s="396"/>
      <c r="H48" s="396"/>
      <c r="I48" s="396"/>
      <c r="J48" s="396"/>
    </row>
    <row r="49" customFormat="false" ht="19.5" hidden="false" customHeight="true" outlineLevel="0" collapsed="false">
      <c r="A49" s="405" t="s">
        <v>106</v>
      </c>
      <c r="B49" s="405" t="s">
        <v>183</v>
      </c>
      <c r="C49" s="406" t="s">
        <v>758</v>
      </c>
      <c r="D49" s="405" t="s">
        <v>768</v>
      </c>
      <c r="E49" s="405" t="s">
        <v>769</v>
      </c>
      <c r="F49" s="405" t="s">
        <v>855</v>
      </c>
      <c r="G49" s="405" t="s">
        <v>856</v>
      </c>
      <c r="H49" s="405" t="s">
        <v>867</v>
      </c>
      <c r="I49" s="406" t="s">
        <v>189</v>
      </c>
      <c r="J49" s="406" t="s">
        <v>748</v>
      </c>
    </row>
    <row r="50" customFormat="false" ht="19.5" hidden="false" customHeight="true" outlineLevel="0" collapsed="false">
      <c r="A50" s="407" t="n">
        <v>1</v>
      </c>
      <c r="B50" s="407" t="s">
        <v>484</v>
      </c>
      <c r="C50" s="408" t="s">
        <v>485</v>
      </c>
      <c r="D50" s="409" t="n">
        <f aca="false">IFERROR(SUMIFS(LEDGER_ENGINE!$V$2:$V$396,LEDGER_ENGINE!$Z$2:$Z$396,$B50)+SUMIFS(LEDGER_ENGINE!$V$485:$V$526,LEDGER_ENGINE!$Z$485:$Z$526,$B50),0)</f>
        <v>0</v>
      </c>
      <c r="E50" s="409" t="n">
        <f aca="false">IFERROR(SUMIFS(LEDGER_ENGINE!$W$2:$W$396,LEDGER_ENGINE!$Z$2:$Z$396,$B50)+SUMIFS(LEDGER_ENGINE!$W$485:$W$526,LEDGER_ENGINE!$Z$485:$Z$526,$B50),0)</f>
        <v>0</v>
      </c>
      <c r="F50" s="410" t="str">
        <f aca="false">IF(D50&gt;E50,$B$5,IF(E50&gt;D50,B50,""))</f>
        <v/>
      </c>
      <c r="G50" s="410" t="str">
        <f aca="false">IF(D50&gt;E50,B50,IF(E50&gt;D50,$B$5,""))</f>
        <v/>
      </c>
      <c r="H50" s="409" t="n">
        <f aca="false">ABS(D50-E50)</f>
        <v>0</v>
      </c>
      <c r="I50" s="411" t="str">
        <f aca="false">IF(H50=0,"Pa saldo",IF(D50&gt;E50,"Mbyllje shpenzimi","Shpenzim negativ / 603 kreditore"))</f>
        <v>Pa saldo</v>
      </c>
      <c r="J50" s="412" t="str">
        <f aca="false">IF(H50=0,"Pa saldo",IF($B$8="PO","Gati për DITAR","Në pritje"))</f>
        <v>Pa saldo</v>
      </c>
    </row>
    <row r="51" customFormat="false" ht="19.5" hidden="false" customHeight="true" outlineLevel="0" collapsed="false">
      <c r="A51" s="407" t="n">
        <v>2</v>
      </c>
      <c r="B51" s="407" t="s">
        <v>488</v>
      </c>
      <c r="C51" s="408" t="s">
        <v>489</v>
      </c>
      <c r="D51" s="409" t="n">
        <f aca="false">IFERROR(SUMIFS(LEDGER_ENGINE!$V$2:$V$396,LEDGER_ENGINE!$Z$2:$Z$396,$B51)+SUMIFS(LEDGER_ENGINE!$V$485:$V$526,LEDGER_ENGINE!$Z$485:$Z$526,$B51),0)</f>
        <v>0</v>
      </c>
      <c r="E51" s="409" t="n">
        <f aca="false">IFERROR(SUMIFS(LEDGER_ENGINE!$W$2:$W$396,LEDGER_ENGINE!$Z$2:$Z$396,$B51)+SUMIFS(LEDGER_ENGINE!$W$485:$W$526,LEDGER_ENGINE!$Z$485:$Z$526,$B51),0)</f>
        <v>0</v>
      </c>
      <c r="F51" s="410" t="str">
        <f aca="false">IF(D51&gt;E51,$B$5,IF(E51&gt;D51,B51,""))</f>
        <v/>
      </c>
      <c r="G51" s="410" t="str">
        <f aca="false">IF(D51&gt;E51,B51,IF(E51&gt;D51,$B$5,""))</f>
        <v/>
      </c>
      <c r="H51" s="409" t="n">
        <f aca="false">ABS(D51-E51)</f>
        <v>0</v>
      </c>
      <c r="I51" s="411" t="str">
        <f aca="false">IF(H51=0,"Pa saldo",IF(D51&gt;E51,"Mbyllje shpenzimi","Shpenzim negativ / 603 kreditore"))</f>
        <v>Pa saldo</v>
      </c>
      <c r="J51" s="412" t="str">
        <f aca="false">IF(H51=0,"Pa saldo",IF($B$8="PO","Gati për DITAR","Në pritje"))</f>
        <v>Pa saldo</v>
      </c>
    </row>
    <row r="52" customFormat="false" ht="19.5" hidden="false" customHeight="true" outlineLevel="0" collapsed="false">
      <c r="A52" s="407" t="n">
        <v>3</v>
      </c>
      <c r="B52" s="407" t="s">
        <v>490</v>
      </c>
      <c r="C52" s="408" t="s">
        <v>491</v>
      </c>
      <c r="D52" s="409" t="n">
        <f aca="false">IFERROR(SUMIFS(LEDGER_ENGINE!$V$2:$V$396,LEDGER_ENGINE!$Z$2:$Z$396,$B52)+SUMIFS(LEDGER_ENGINE!$V$485:$V$526,LEDGER_ENGINE!$Z$485:$Z$526,$B52),0)</f>
        <v>0</v>
      </c>
      <c r="E52" s="409" t="n">
        <f aca="false">IFERROR(SUMIFS(LEDGER_ENGINE!$W$2:$W$396,LEDGER_ENGINE!$Z$2:$Z$396,$B52)+SUMIFS(LEDGER_ENGINE!$W$485:$W$526,LEDGER_ENGINE!$Z$485:$Z$526,$B52),0)</f>
        <v>0</v>
      </c>
      <c r="F52" s="410" t="str">
        <f aca="false">IF(D52&gt;E52,$B$5,IF(E52&gt;D52,B52,""))</f>
        <v/>
      </c>
      <c r="G52" s="410" t="str">
        <f aca="false">IF(D52&gt;E52,B52,IF(E52&gt;D52,$B$5,""))</f>
        <v/>
      </c>
      <c r="H52" s="409" t="n">
        <f aca="false">ABS(D52-E52)</f>
        <v>0</v>
      </c>
      <c r="I52" s="411" t="str">
        <f aca="false">IF(H52=0,"Pa saldo",IF(D52&gt;E52,"Mbyllje shpenzimi","Shpenzim negativ / 603 kreditore"))</f>
        <v>Pa saldo</v>
      </c>
      <c r="J52" s="412" t="str">
        <f aca="false">IF(H52=0,"Pa saldo",IF($B$8="PO","Gati për DITAR","Në pritje"))</f>
        <v>Pa saldo</v>
      </c>
    </row>
    <row r="53" customFormat="false" ht="19.5" hidden="false" customHeight="true" outlineLevel="0" collapsed="false">
      <c r="A53" s="407" t="n">
        <v>4</v>
      </c>
      <c r="B53" s="407" t="s">
        <v>493</v>
      </c>
      <c r="C53" s="408" t="s">
        <v>494</v>
      </c>
      <c r="D53" s="409" t="n">
        <f aca="false">IFERROR(SUMIFS(LEDGER_ENGINE!$V$2:$V$396,LEDGER_ENGINE!$Z$2:$Z$396,$B53)+SUMIFS(LEDGER_ENGINE!$V$485:$V$526,LEDGER_ENGINE!$Z$485:$Z$526,$B53),0)</f>
        <v>0</v>
      </c>
      <c r="E53" s="409" t="n">
        <f aca="false">IFERROR(SUMIFS(LEDGER_ENGINE!$W$2:$W$396,LEDGER_ENGINE!$Z$2:$Z$396,$B53)+SUMIFS(LEDGER_ENGINE!$W$485:$W$526,LEDGER_ENGINE!$Z$485:$Z$526,$B53),0)</f>
        <v>0</v>
      </c>
      <c r="F53" s="410" t="str">
        <f aca="false">IF(D53&gt;E53,$B$5,IF(E53&gt;D53,B53,""))</f>
        <v/>
      </c>
      <c r="G53" s="410" t="str">
        <f aca="false">IF(D53&gt;E53,B53,IF(E53&gt;D53,$B$5,""))</f>
        <v/>
      </c>
      <c r="H53" s="409" t="n">
        <f aca="false">ABS(D53-E53)</f>
        <v>0</v>
      </c>
      <c r="I53" s="411" t="str">
        <f aca="false">IF(H53=0,"Pa saldo",IF(D53&gt;E53,"Mbyllje shpenzimi","Shpenzim negativ / 603 kreditore"))</f>
        <v>Pa saldo</v>
      </c>
      <c r="J53" s="412" t="str">
        <f aca="false">IF(H53=0,"Pa saldo",IF($B$8="PO","Gati për DITAR","Në pritje"))</f>
        <v>Pa saldo</v>
      </c>
    </row>
    <row r="54" customFormat="false" ht="19.5" hidden="false" customHeight="true" outlineLevel="0" collapsed="false">
      <c r="A54" s="407" t="n">
        <v>5</v>
      </c>
      <c r="B54" s="407" t="s">
        <v>495</v>
      </c>
      <c r="C54" s="408" t="s">
        <v>496</v>
      </c>
      <c r="D54" s="409" t="n">
        <f aca="false">IFERROR(SUMIFS(LEDGER_ENGINE!$V$2:$V$396,LEDGER_ENGINE!$Z$2:$Z$396,$B54)+SUMIFS(LEDGER_ENGINE!$V$485:$V$526,LEDGER_ENGINE!$Z$485:$Z$526,$B54),0)</f>
        <v>0</v>
      </c>
      <c r="E54" s="409" t="n">
        <f aca="false">IFERROR(SUMIFS(LEDGER_ENGINE!$W$2:$W$396,LEDGER_ENGINE!$Z$2:$Z$396,$B54)+SUMIFS(LEDGER_ENGINE!$W$485:$W$526,LEDGER_ENGINE!$Z$485:$Z$526,$B54),0)</f>
        <v>0</v>
      </c>
      <c r="F54" s="410" t="str">
        <f aca="false">IF(D54&gt;E54,$B$5,IF(E54&gt;D54,B54,""))</f>
        <v/>
      </c>
      <c r="G54" s="410" t="str">
        <f aca="false">IF(D54&gt;E54,B54,IF(E54&gt;D54,$B$5,""))</f>
        <v/>
      </c>
      <c r="H54" s="409" t="n">
        <f aca="false">ABS(D54-E54)</f>
        <v>0</v>
      </c>
      <c r="I54" s="411" t="str">
        <f aca="false">IF(H54=0,"Pa saldo",IF(D54&gt;E54,"Mbyllje shpenzimi","Shpenzim negativ / 603 kreditore"))</f>
        <v>Pa saldo</v>
      </c>
      <c r="J54" s="412" t="str">
        <f aca="false">IF(H54=0,"Pa saldo",IF($B$8="PO","Gati për DITAR","Në pritje"))</f>
        <v>Pa saldo</v>
      </c>
    </row>
    <row r="55" customFormat="false" ht="19.5" hidden="false" customHeight="true" outlineLevel="0" collapsed="false">
      <c r="A55" s="407" t="n">
        <v>6</v>
      </c>
      <c r="B55" s="407" t="s">
        <v>497</v>
      </c>
      <c r="C55" s="408" t="s">
        <v>498</v>
      </c>
      <c r="D55" s="409" t="n">
        <f aca="false">IFERROR(SUMIFS(LEDGER_ENGINE!$V$2:$V$396,LEDGER_ENGINE!$Z$2:$Z$396,$B55)+SUMIFS(LEDGER_ENGINE!$V$485:$V$526,LEDGER_ENGINE!$Z$485:$Z$526,$B55),0)</f>
        <v>0</v>
      </c>
      <c r="E55" s="409" t="n">
        <f aca="false">IFERROR(SUMIFS(LEDGER_ENGINE!$W$2:$W$396,LEDGER_ENGINE!$Z$2:$Z$396,$B55)+SUMIFS(LEDGER_ENGINE!$W$485:$W$526,LEDGER_ENGINE!$Z$485:$Z$526,$B55),0)</f>
        <v>0</v>
      </c>
      <c r="F55" s="410" t="str">
        <f aca="false">IF(D55&gt;E55,$B$5,IF(E55&gt;D55,B55,""))</f>
        <v/>
      </c>
      <c r="G55" s="410" t="str">
        <f aca="false">IF(D55&gt;E55,B55,IF(E55&gt;D55,$B$5,""))</f>
        <v/>
      </c>
      <c r="H55" s="409" t="n">
        <f aca="false">ABS(D55-E55)</f>
        <v>0</v>
      </c>
      <c r="I55" s="411" t="str">
        <f aca="false">IF(H55=0,"Pa saldo",IF(D55&gt;E55,"Mbyllje shpenzimi","Shpenzim negativ / 603 kreditore"))</f>
        <v>Pa saldo</v>
      </c>
      <c r="J55" s="412" t="str">
        <f aca="false">IF(H55=0,"Pa saldo",IF($B$8="PO","Gati për DITAR","Në pritje"))</f>
        <v>Pa saldo</v>
      </c>
    </row>
    <row r="56" customFormat="false" ht="19.5" hidden="false" customHeight="true" outlineLevel="0" collapsed="false">
      <c r="A56" s="407" t="n">
        <v>7</v>
      </c>
      <c r="B56" s="407" t="s">
        <v>499</v>
      </c>
      <c r="C56" s="408" t="s">
        <v>500</v>
      </c>
      <c r="D56" s="409" t="n">
        <f aca="false">IFERROR(SUMIFS(LEDGER_ENGINE!$V$2:$V$396,LEDGER_ENGINE!$Z$2:$Z$396,$B56)+SUMIFS(LEDGER_ENGINE!$V$485:$V$526,LEDGER_ENGINE!$Z$485:$Z$526,$B56),0)</f>
        <v>0</v>
      </c>
      <c r="E56" s="409" t="n">
        <f aca="false">IFERROR(SUMIFS(LEDGER_ENGINE!$W$2:$W$396,LEDGER_ENGINE!$Z$2:$Z$396,$B56)+SUMIFS(LEDGER_ENGINE!$W$485:$W$526,LEDGER_ENGINE!$Z$485:$Z$526,$B56),0)</f>
        <v>0</v>
      </c>
      <c r="F56" s="410" t="str">
        <f aca="false">IF(D56&gt;E56,$B$5,IF(E56&gt;D56,B56,""))</f>
        <v/>
      </c>
      <c r="G56" s="410" t="str">
        <f aca="false">IF(D56&gt;E56,B56,IF(E56&gt;D56,$B$5,""))</f>
        <v/>
      </c>
      <c r="H56" s="409" t="n">
        <f aca="false">ABS(D56-E56)</f>
        <v>0</v>
      </c>
      <c r="I56" s="411" t="str">
        <f aca="false">IF(H56=0,"Pa saldo",IF(D56&gt;E56,"Mbyllje shpenzimi","Shpenzim negativ / 603 kreditore"))</f>
        <v>Pa saldo</v>
      </c>
      <c r="J56" s="412" t="str">
        <f aca="false">IF(H56=0,"Pa saldo",IF($B$8="PO","Gati për DITAR","Në pritje"))</f>
        <v>Pa saldo</v>
      </c>
    </row>
    <row r="57" customFormat="false" ht="19.5" hidden="false" customHeight="true" outlineLevel="0" collapsed="false">
      <c r="A57" s="407" t="n">
        <v>8</v>
      </c>
      <c r="B57" s="407" t="s">
        <v>501</v>
      </c>
      <c r="C57" s="408" t="s">
        <v>502</v>
      </c>
      <c r="D57" s="409" t="n">
        <f aca="false">IFERROR(SUMIFS(LEDGER_ENGINE!$V$2:$V$396,LEDGER_ENGINE!$Z$2:$Z$396,$B57)+SUMIFS(LEDGER_ENGINE!$V$485:$V$526,LEDGER_ENGINE!$Z$485:$Z$526,$B57),0)</f>
        <v>0</v>
      </c>
      <c r="E57" s="409" t="n">
        <f aca="false">IFERROR(SUMIFS(LEDGER_ENGINE!$W$2:$W$396,LEDGER_ENGINE!$Z$2:$Z$396,$B57)+SUMIFS(LEDGER_ENGINE!$W$485:$W$526,LEDGER_ENGINE!$Z$485:$Z$526,$B57),0)</f>
        <v>0</v>
      </c>
      <c r="F57" s="410" t="str">
        <f aca="false">IF(D57&gt;E57,$B$5,IF(E57&gt;D57,B57,""))</f>
        <v/>
      </c>
      <c r="G57" s="410" t="str">
        <f aca="false">IF(D57&gt;E57,B57,IF(E57&gt;D57,$B$5,""))</f>
        <v/>
      </c>
      <c r="H57" s="409" t="n">
        <f aca="false">ABS(D57-E57)</f>
        <v>0</v>
      </c>
      <c r="I57" s="411" t="str">
        <f aca="false">IF(H57=0,"Pa saldo",IF(D57&gt;E57,"Mbyllje shpenzimi","Shpenzim negativ / 603 kreditore"))</f>
        <v>Pa saldo</v>
      </c>
      <c r="J57" s="412" t="str">
        <f aca="false">IF(H57=0,"Pa saldo",IF($B$8="PO","Gati për DITAR","Në pritje"))</f>
        <v>Pa saldo</v>
      </c>
    </row>
    <row r="58" customFormat="false" ht="19.5" hidden="false" customHeight="true" outlineLevel="0" collapsed="false">
      <c r="A58" s="407" t="n">
        <v>9</v>
      </c>
      <c r="B58" s="407" t="s">
        <v>503</v>
      </c>
      <c r="C58" s="408" t="s">
        <v>504</v>
      </c>
      <c r="D58" s="409" t="n">
        <f aca="false">IFERROR(SUMIFS(LEDGER_ENGINE!$V$2:$V$396,LEDGER_ENGINE!$Z$2:$Z$396,$B58)+SUMIFS(LEDGER_ENGINE!$V$485:$V$526,LEDGER_ENGINE!$Z$485:$Z$526,$B58),0)</f>
        <v>0</v>
      </c>
      <c r="E58" s="409" t="n">
        <f aca="false">IFERROR(SUMIFS(LEDGER_ENGINE!$W$2:$W$396,LEDGER_ENGINE!$Z$2:$Z$396,$B58)+SUMIFS(LEDGER_ENGINE!$W$485:$W$526,LEDGER_ENGINE!$Z$485:$Z$526,$B58),0)</f>
        <v>0</v>
      </c>
      <c r="F58" s="410" t="str">
        <f aca="false">IF(D58&gt;E58,$B$5,IF(E58&gt;D58,B58,""))</f>
        <v/>
      </c>
      <c r="G58" s="410" t="str">
        <f aca="false">IF(D58&gt;E58,B58,IF(E58&gt;D58,$B$5,""))</f>
        <v/>
      </c>
      <c r="H58" s="409" t="n">
        <f aca="false">ABS(D58-E58)</f>
        <v>0</v>
      </c>
      <c r="I58" s="411" t="str">
        <f aca="false">IF(H58=0,"Pa saldo",IF(D58&gt;E58,"Mbyllje shpenzimi","Shpenzim negativ / 603 kreditore"))</f>
        <v>Pa saldo</v>
      </c>
      <c r="J58" s="412" t="str">
        <f aca="false">IF(H58=0,"Pa saldo",IF($B$8="PO","Gati për DITAR","Në pritje"))</f>
        <v>Pa saldo</v>
      </c>
    </row>
    <row r="59" customFormat="false" ht="19.5" hidden="false" customHeight="true" outlineLevel="0" collapsed="false">
      <c r="A59" s="407" t="n">
        <v>10</v>
      </c>
      <c r="B59" s="407" t="s">
        <v>508</v>
      </c>
      <c r="C59" s="408" t="s">
        <v>509</v>
      </c>
      <c r="D59" s="409" t="n">
        <f aca="false">IFERROR(SUMIFS(LEDGER_ENGINE!$V$2:$V$396,LEDGER_ENGINE!$Z$2:$Z$396,$B59)+SUMIFS(LEDGER_ENGINE!$V$485:$V$526,LEDGER_ENGINE!$Z$485:$Z$526,$B59),0)</f>
        <v>0</v>
      </c>
      <c r="E59" s="409" t="n">
        <f aca="false">IFERROR(SUMIFS(LEDGER_ENGINE!$W$2:$W$396,LEDGER_ENGINE!$Z$2:$Z$396,$B59)+SUMIFS(LEDGER_ENGINE!$W$485:$W$526,LEDGER_ENGINE!$Z$485:$Z$526,$B59),0)</f>
        <v>0</v>
      </c>
      <c r="F59" s="410" t="str">
        <f aca="false">IF(D59&gt;E59,$B$5,IF(E59&gt;D59,B59,""))</f>
        <v/>
      </c>
      <c r="G59" s="410" t="str">
        <f aca="false">IF(D59&gt;E59,B59,IF(E59&gt;D59,$B$5,""))</f>
        <v/>
      </c>
      <c r="H59" s="409" t="n">
        <f aca="false">ABS(D59-E59)</f>
        <v>0</v>
      </c>
      <c r="I59" s="411" t="str">
        <f aca="false">IF(H59=0,"Pa saldo",IF(D59&gt;E59,"Mbyllje shpenzimi","Shpenzim negativ / 603 kreditore"))</f>
        <v>Pa saldo</v>
      </c>
      <c r="J59" s="412" t="str">
        <f aca="false">IF(H59=0,"Pa saldo",IF($B$8="PO","Gati për DITAR","Në pritje"))</f>
        <v>Pa saldo</v>
      </c>
    </row>
    <row r="60" customFormat="false" ht="19.5" hidden="false" customHeight="true" outlineLevel="0" collapsed="false">
      <c r="A60" s="407" t="n">
        <v>11</v>
      </c>
      <c r="B60" s="407" t="s">
        <v>511</v>
      </c>
      <c r="C60" s="408" t="s">
        <v>512</v>
      </c>
      <c r="D60" s="409" t="n">
        <f aca="false">IFERROR(SUMIFS(LEDGER_ENGINE!$V$2:$V$396,LEDGER_ENGINE!$Z$2:$Z$396,$B60)+SUMIFS(LEDGER_ENGINE!$V$485:$V$526,LEDGER_ENGINE!$Z$485:$Z$526,$B60),0)</f>
        <v>0</v>
      </c>
      <c r="E60" s="409" t="n">
        <f aca="false">IFERROR(SUMIFS(LEDGER_ENGINE!$W$2:$W$396,LEDGER_ENGINE!$Z$2:$Z$396,$B60)+SUMIFS(LEDGER_ENGINE!$W$485:$W$526,LEDGER_ENGINE!$Z$485:$Z$526,$B60),0)</f>
        <v>0</v>
      </c>
      <c r="F60" s="410" t="str">
        <f aca="false">IF(D60&gt;E60,$B$5,IF(E60&gt;D60,B60,""))</f>
        <v/>
      </c>
      <c r="G60" s="410" t="str">
        <f aca="false">IF(D60&gt;E60,B60,IF(E60&gt;D60,$B$5,""))</f>
        <v/>
      </c>
      <c r="H60" s="409" t="n">
        <f aca="false">ABS(D60-E60)</f>
        <v>0</v>
      </c>
      <c r="I60" s="411" t="str">
        <f aca="false">IF(H60=0,"Pa saldo",IF(D60&gt;E60,"Mbyllje shpenzimi","Shpenzim negativ / 603 kreditore"))</f>
        <v>Pa saldo</v>
      </c>
      <c r="J60" s="412" t="str">
        <f aca="false">IF(H60=0,"Pa saldo",IF($B$8="PO","Gati për DITAR","Në pritje"))</f>
        <v>Pa saldo</v>
      </c>
    </row>
    <row r="61" customFormat="false" ht="19.5" hidden="false" customHeight="true" outlineLevel="0" collapsed="false">
      <c r="A61" s="407" t="n">
        <v>12</v>
      </c>
      <c r="B61" s="407" t="s">
        <v>513</v>
      </c>
      <c r="C61" s="408" t="s">
        <v>514</v>
      </c>
      <c r="D61" s="409" t="n">
        <f aca="false">IFERROR(SUMIFS(LEDGER_ENGINE!$V$2:$V$396,LEDGER_ENGINE!$Z$2:$Z$396,$B61)+SUMIFS(LEDGER_ENGINE!$V$485:$V$526,LEDGER_ENGINE!$Z$485:$Z$526,$B61),0)</f>
        <v>0</v>
      </c>
      <c r="E61" s="409" t="n">
        <f aca="false">IFERROR(SUMIFS(LEDGER_ENGINE!$W$2:$W$396,LEDGER_ENGINE!$Z$2:$Z$396,$B61)+SUMIFS(LEDGER_ENGINE!$W$485:$W$526,LEDGER_ENGINE!$Z$485:$Z$526,$B61),0)</f>
        <v>0</v>
      </c>
      <c r="F61" s="410" t="str">
        <f aca="false">IF(D61&gt;E61,$B$5,IF(E61&gt;D61,B61,""))</f>
        <v/>
      </c>
      <c r="G61" s="410" t="str">
        <f aca="false">IF(D61&gt;E61,B61,IF(E61&gt;D61,$B$5,""))</f>
        <v/>
      </c>
      <c r="H61" s="409" t="n">
        <f aca="false">ABS(D61-E61)</f>
        <v>0</v>
      </c>
      <c r="I61" s="411" t="str">
        <f aca="false">IF(H61=0,"Pa saldo",IF(D61&gt;E61,"Mbyllje shpenzimi","Shpenzim negativ / 603 kreditore"))</f>
        <v>Pa saldo</v>
      </c>
      <c r="J61" s="412" t="str">
        <f aca="false">IF(H61=0,"Pa saldo",IF($B$8="PO","Gati për DITAR","Në pritje"))</f>
        <v>Pa saldo</v>
      </c>
    </row>
    <row r="62" customFormat="false" ht="19.5" hidden="false" customHeight="true" outlineLevel="0" collapsed="false">
      <c r="A62" s="407" t="n">
        <v>13</v>
      </c>
      <c r="B62" s="407" t="s">
        <v>515</v>
      </c>
      <c r="C62" s="408" t="s">
        <v>365</v>
      </c>
      <c r="D62" s="409" t="n">
        <f aca="false">IFERROR(SUMIFS(LEDGER_ENGINE!$V$2:$V$396,LEDGER_ENGINE!$Z$2:$Z$396,$B62)+SUMIFS(LEDGER_ENGINE!$V$485:$V$526,LEDGER_ENGINE!$Z$485:$Z$526,$B62),0)</f>
        <v>0</v>
      </c>
      <c r="E62" s="409" t="n">
        <f aca="false">IFERROR(SUMIFS(LEDGER_ENGINE!$W$2:$W$396,LEDGER_ENGINE!$Z$2:$Z$396,$B62)+SUMIFS(LEDGER_ENGINE!$W$485:$W$526,LEDGER_ENGINE!$Z$485:$Z$526,$B62),0)</f>
        <v>0</v>
      </c>
      <c r="F62" s="410" t="str">
        <f aca="false">IF(D62&gt;E62,$B$5,IF(E62&gt;D62,B62,""))</f>
        <v/>
      </c>
      <c r="G62" s="410" t="str">
        <f aca="false">IF(D62&gt;E62,B62,IF(E62&gt;D62,$B$5,""))</f>
        <v/>
      </c>
      <c r="H62" s="409" t="n">
        <f aca="false">ABS(D62-E62)</f>
        <v>0</v>
      </c>
      <c r="I62" s="411" t="str">
        <f aca="false">IF(H62=0,"Pa saldo",IF(D62&gt;E62,"Mbyllje shpenzimi","Shpenzim negativ / 603 kreditore"))</f>
        <v>Pa saldo</v>
      </c>
      <c r="J62" s="412" t="str">
        <f aca="false">IF(H62=0,"Pa saldo",IF($B$8="PO","Gati për DITAR","Në pritje"))</f>
        <v>Pa saldo</v>
      </c>
    </row>
    <row r="63" customFormat="false" ht="19.5" hidden="false" customHeight="true" outlineLevel="0" collapsed="false">
      <c r="A63" s="407" t="n">
        <v>14</v>
      </c>
      <c r="B63" s="407" t="s">
        <v>516</v>
      </c>
      <c r="C63" s="408" t="s">
        <v>517</v>
      </c>
      <c r="D63" s="409" t="n">
        <f aca="false">IFERROR(SUMIFS(LEDGER_ENGINE!$V$2:$V$396,LEDGER_ENGINE!$Z$2:$Z$396,$B63)+SUMIFS(LEDGER_ENGINE!$V$485:$V$526,LEDGER_ENGINE!$Z$485:$Z$526,$B63),0)</f>
        <v>0</v>
      </c>
      <c r="E63" s="409" t="n">
        <f aca="false">IFERROR(SUMIFS(LEDGER_ENGINE!$W$2:$W$396,LEDGER_ENGINE!$Z$2:$Z$396,$B63)+SUMIFS(LEDGER_ENGINE!$W$485:$W$526,LEDGER_ENGINE!$Z$485:$Z$526,$B63),0)</f>
        <v>0</v>
      </c>
      <c r="F63" s="410" t="str">
        <f aca="false">IF(D63&gt;E63,$B$5,IF(E63&gt;D63,B63,""))</f>
        <v/>
      </c>
      <c r="G63" s="410" t="str">
        <f aca="false">IF(D63&gt;E63,B63,IF(E63&gt;D63,$B$5,""))</f>
        <v/>
      </c>
      <c r="H63" s="409" t="n">
        <f aca="false">ABS(D63-E63)</f>
        <v>0</v>
      </c>
      <c r="I63" s="411" t="str">
        <f aca="false">IF(H63=0,"Pa saldo",IF(D63&gt;E63,"Mbyllje shpenzimi","Shpenzim negativ / 603 kreditore"))</f>
        <v>Pa saldo</v>
      </c>
      <c r="J63" s="412" t="str">
        <f aca="false">IF(H63=0,"Pa saldo",IF($B$8="PO","Gati për DITAR","Në pritje"))</f>
        <v>Pa saldo</v>
      </c>
    </row>
    <row r="64" customFormat="false" ht="19.5" hidden="false" customHeight="true" outlineLevel="0" collapsed="false">
      <c r="A64" s="407" t="n">
        <v>15</v>
      </c>
      <c r="B64" s="407" t="s">
        <v>518</v>
      </c>
      <c r="C64" s="408" t="s">
        <v>519</v>
      </c>
      <c r="D64" s="409" t="n">
        <f aca="false">IFERROR(SUMIFS(LEDGER_ENGINE!$V$2:$V$396,LEDGER_ENGINE!$Z$2:$Z$396,$B64)+SUMIFS(LEDGER_ENGINE!$V$485:$V$526,LEDGER_ENGINE!$Z$485:$Z$526,$B64),0)</f>
        <v>0</v>
      </c>
      <c r="E64" s="409" t="n">
        <f aca="false">IFERROR(SUMIFS(LEDGER_ENGINE!$W$2:$W$396,LEDGER_ENGINE!$Z$2:$Z$396,$B64)+SUMIFS(LEDGER_ENGINE!$W$485:$W$526,LEDGER_ENGINE!$Z$485:$Z$526,$B64),0)</f>
        <v>0</v>
      </c>
      <c r="F64" s="410" t="str">
        <f aca="false">IF(D64&gt;E64,$B$5,IF(E64&gt;D64,B64,""))</f>
        <v/>
      </c>
      <c r="G64" s="410" t="str">
        <f aca="false">IF(D64&gt;E64,B64,IF(E64&gt;D64,$B$5,""))</f>
        <v/>
      </c>
      <c r="H64" s="409" t="n">
        <f aca="false">ABS(D64-E64)</f>
        <v>0</v>
      </c>
      <c r="I64" s="411" t="str">
        <f aca="false">IF(H64=0,"Pa saldo",IF(D64&gt;E64,"Mbyllje shpenzimi","Shpenzim negativ / 603 kreditore"))</f>
        <v>Pa saldo</v>
      </c>
      <c r="J64" s="412" t="str">
        <f aca="false">IF(H64=0,"Pa saldo",IF($B$8="PO","Gati për DITAR","Në pritje"))</f>
        <v>Pa saldo</v>
      </c>
    </row>
    <row r="65" customFormat="false" ht="19.5" hidden="false" customHeight="true" outlineLevel="0" collapsed="false">
      <c r="A65" s="407" t="n">
        <v>16</v>
      </c>
      <c r="B65" s="407" t="s">
        <v>522</v>
      </c>
      <c r="C65" s="408" t="s">
        <v>523</v>
      </c>
      <c r="D65" s="409" t="n">
        <f aca="false">IFERROR(SUMIFS(LEDGER_ENGINE!$V$2:$V$396,LEDGER_ENGINE!$Z$2:$Z$396,$B65)+SUMIFS(LEDGER_ENGINE!$V$485:$V$526,LEDGER_ENGINE!$Z$485:$Z$526,$B65),0)</f>
        <v>0</v>
      </c>
      <c r="E65" s="409" t="n">
        <f aca="false">IFERROR(SUMIFS(LEDGER_ENGINE!$W$2:$W$396,LEDGER_ENGINE!$Z$2:$Z$396,$B65)+SUMIFS(LEDGER_ENGINE!$W$485:$W$526,LEDGER_ENGINE!$Z$485:$Z$526,$B65),0)</f>
        <v>0</v>
      </c>
      <c r="F65" s="410" t="str">
        <f aca="false">IF(D65&gt;E65,$B$5,IF(E65&gt;D65,B65,""))</f>
        <v/>
      </c>
      <c r="G65" s="410" t="str">
        <f aca="false">IF(D65&gt;E65,B65,IF(E65&gt;D65,$B$5,""))</f>
        <v/>
      </c>
      <c r="H65" s="409" t="n">
        <f aca="false">ABS(D65-E65)</f>
        <v>0</v>
      </c>
      <c r="I65" s="411" t="str">
        <f aca="false">IF(H65=0,"Pa saldo",IF(D65&gt;E65,"Mbyllje shpenzimi","Shpenzim negativ / 603 kreditore"))</f>
        <v>Pa saldo</v>
      </c>
      <c r="J65" s="412" t="str">
        <f aca="false">IF(H65=0,"Pa saldo",IF($B$8="PO","Gati për DITAR","Në pritje"))</f>
        <v>Pa saldo</v>
      </c>
    </row>
    <row r="66" customFormat="false" ht="19.5" hidden="false" customHeight="true" outlineLevel="0" collapsed="false">
      <c r="A66" s="407" t="n">
        <v>17</v>
      </c>
      <c r="B66" s="407" t="s">
        <v>524</v>
      </c>
      <c r="C66" s="408" t="s">
        <v>525</v>
      </c>
      <c r="D66" s="409" t="n">
        <f aca="false">IFERROR(SUMIFS(LEDGER_ENGINE!$V$2:$V$396,LEDGER_ENGINE!$Z$2:$Z$396,$B66)+SUMIFS(LEDGER_ENGINE!$V$485:$V$526,LEDGER_ENGINE!$Z$485:$Z$526,$B66),0)</f>
        <v>0</v>
      </c>
      <c r="E66" s="409" t="n">
        <f aca="false">IFERROR(SUMIFS(LEDGER_ENGINE!$W$2:$W$396,LEDGER_ENGINE!$Z$2:$Z$396,$B66)+SUMIFS(LEDGER_ENGINE!$W$485:$W$526,LEDGER_ENGINE!$Z$485:$Z$526,$B66),0)</f>
        <v>0</v>
      </c>
      <c r="F66" s="410" t="str">
        <f aca="false">IF(D66&gt;E66,$B$5,IF(E66&gt;D66,B66,""))</f>
        <v/>
      </c>
      <c r="G66" s="410" t="str">
        <f aca="false">IF(D66&gt;E66,B66,IF(E66&gt;D66,$B$5,""))</f>
        <v/>
      </c>
      <c r="H66" s="409" t="n">
        <f aca="false">ABS(D66-E66)</f>
        <v>0</v>
      </c>
      <c r="I66" s="411" t="str">
        <f aca="false">IF(H66=0,"Pa saldo",IF(D66&gt;E66,"Mbyllje shpenzimi","Shpenzim negativ / 603 kreditore"))</f>
        <v>Pa saldo</v>
      </c>
      <c r="J66" s="412" t="str">
        <f aca="false">IF(H66=0,"Pa saldo",IF($B$8="PO","Gati për DITAR","Në pritje"))</f>
        <v>Pa saldo</v>
      </c>
    </row>
    <row r="67" customFormat="false" ht="19.5" hidden="false" customHeight="true" outlineLevel="0" collapsed="false">
      <c r="A67" s="407" t="n">
        <v>18</v>
      </c>
      <c r="B67" s="407" t="s">
        <v>526</v>
      </c>
      <c r="C67" s="408" t="s">
        <v>527</v>
      </c>
      <c r="D67" s="409" t="n">
        <f aca="false">IFERROR(SUMIFS(LEDGER_ENGINE!$V$2:$V$396,LEDGER_ENGINE!$Z$2:$Z$396,$B67)+SUMIFS(LEDGER_ENGINE!$V$485:$V$526,LEDGER_ENGINE!$Z$485:$Z$526,$B67),0)</f>
        <v>0</v>
      </c>
      <c r="E67" s="409" t="n">
        <f aca="false">IFERROR(SUMIFS(LEDGER_ENGINE!$W$2:$W$396,LEDGER_ENGINE!$Z$2:$Z$396,$B67)+SUMIFS(LEDGER_ENGINE!$W$485:$W$526,LEDGER_ENGINE!$Z$485:$Z$526,$B67),0)</f>
        <v>0</v>
      </c>
      <c r="F67" s="410" t="str">
        <f aca="false">IF(D67&gt;E67,$B$5,IF(E67&gt;D67,B67,""))</f>
        <v/>
      </c>
      <c r="G67" s="410" t="str">
        <f aca="false">IF(D67&gt;E67,B67,IF(E67&gt;D67,$B$5,""))</f>
        <v/>
      </c>
      <c r="H67" s="409" t="n">
        <f aca="false">ABS(D67-E67)</f>
        <v>0</v>
      </c>
      <c r="I67" s="411" t="str">
        <f aca="false">IF(H67=0,"Pa saldo",IF(D67&gt;E67,"Mbyllje shpenzimi","Shpenzim negativ / 603 kreditore"))</f>
        <v>Pa saldo</v>
      </c>
      <c r="J67" s="412" t="str">
        <f aca="false">IF(H67=0,"Pa saldo",IF($B$8="PO","Gati për DITAR","Në pritje"))</f>
        <v>Pa saldo</v>
      </c>
    </row>
    <row r="68" customFormat="false" ht="19.5" hidden="false" customHeight="true" outlineLevel="0" collapsed="false">
      <c r="A68" s="407" t="n">
        <v>19</v>
      </c>
      <c r="B68" s="407" t="s">
        <v>528</v>
      </c>
      <c r="C68" s="408" t="s">
        <v>529</v>
      </c>
      <c r="D68" s="409" t="n">
        <f aca="false">IFERROR(SUMIFS(LEDGER_ENGINE!$V$2:$V$396,LEDGER_ENGINE!$Z$2:$Z$396,$B68)+SUMIFS(LEDGER_ENGINE!$V$485:$V$526,LEDGER_ENGINE!$Z$485:$Z$526,$B68),0)</f>
        <v>0</v>
      </c>
      <c r="E68" s="409" t="n">
        <f aca="false">IFERROR(SUMIFS(LEDGER_ENGINE!$W$2:$W$396,LEDGER_ENGINE!$Z$2:$Z$396,$B68)+SUMIFS(LEDGER_ENGINE!$W$485:$W$526,LEDGER_ENGINE!$Z$485:$Z$526,$B68),0)</f>
        <v>0</v>
      </c>
      <c r="F68" s="410" t="str">
        <f aca="false">IF(D68&gt;E68,$B$5,IF(E68&gt;D68,B68,""))</f>
        <v/>
      </c>
      <c r="G68" s="410" t="str">
        <f aca="false">IF(D68&gt;E68,B68,IF(E68&gt;D68,$B$5,""))</f>
        <v/>
      </c>
      <c r="H68" s="409" t="n">
        <f aca="false">ABS(D68-E68)</f>
        <v>0</v>
      </c>
      <c r="I68" s="411" t="str">
        <f aca="false">IF(H68=0,"Pa saldo",IF(D68&gt;E68,"Mbyllje shpenzimi","Shpenzim negativ / 603 kreditore"))</f>
        <v>Pa saldo</v>
      </c>
      <c r="J68" s="412" t="str">
        <f aca="false">IF(H68=0,"Pa saldo",IF($B$8="PO","Gati për DITAR","Në pritje"))</f>
        <v>Pa saldo</v>
      </c>
    </row>
    <row r="69" customFormat="false" ht="19.5" hidden="false" customHeight="true" outlineLevel="0" collapsed="false">
      <c r="A69" s="407" t="n">
        <v>20</v>
      </c>
      <c r="B69" s="407" t="s">
        <v>530</v>
      </c>
      <c r="C69" s="408" t="s">
        <v>531</v>
      </c>
      <c r="D69" s="409" t="n">
        <f aca="false">IFERROR(SUMIFS(LEDGER_ENGINE!$V$2:$V$396,LEDGER_ENGINE!$Z$2:$Z$396,$B69)+SUMIFS(LEDGER_ENGINE!$V$485:$V$526,LEDGER_ENGINE!$Z$485:$Z$526,$B69),0)</f>
        <v>0</v>
      </c>
      <c r="E69" s="409" t="n">
        <f aca="false">IFERROR(SUMIFS(LEDGER_ENGINE!$W$2:$W$396,LEDGER_ENGINE!$Z$2:$Z$396,$B69)+SUMIFS(LEDGER_ENGINE!$W$485:$W$526,LEDGER_ENGINE!$Z$485:$Z$526,$B69),0)</f>
        <v>0</v>
      </c>
      <c r="F69" s="410" t="str">
        <f aca="false">IF(D69&gt;E69,$B$5,IF(E69&gt;D69,B69,""))</f>
        <v/>
      </c>
      <c r="G69" s="410" t="str">
        <f aca="false">IF(D69&gt;E69,B69,IF(E69&gt;D69,$B$5,""))</f>
        <v/>
      </c>
      <c r="H69" s="409" t="n">
        <f aca="false">ABS(D69-E69)</f>
        <v>0</v>
      </c>
      <c r="I69" s="411" t="str">
        <f aca="false">IF(H69=0,"Pa saldo",IF(D69&gt;E69,"Mbyllje shpenzimi","Shpenzim negativ / 603 kreditore"))</f>
        <v>Pa saldo</v>
      </c>
      <c r="J69" s="412" t="str">
        <f aca="false">IF(H69=0,"Pa saldo",IF($B$8="PO","Gati për DITAR","Në pritje"))</f>
        <v>Pa saldo</v>
      </c>
    </row>
    <row r="70" customFormat="false" ht="19.5" hidden="false" customHeight="true" outlineLevel="0" collapsed="false">
      <c r="A70" s="407" t="n">
        <v>21</v>
      </c>
      <c r="B70" s="407" t="s">
        <v>532</v>
      </c>
      <c r="C70" s="408" t="s">
        <v>533</v>
      </c>
      <c r="D70" s="409" t="n">
        <f aca="false">IFERROR(SUMIFS(LEDGER_ENGINE!$V$2:$V$396,LEDGER_ENGINE!$Z$2:$Z$396,$B70)+SUMIFS(LEDGER_ENGINE!$V$485:$V$526,LEDGER_ENGINE!$Z$485:$Z$526,$B70),0)</f>
        <v>0</v>
      </c>
      <c r="E70" s="409" t="n">
        <f aca="false">IFERROR(SUMIFS(LEDGER_ENGINE!$W$2:$W$396,LEDGER_ENGINE!$Z$2:$Z$396,$B70)+SUMIFS(LEDGER_ENGINE!$W$485:$W$526,LEDGER_ENGINE!$Z$485:$Z$526,$B70),0)</f>
        <v>0</v>
      </c>
      <c r="F70" s="410" t="str">
        <f aca="false">IF(D70&gt;E70,$B$5,IF(E70&gt;D70,B70,""))</f>
        <v/>
      </c>
      <c r="G70" s="410" t="str">
        <f aca="false">IF(D70&gt;E70,B70,IF(E70&gt;D70,$B$5,""))</f>
        <v/>
      </c>
      <c r="H70" s="409" t="n">
        <f aca="false">ABS(D70-E70)</f>
        <v>0</v>
      </c>
      <c r="I70" s="411" t="str">
        <f aca="false">IF(H70=0,"Pa saldo",IF(D70&gt;E70,"Mbyllje shpenzimi","Shpenzim negativ / 603 kreditore"))</f>
        <v>Pa saldo</v>
      </c>
      <c r="J70" s="412" t="str">
        <f aca="false">IF(H70=0,"Pa saldo",IF($B$8="PO","Gati për DITAR","Në pritje"))</f>
        <v>Pa saldo</v>
      </c>
    </row>
    <row r="71" customFormat="false" ht="19.5" hidden="false" customHeight="true" outlineLevel="0" collapsed="false">
      <c r="A71" s="407" t="n">
        <v>22</v>
      </c>
      <c r="B71" s="407" t="s">
        <v>534</v>
      </c>
      <c r="C71" s="408" t="s">
        <v>535</v>
      </c>
      <c r="D71" s="409" t="n">
        <f aca="false">IFERROR(SUMIFS(LEDGER_ENGINE!$V$2:$V$396,LEDGER_ENGINE!$Z$2:$Z$396,$B71)+SUMIFS(LEDGER_ENGINE!$V$485:$V$526,LEDGER_ENGINE!$Z$485:$Z$526,$B71),0)</f>
        <v>0</v>
      </c>
      <c r="E71" s="409" t="n">
        <f aca="false">IFERROR(SUMIFS(LEDGER_ENGINE!$W$2:$W$396,LEDGER_ENGINE!$Z$2:$Z$396,$B71)+SUMIFS(LEDGER_ENGINE!$W$485:$W$526,LEDGER_ENGINE!$Z$485:$Z$526,$B71),0)</f>
        <v>0</v>
      </c>
      <c r="F71" s="410" t="str">
        <f aca="false">IF(D71&gt;E71,$B$5,IF(E71&gt;D71,B71,""))</f>
        <v/>
      </c>
      <c r="G71" s="410" t="str">
        <f aca="false">IF(D71&gt;E71,B71,IF(E71&gt;D71,$B$5,""))</f>
        <v/>
      </c>
      <c r="H71" s="409" t="n">
        <f aca="false">ABS(D71-E71)</f>
        <v>0</v>
      </c>
      <c r="I71" s="411" t="str">
        <f aca="false">IF(H71=0,"Pa saldo",IF(D71&gt;E71,"Mbyllje shpenzimi","Shpenzim negativ / 603 kreditore"))</f>
        <v>Pa saldo</v>
      </c>
      <c r="J71" s="412" t="str">
        <f aca="false">IF(H71=0,"Pa saldo",IF($B$8="PO","Gati për DITAR","Në pritje"))</f>
        <v>Pa saldo</v>
      </c>
    </row>
    <row r="72" customFormat="false" ht="19.5" hidden="false" customHeight="true" outlineLevel="0" collapsed="false">
      <c r="A72" s="407" t="n">
        <v>23</v>
      </c>
      <c r="B72" s="407" t="s">
        <v>536</v>
      </c>
      <c r="C72" s="408" t="s">
        <v>537</v>
      </c>
      <c r="D72" s="409" t="n">
        <f aca="false">IFERROR(SUMIFS(LEDGER_ENGINE!$V$2:$V$396,LEDGER_ENGINE!$Z$2:$Z$396,$B72)+SUMIFS(LEDGER_ENGINE!$V$485:$V$526,LEDGER_ENGINE!$Z$485:$Z$526,$B72),0)</f>
        <v>0</v>
      </c>
      <c r="E72" s="409" t="n">
        <f aca="false">IFERROR(SUMIFS(LEDGER_ENGINE!$W$2:$W$396,LEDGER_ENGINE!$Z$2:$Z$396,$B72)+SUMIFS(LEDGER_ENGINE!$W$485:$W$526,LEDGER_ENGINE!$Z$485:$Z$526,$B72),0)</f>
        <v>0</v>
      </c>
      <c r="F72" s="410" t="str">
        <f aca="false">IF(D72&gt;E72,$B$5,IF(E72&gt;D72,B72,""))</f>
        <v/>
      </c>
      <c r="G72" s="410" t="str">
        <f aca="false">IF(D72&gt;E72,B72,IF(E72&gt;D72,$B$5,""))</f>
        <v/>
      </c>
      <c r="H72" s="409" t="n">
        <f aca="false">ABS(D72-E72)</f>
        <v>0</v>
      </c>
      <c r="I72" s="411" t="str">
        <f aca="false">IF(H72=0,"Pa saldo",IF(D72&gt;E72,"Mbyllje shpenzimi","Shpenzim negativ / 603 kreditore"))</f>
        <v>Pa saldo</v>
      </c>
      <c r="J72" s="412" t="str">
        <f aca="false">IF(H72=0,"Pa saldo",IF($B$8="PO","Gati për DITAR","Në pritje"))</f>
        <v>Pa saldo</v>
      </c>
    </row>
    <row r="73" customFormat="false" ht="19.5" hidden="false" customHeight="true" outlineLevel="0" collapsed="false">
      <c r="A73" s="407" t="n">
        <v>24</v>
      </c>
      <c r="B73" s="407" t="s">
        <v>538</v>
      </c>
      <c r="C73" s="408" t="s">
        <v>539</v>
      </c>
      <c r="D73" s="409" t="n">
        <f aca="false">IFERROR(SUMIFS(LEDGER_ENGINE!$V$2:$V$396,LEDGER_ENGINE!$Z$2:$Z$396,$B73)+SUMIFS(LEDGER_ENGINE!$V$485:$V$526,LEDGER_ENGINE!$Z$485:$Z$526,$B73),0)</f>
        <v>0</v>
      </c>
      <c r="E73" s="409" t="n">
        <f aca="false">IFERROR(SUMIFS(LEDGER_ENGINE!$W$2:$W$396,LEDGER_ENGINE!$Z$2:$Z$396,$B73)+SUMIFS(LEDGER_ENGINE!$W$485:$W$526,LEDGER_ENGINE!$Z$485:$Z$526,$B73),0)</f>
        <v>0</v>
      </c>
      <c r="F73" s="410" t="str">
        <f aca="false">IF(D73&gt;E73,$B$5,IF(E73&gt;D73,B73,""))</f>
        <v/>
      </c>
      <c r="G73" s="410" t="str">
        <f aca="false">IF(D73&gt;E73,B73,IF(E73&gt;D73,$B$5,""))</f>
        <v/>
      </c>
      <c r="H73" s="409" t="n">
        <f aca="false">ABS(D73-E73)</f>
        <v>0</v>
      </c>
      <c r="I73" s="411" t="str">
        <f aca="false">IF(H73=0,"Pa saldo",IF(D73&gt;E73,"Mbyllje shpenzimi","Shpenzim negativ / 603 kreditore"))</f>
        <v>Pa saldo</v>
      </c>
      <c r="J73" s="412" t="str">
        <f aca="false">IF(H73=0,"Pa saldo",IF($B$8="PO","Gati për DITAR","Në pritje"))</f>
        <v>Pa saldo</v>
      </c>
    </row>
    <row r="74" customFormat="false" ht="19.5" hidden="false" customHeight="true" outlineLevel="0" collapsed="false">
      <c r="A74" s="407" t="n">
        <v>25</v>
      </c>
      <c r="B74" s="407" t="s">
        <v>540</v>
      </c>
      <c r="C74" s="408" t="s">
        <v>541</v>
      </c>
      <c r="D74" s="409" t="n">
        <f aca="false">IFERROR(SUMIFS(LEDGER_ENGINE!$V$2:$V$396,LEDGER_ENGINE!$Z$2:$Z$396,$B74)+SUMIFS(LEDGER_ENGINE!$V$485:$V$526,LEDGER_ENGINE!$Z$485:$Z$526,$B74),0)</f>
        <v>0</v>
      </c>
      <c r="E74" s="409" t="n">
        <f aca="false">IFERROR(SUMIFS(LEDGER_ENGINE!$W$2:$W$396,LEDGER_ENGINE!$Z$2:$Z$396,$B74)+SUMIFS(LEDGER_ENGINE!$W$485:$W$526,LEDGER_ENGINE!$Z$485:$Z$526,$B74),0)</f>
        <v>0</v>
      </c>
      <c r="F74" s="410" t="str">
        <f aca="false">IF(D74&gt;E74,$B$5,IF(E74&gt;D74,B74,""))</f>
        <v/>
      </c>
      <c r="G74" s="410" t="str">
        <f aca="false">IF(D74&gt;E74,B74,IF(E74&gt;D74,$B$5,""))</f>
        <v/>
      </c>
      <c r="H74" s="409" t="n">
        <f aca="false">ABS(D74-E74)</f>
        <v>0</v>
      </c>
      <c r="I74" s="411" t="str">
        <f aca="false">IF(H74=0,"Pa saldo",IF(D74&gt;E74,"Mbyllje shpenzimi","Shpenzim negativ / 603 kreditore"))</f>
        <v>Pa saldo</v>
      </c>
      <c r="J74" s="412" t="str">
        <f aca="false">IF(H74=0,"Pa saldo",IF($B$8="PO","Gati për DITAR","Në pritje"))</f>
        <v>Pa saldo</v>
      </c>
    </row>
    <row r="75" customFormat="false" ht="19.5" hidden="false" customHeight="true" outlineLevel="0" collapsed="false">
      <c r="A75" s="407" t="n">
        <v>26</v>
      </c>
      <c r="B75" s="407" t="s">
        <v>544</v>
      </c>
      <c r="C75" s="408" t="s">
        <v>545</v>
      </c>
      <c r="D75" s="409" t="n">
        <f aca="false">IFERROR(SUMIFS(LEDGER_ENGINE!$V$2:$V$396,LEDGER_ENGINE!$Z$2:$Z$396,$B75)+SUMIFS(LEDGER_ENGINE!$V$485:$V$526,LEDGER_ENGINE!$Z$485:$Z$526,$B75),0)</f>
        <v>0</v>
      </c>
      <c r="E75" s="409" t="n">
        <f aca="false">IFERROR(SUMIFS(LEDGER_ENGINE!$W$2:$W$396,LEDGER_ENGINE!$Z$2:$Z$396,$B75)+SUMIFS(LEDGER_ENGINE!$W$485:$W$526,LEDGER_ENGINE!$Z$485:$Z$526,$B75),0)</f>
        <v>0</v>
      </c>
      <c r="F75" s="410" t="str">
        <f aca="false">IF(D75&gt;E75,$B$5,IF(E75&gt;D75,B75,""))</f>
        <v/>
      </c>
      <c r="G75" s="410" t="str">
        <f aca="false">IF(D75&gt;E75,B75,IF(E75&gt;D75,$B$5,""))</f>
        <v/>
      </c>
      <c r="H75" s="409" t="n">
        <f aca="false">ABS(D75-E75)</f>
        <v>0</v>
      </c>
      <c r="I75" s="411" t="str">
        <f aca="false">IF(H75=0,"Pa saldo",IF(D75&gt;E75,"Mbyllje shpenzimi","Shpenzim negativ / 603 kreditore"))</f>
        <v>Pa saldo</v>
      </c>
      <c r="J75" s="412" t="str">
        <f aca="false">IF(H75=0,"Pa saldo",IF($B$8="PO","Gati për DITAR","Në pritje"))</f>
        <v>Pa saldo</v>
      </c>
    </row>
    <row r="76" customFormat="false" ht="19.5" hidden="false" customHeight="true" outlineLevel="0" collapsed="false">
      <c r="A76" s="407" t="n">
        <v>27</v>
      </c>
      <c r="B76" s="407" t="s">
        <v>546</v>
      </c>
      <c r="C76" s="408" t="s">
        <v>547</v>
      </c>
      <c r="D76" s="409" t="n">
        <f aca="false">IFERROR(SUMIFS(LEDGER_ENGINE!$V$2:$V$396,LEDGER_ENGINE!$Z$2:$Z$396,$B76)+SUMIFS(LEDGER_ENGINE!$V$485:$V$526,LEDGER_ENGINE!$Z$485:$Z$526,$B76),0)</f>
        <v>0</v>
      </c>
      <c r="E76" s="409" t="n">
        <f aca="false">IFERROR(SUMIFS(LEDGER_ENGINE!$W$2:$W$396,LEDGER_ENGINE!$Z$2:$Z$396,$B76)+SUMIFS(LEDGER_ENGINE!$W$485:$W$526,LEDGER_ENGINE!$Z$485:$Z$526,$B76),0)</f>
        <v>0</v>
      </c>
      <c r="F76" s="410" t="str">
        <f aca="false">IF(D76&gt;E76,$B$5,IF(E76&gt;D76,B76,""))</f>
        <v/>
      </c>
      <c r="G76" s="410" t="str">
        <f aca="false">IF(D76&gt;E76,B76,IF(E76&gt;D76,$B$5,""))</f>
        <v/>
      </c>
      <c r="H76" s="409" t="n">
        <f aca="false">ABS(D76-E76)</f>
        <v>0</v>
      </c>
      <c r="I76" s="411" t="str">
        <f aca="false">IF(H76=0,"Pa saldo",IF(D76&gt;E76,"Mbyllje shpenzimi","Shpenzim negativ / 603 kreditore"))</f>
        <v>Pa saldo</v>
      </c>
      <c r="J76" s="412" t="str">
        <f aca="false">IF(H76=0,"Pa saldo",IF($B$8="PO","Gati për DITAR","Në pritje"))</f>
        <v>Pa saldo</v>
      </c>
    </row>
    <row r="77" customFormat="false" ht="19.5" hidden="false" customHeight="true" outlineLevel="0" collapsed="false">
      <c r="A77" s="407" t="n">
        <v>28</v>
      </c>
      <c r="B77" s="407" t="s">
        <v>548</v>
      </c>
      <c r="C77" s="408" t="s">
        <v>374</v>
      </c>
      <c r="D77" s="409" t="n">
        <f aca="false">IFERROR(SUMIFS(LEDGER_ENGINE!$V$2:$V$396,LEDGER_ENGINE!$Z$2:$Z$396,$B77)+SUMIFS(LEDGER_ENGINE!$V$485:$V$526,LEDGER_ENGINE!$Z$485:$Z$526,$B77),0)</f>
        <v>0</v>
      </c>
      <c r="E77" s="409" t="n">
        <f aca="false">IFERROR(SUMIFS(LEDGER_ENGINE!$W$2:$W$396,LEDGER_ENGINE!$Z$2:$Z$396,$B77)+SUMIFS(LEDGER_ENGINE!$W$485:$W$526,LEDGER_ENGINE!$Z$485:$Z$526,$B77),0)</f>
        <v>0</v>
      </c>
      <c r="F77" s="410" t="str">
        <f aca="false">IF(D77&gt;E77,$B$5,IF(E77&gt;D77,B77,""))</f>
        <v/>
      </c>
      <c r="G77" s="410" t="str">
        <f aca="false">IF(D77&gt;E77,B77,IF(E77&gt;D77,$B$5,""))</f>
        <v/>
      </c>
      <c r="H77" s="409" t="n">
        <f aca="false">ABS(D77-E77)</f>
        <v>0</v>
      </c>
      <c r="I77" s="411" t="str">
        <f aca="false">IF(H77=0,"Pa saldo",IF(D77&gt;E77,"Mbyllje shpenzimi","Shpenzim negativ / 603 kreditore"))</f>
        <v>Pa saldo</v>
      </c>
      <c r="J77" s="412" t="str">
        <f aca="false">IF(H77=0,"Pa saldo",IF($B$8="PO","Gati për DITAR","Në pritje"))</f>
        <v>Pa saldo</v>
      </c>
    </row>
    <row r="78" customFormat="false" ht="19.5" hidden="false" customHeight="true" outlineLevel="0" collapsed="false">
      <c r="A78" s="407" t="n">
        <v>29</v>
      </c>
      <c r="B78" s="407" t="s">
        <v>549</v>
      </c>
      <c r="C78" s="408" t="s">
        <v>550</v>
      </c>
      <c r="D78" s="409" t="n">
        <f aca="false">IFERROR(SUMIFS(LEDGER_ENGINE!$V$2:$V$396,LEDGER_ENGINE!$Z$2:$Z$396,$B78)+SUMIFS(LEDGER_ENGINE!$V$485:$V$526,LEDGER_ENGINE!$Z$485:$Z$526,$B78),0)</f>
        <v>0</v>
      </c>
      <c r="E78" s="409" t="n">
        <f aca="false">IFERROR(SUMIFS(LEDGER_ENGINE!$W$2:$W$396,LEDGER_ENGINE!$Z$2:$Z$396,$B78)+SUMIFS(LEDGER_ENGINE!$W$485:$W$526,LEDGER_ENGINE!$Z$485:$Z$526,$B78),0)</f>
        <v>0</v>
      </c>
      <c r="F78" s="410" t="str">
        <f aca="false">IF(D78&gt;E78,$B$5,IF(E78&gt;D78,B78,""))</f>
        <v/>
      </c>
      <c r="G78" s="410" t="str">
        <f aca="false">IF(D78&gt;E78,B78,IF(E78&gt;D78,$B$5,""))</f>
        <v/>
      </c>
      <c r="H78" s="409" t="n">
        <f aca="false">ABS(D78-E78)</f>
        <v>0</v>
      </c>
      <c r="I78" s="411" t="str">
        <f aca="false">IF(H78=0,"Pa saldo",IF(D78&gt;E78,"Mbyllje shpenzimi","Shpenzim negativ / 603 kreditore"))</f>
        <v>Pa saldo</v>
      </c>
      <c r="J78" s="412" t="str">
        <f aca="false">IF(H78=0,"Pa saldo",IF($B$8="PO","Gati për DITAR","Në pritje"))</f>
        <v>Pa saldo</v>
      </c>
    </row>
    <row r="79" customFormat="false" ht="19.5" hidden="false" customHeight="true" outlineLevel="0" collapsed="false">
      <c r="A79" s="407" t="n">
        <v>30</v>
      </c>
      <c r="B79" s="407" t="s">
        <v>551</v>
      </c>
      <c r="C79" s="408" t="s">
        <v>552</v>
      </c>
      <c r="D79" s="409" t="n">
        <f aca="false">IFERROR(SUMIFS(LEDGER_ENGINE!$V$2:$V$396,LEDGER_ENGINE!$Z$2:$Z$396,$B79)+SUMIFS(LEDGER_ENGINE!$V$485:$V$526,LEDGER_ENGINE!$Z$485:$Z$526,$B79),0)</f>
        <v>0</v>
      </c>
      <c r="E79" s="409" t="n">
        <f aca="false">IFERROR(SUMIFS(LEDGER_ENGINE!$W$2:$W$396,LEDGER_ENGINE!$Z$2:$Z$396,$B79)+SUMIFS(LEDGER_ENGINE!$W$485:$W$526,LEDGER_ENGINE!$Z$485:$Z$526,$B79),0)</f>
        <v>0</v>
      </c>
      <c r="F79" s="410" t="str">
        <f aca="false">IF(D79&gt;E79,$B$5,IF(E79&gt;D79,B79,""))</f>
        <v/>
      </c>
      <c r="G79" s="410" t="str">
        <f aca="false">IF(D79&gt;E79,B79,IF(E79&gt;D79,$B$5,""))</f>
        <v/>
      </c>
      <c r="H79" s="409" t="n">
        <f aca="false">ABS(D79-E79)</f>
        <v>0</v>
      </c>
      <c r="I79" s="411" t="str">
        <f aca="false">IF(H79=0,"Pa saldo",IF(D79&gt;E79,"Mbyllje shpenzimi","Shpenzim negativ / 603 kreditore"))</f>
        <v>Pa saldo</v>
      </c>
      <c r="J79" s="412" t="str">
        <f aca="false">IF(H79=0,"Pa saldo",IF($B$8="PO","Gati për DITAR","Në pritje"))</f>
        <v>Pa saldo</v>
      </c>
    </row>
    <row r="80" customFormat="false" ht="19.5" hidden="false" customHeight="true" outlineLevel="0" collapsed="false">
      <c r="A80" s="407" t="n">
        <v>31</v>
      </c>
      <c r="B80" s="407" t="s">
        <v>555</v>
      </c>
      <c r="C80" s="408" t="s">
        <v>556</v>
      </c>
      <c r="D80" s="409" t="n">
        <f aca="false">IFERROR(SUMIFS(LEDGER_ENGINE!$V$2:$V$396,LEDGER_ENGINE!$Z$2:$Z$396,$B80)+SUMIFS(LEDGER_ENGINE!$V$485:$V$526,LEDGER_ENGINE!$Z$485:$Z$526,$B80),0)</f>
        <v>0</v>
      </c>
      <c r="E80" s="409" t="n">
        <f aca="false">IFERROR(SUMIFS(LEDGER_ENGINE!$W$2:$W$396,LEDGER_ENGINE!$Z$2:$Z$396,$B80)+SUMIFS(LEDGER_ENGINE!$W$485:$W$526,LEDGER_ENGINE!$Z$485:$Z$526,$B80),0)</f>
        <v>0</v>
      </c>
      <c r="F80" s="410" t="str">
        <f aca="false">IF(D80&gt;E80,$B$5,IF(E80&gt;D80,B80,""))</f>
        <v/>
      </c>
      <c r="G80" s="410" t="str">
        <f aca="false">IF(D80&gt;E80,B80,IF(E80&gt;D80,$B$5,""))</f>
        <v/>
      </c>
      <c r="H80" s="409" t="n">
        <f aca="false">ABS(D80-E80)</f>
        <v>0</v>
      </c>
      <c r="I80" s="411" t="str">
        <f aca="false">IF(H80=0,"Pa saldo",IF(D80&gt;E80,"Mbyllje shpenzimi","Shpenzim negativ / 603 kreditore"))</f>
        <v>Pa saldo</v>
      </c>
      <c r="J80" s="412" t="str">
        <f aca="false">IF(H80=0,"Pa saldo",IF($B$8="PO","Gati për DITAR","Në pritje"))</f>
        <v>Pa saldo</v>
      </c>
    </row>
    <row r="81" customFormat="false" ht="19.5" hidden="false" customHeight="true" outlineLevel="0" collapsed="false">
      <c r="A81" s="407" t="n">
        <v>32</v>
      </c>
      <c r="B81" s="407" t="s">
        <v>558</v>
      </c>
      <c r="C81" s="408" t="s">
        <v>559</v>
      </c>
      <c r="D81" s="409" t="n">
        <f aca="false">IFERROR(SUMIFS(LEDGER_ENGINE!$V$2:$V$396,LEDGER_ENGINE!$Z$2:$Z$396,$B81)+SUMIFS(LEDGER_ENGINE!$V$485:$V$526,LEDGER_ENGINE!$Z$485:$Z$526,$B81),0)</f>
        <v>0</v>
      </c>
      <c r="E81" s="409" t="n">
        <f aca="false">IFERROR(SUMIFS(LEDGER_ENGINE!$W$2:$W$396,LEDGER_ENGINE!$Z$2:$Z$396,$B81)+SUMIFS(LEDGER_ENGINE!$W$485:$W$526,LEDGER_ENGINE!$Z$485:$Z$526,$B81),0)</f>
        <v>0</v>
      </c>
      <c r="F81" s="410" t="str">
        <f aca="false">IF(D81&gt;E81,$B$5,IF(E81&gt;D81,B81,""))</f>
        <v/>
      </c>
      <c r="G81" s="410" t="str">
        <f aca="false">IF(D81&gt;E81,B81,IF(E81&gt;D81,$B$5,""))</f>
        <v/>
      </c>
      <c r="H81" s="409" t="n">
        <f aca="false">ABS(D81-E81)</f>
        <v>0</v>
      </c>
      <c r="I81" s="411" t="str">
        <f aca="false">IF(H81=0,"Pa saldo",IF(D81&gt;E81,"Mbyllje shpenzimi","Shpenzim negativ / 603 kreditore"))</f>
        <v>Pa saldo</v>
      </c>
      <c r="J81" s="412" t="str">
        <f aca="false">IF(H81=0,"Pa saldo",IF($B$8="PO","Gati për DITAR","Në pritje"))</f>
        <v>Pa saldo</v>
      </c>
    </row>
    <row r="82" customFormat="false" ht="19.5" hidden="false" customHeight="true" outlineLevel="0" collapsed="false">
      <c r="A82" s="407" t="n">
        <v>33</v>
      </c>
      <c r="B82" s="407" t="s">
        <v>560</v>
      </c>
      <c r="C82" s="408" t="s">
        <v>561</v>
      </c>
      <c r="D82" s="409" t="n">
        <f aca="false">IFERROR(SUMIFS(LEDGER_ENGINE!$V$2:$V$396,LEDGER_ENGINE!$Z$2:$Z$396,$B82)+SUMIFS(LEDGER_ENGINE!$V$485:$V$526,LEDGER_ENGINE!$Z$485:$Z$526,$B82),0)</f>
        <v>0</v>
      </c>
      <c r="E82" s="409" t="n">
        <f aca="false">IFERROR(SUMIFS(LEDGER_ENGINE!$W$2:$W$396,LEDGER_ENGINE!$Z$2:$Z$396,$B82)+SUMIFS(LEDGER_ENGINE!$W$485:$W$526,LEDGER_ENGINE!$Z$485:$Z$526,$B82),0)</f>
        <v>0</v>
      </c>
      <c r="F82" s="410" t="str">
        <f aca="false">IF(D82&gt;E82,$B$5,IF(E82&gt;D82,B82,""))</f>
        <v/>
      </c>
      <c r="G82" s="410" t="str">
        <f aca="false">IF(D82&gt;E82,B82,IF(E82&gt;D82,$B$5,""))</f>
        <v/>
      </c>
      <c r="H82" s="409" t="n">
        <f aca="false">ABS(D82-E82)</f>
        <v>0</v>
      </c>
      <c r="I82" s="411" t="str">
        <f aca="false">IF(H82=0,"Pa saldo",IF(D82&gt;E82,"Mbyllje shpenzimi","Shpenzim negativ / 603 kreditore"))</f>
        <v>Pa saldo</v>
      </c>
      <c r="J82" s="412" t="str">
        <f aca="false">IF(H82=0,"Pa saldo",IF($B$8="PO","Gati për DITAR","Në pritje"))</f>
        <v>Pa saldo</v>
      </c>
    </row>
    <row r="83" customFormat="false" ht="19.5" hidden="false" customHeight="true" outlineLevel="0" collapsed="false">
      <c r="A83" s="407" t="n">
        <v>34</v>
      </c>
      <c r="B83" s="407" t="s">
        <v>562</v>
      </c>
      <c r="C83" s="408" t="s">
        <v>563</v>
      </c>
      <c r="D83" s="409" t="n">
        <f aca="false">IFERROR(SUMIFS(LEDGER_ENGINE!$V$2:$V$396,LEDGER_ENGINE!$Z$2:$Z$396,$B83)+SUMIFS(LEDGER_ENGINE!$V$485:$V$526,LEDGER_ENGINE!$Z$485:$Z$526,$B83),0)</f>
        <v>0</v>
      </c>
      <c r="E83" s="409" t="n">
        <f aca="false">IFERROR(SUMIFS(LEDGER_ENGINE!$W$2:$W$396,LEDGER_ENGINE!$Z$2:$Z$396,$B83)+SUMIFS(LEDGER_ENGINE!$W$485:$W$526,LEDGER_ENGINE!$Z$485:$Z$526,$B83),0)</f>
        <v>0</v>
      </c>
      <c r="F83" s="410" t="str">
        <f aca="false">IF(D83&gt;E83,$B$5,IF(E83&gt;D83,B83,""))</f>
        <v/>
      </c>
      <c r="G83" s="410" t="str">
        <f aca="false">IF(D83&gt;E83,B83,IF(E83&gt;D83,$B$5,""))</f>
        <v/>
      </c>
      <c r="H83" s="409" t="n">
        <f aca="false">ABS(D83-E83)</f>
        <v>0</v>
      </c>
      <c r="I83" s="411" t="str">
        <f aca="false">IF(H83=0,"Pa saldo",IF(D83&gt;E83,"Mbyllje shpenzimi","Shpenzim negativ / 603 kreditore"))</f>
        <v>Pa saldo</v>
      </c>
      <c r="J83" s="412" t="str">
        <f aca="false">IF(H83=0,"Pa saldo",IF($B$8="PO","Gati për DITAR","Në pritje"))</f>
        <v>Pa saldo</v>
      </c>
    </row>
    <row r="84" customFormat="false" ht="19.5" hidden="false" customHeight="true" outlineLevel="0" collapsed="false">
      <c r="A84" s="407" t="n">
        <v>35</v>
      </c>
      <c r="B84" s="407" t="s">
        <v>566</v>
      </c>
      <c r="C84" s="408" t="s">
        <v>567</v>
      </c>
      <c r="D84" s="409" t="n">
        <f aca="false">IFERROR(SUMIFS(LEDGER_ENGINE!$V$2:$V$396,LEDGER_ENGINE!$Z$2:$Z$396,$B84)+SUMIFS(LEDGER_ENGINE!$V$485:$V$526,LEDGER_ENGINE!$Z$485:$Z$526,$B84),0)</f>
        <v>0</v>
      </c>
      <c r="E84" s="409" t="n">
        <f aca="false">IFERROR(SUMIFS(LEDGER_ENGINE!$W$2:$W$396,LEDGER_ENGINE!$Z$2:$Z$396,$B84)+SUMIFS(LEDGER_ENGINE!$W$485:$W$526,LEDGER_ENGINE!$Z$485:$Z$526,$B84),0)</f>
        <v>0</v>
      </c>
      <c r="F84" s="410" t="str">
        <f aca="false">IF(D84&gt;E84,$B$5,IF(E84&gt;D84,B84,""))</f>
        <v/>
      </c>
      <c r="G84" s="410" t="str">
        <f aca="false">IF(D84&gt;E84,B84,IF(E84&gt;D84,$B$5,""))</f>
        <v/>
      </c>
      <c r="H84" s="409" t="n">
        <f aca="false">ABS(D84-E84)</f>
        <v>0</v>
      </c>
      <c r="I84" s="411" t="str">
        <f aca="false">IF(H84=0,"Pa saldo",IF(D84&gt;E84,"Mbyllje shpenzimi","Shpenzim negativ / 603 kreditore"))</f>
        <v>Pa saldo</v>
      </c>
      <c r="J84" s="412" t="str">
        <f aca="false">IF(H84=0,"Pa saldo",IF($B$8="PO","Gati për DITAR","Në pritje"))</f>
        <v>Pa saldo</v>
      </c>
    </row>
    <row r="85" customFormat="false" ht="19.5" hidden="false" customHeight="true" outlineLevel="0" collapsed="false">
      <c r="A85" s="407" t="n">
        <v>36</v>
      </c>
      <c r="B85" s="407" t="s">
        <v>568</v>
      </c>
      <c r="C85" s="408" t="s">
        <v>569</v>
      </c>
      <c r="D85" s="409" t="n">
        <f aca="false">IFERROR(SUMIFS(LEDGER_ENGINE!$V$2:$V$396,LEDGER_ENGINE!$Z$2:$Z$396,$B85)+SUMIFS(LEDGER_ENGINE!$V$485:$V$526,LEDGER_ENGINE!$Z$485:$Z$526,$B85),0)</f>
        <v>0</v>
      </c>
      <c r="E85" s="409" t="n">
        <f aca="false">IFERROR(SUMIFS(LEDGER_ENGINE!$W$2:$W$396,LEDGER_ENGINE!$Z$2:$Z$396,$B85)+SUMIFS(LEDGER_ENGINE!$W$485:$W$526,LEDGER_ENGINE!$Z$485:$Z$526,$B85),0)</f>
        <v>0</v>
      </c>
      <c r="F85" s="410" t="str">
        <f aca="false">IF(D85&gt;E85,$B$5,IF(E85&gt;D85,B85,""))</f>
        <v/>
      </c>
      <c r="G85" s="410" t="str">
        <f aca="false">IF(D85&gt;E85,B85,IF(E85&gt;D85,$B$5,""))</f>
        <v/>
      </c>
      <c r="H85" s="409" t="n">
        <f aca="false">ABS(D85-E85)</f>
        <v>0</v>
      </c>
      <c r="I85" s="411" t="str">
        <f aca="false">IF(H85=0,"Pa saldo",IF(D85&gt;E85,"Mbyllje shpenzimi","Shpenzim negativ / 603 kreditore"))</f>
        <v>Pa saldo</v>
      </c>
      <c r="J85" s="412" t="str">
        <f aca="false">IF(H85=0,"Pa saldo",IF($B$8="PO","Gati për DITAR","Në pritje"))</f>
        <v>Pa saldo</v>
      </c>
    </row>
    <row r="86" customFormat="false" ht="19.5" hidden="false" customHeight="true" outlineLevel="0" collapsed="false">
      <c r="A86" s="407" t="n">
        <v>37</v>
      </c>
      <c r="B86" s="407" t="s">
        <v>570</v>
      </c>
      <c r="C86" s="408" t="s">
        <v>571</v>
      </c>
      <c r="D86" s="409" t="n">
        <f aca="false">IFERROR(SUMIFS(LEDGER_ENGINE!$V$2:$V$396,LEDGER_ENGINE!$Z$2:$Z$396,$B86)+SUMIFS(LEDGER_ENGINE!$V$485:$V$526,LEDGER_ENGINE!$Z$485:$Z$526,$B86),0)</f>
        <v>0</v>
      </c>
      <c r="E86" s="409" t="n">
        <f aca="false">IFERROR(SUMIFS(LEDGER_ENGINE!$W$2:$W$396,LEDGER_ENGINE!$Z$2:$Z$396,$B86)+SUMIFS(LEDGER_ENGINE!$W$485:$W$526,LEDGER_ENGINE!$Z$485:$Z$526,$B86),0)</f>
        <v>0</v>
      </c>
      <c r="F86" s="410" t="str">
        <f aca="false">IF(D86&gt;E86,$B$5,IF(E86&gt;D86,B86,""))</f>
        <v/>
      </c>
      <c r="G86" s="410" t="str">
        <f aca="false">IF(D86&gt;E86,B86,IF(E86&gt;D86,$B$5,""))</f>
        <v/>
      </c>
      <c r="H86" s="409" t="n">
        <f aca="false">ABS(D86-E86)</f>
        <v>0</v>
      </c>
      <c r="I86" s="411" t="str">
        <f aca="false">IF(H86=0,"Pa saldo",IF(D86&gt;E86,"Mbyllje shpenzimi","Shpenzim negativ / 603 kreditore"))</f>
        <v>Pa saldo</v>
      </c>
      <c r="J86" s="412" t="str">
        <f aca="false">IF(H86=0,"Pa saldo",IF($B$8="PO","Gati për DITAR","Në pritje"))</f>
        <v>Pa saldo</v>
      </c>
    </row>
    <row r="87" customFormat="false" ht="19.5" hidden="false" customHeight="true" outlineLevel="0" collapsed="false">
      <c r="A87" s="407" t="n">
        <v>38</v>
      </c>
      <c r="B87" s="407" t="s">
        <v>572</v>
      </c>
      <c r="C87" s="408" t="s">
        <v>573</v>
      </c>
      <c r="D87" s="409" t="n">
        <f aca="false">IFERROR(SUMIFS(LEDGER_ENGINE!$V$2:$V$396,LEDGER_ENGINE!$Z$2:$Z$396,$B87)+SUMIFS(LEDGER_ENGINE!$V$485:$V$526,LEDGER_ENGINE!$Z$485:$Z$526,$B87),0)</f>
        <v>0</v>
      </c>
      <c r="E87" s="409" t="n">
        <f aca="false">IFERROR(SUMIFS(LEDGER_ENGINE!$W$2:$W$396,LEDGER_ENGINE!$Z$2:$Z$396,$B87)+SUMIFS(LEDGER_ENGINE!$W$485:$W$526,LEDGER_ENGINE!$Z$485:$Z$526,$B87),0)</f>
        <v>0</v>
      </c>
      <c r="F87" s="410" t="str">
        <f aca="false">IF(D87&gt;E87,$B$5,IF(E87&gt;D87,B87,""))</f>
        <v/>
      </c>
      <c r="G87" s="410" t="str">
        <f aca="false">IF(D87&gt;E87,B87,IF(E87&gt;D87,$B$5,""))</f>
        <v/>
      </c>
      <c r="H87" s="409" t="n">
        <f aca="false">ABS(D87-E87)</f>
        <v>0</v>
      </c>
      <c r="I87" s="411" t="str">
        <f aca="false">IF(H87=0,"Pa saldo",IF(D87&gt;E87,"Mbyllje shpenzimi","Shpenzim negativ / 603 kreditore"))</f>
        <v>Pa saldo</v>
      </c>
      <c r="J87" s="412" t="str">
        <f aca="false">IF(H87=0,"Pa saldo",IF($B$8="PO","Gati për DITAR","Në pritje"))</f>
        <v>Pa saldo</v>
      </c>
    </row>
    <row r="88" customFormat="false" ht="19.5" hidden="false" customHeight="true" outlineLevel="0" collapsed="false">
      <c r="A88" s="407" t="n">
        <v>39</v>
      </c>
      <c r="B88" s="407" t="s">
        <v>574</v>
      </c>
      <c r="C88" s="408" t="s">
        <v>565</v>
      </c>
      <c r="D88" s="409" t="n">
        <f aca="false">IFERROR(SUMIFS(LEDGER_ENGINE!$V$2:$V$396,LEDGER_ENGINE!$Z$2:$Z$396,$B88)+SUMIFS(LEDGER_ENGINE!$V$485:$V$526,LEDGER_ENGINE!$Z$485:$Z$526,$B88),0)</f>
        <v>0</v>
      </c>
      <c r="E88" s="409" t="n">
        <f aca="false">IFERROR(SUMIFS(LEDGER_ENGINE!$W$2:$W$396,LEDGER_ENGINE!$Z$2:$Z$396,$B88)+SUMIFS(LEDGER_ENGINE!$W$485:$W$526,LEDGER_ENGINE!$Z$485:$Z$526,$B88),0)</f>
        <v>0</v>
      </c>
      <c r="F88" s="410" t="str">
        <f aca="false">IF(D88&gt;E88,$B$5,IF(E88&gt;D88,B88,""))</f>
        <v/>
      </c>
      <c r="G88" s="410" t="str">
        <f aca="false">IF(D88&gt;E88,B88,IF(E88&gt;D88,$B$5,""))</f>
        <v/>
      </c>
      <c r="H88" s="409" t="n">
        <f aca="false">ABS(D88-E88)</f>
        <v>0</v>
      </c>
      <c r="I88" s="411" t="str">
        <f aca="false">IF(H88=0,"Pa saldo",IF(D88&gt;E88,"Mbyllje shpenzimi","Shpenzim negativ / 603 kreditore"))</f>
        <v>Pa saldo</v>
      </c>
      <c r="J88" s="412" t="str">
        <f aca="false">IF(H88=0,"Pa saldo",IF($B$8="PO","Gati për DITAR","Në pritje"))</f>
        <v>Pa saldo</v>
      </c>
    </row>
    <row r="89" customFormat="false" ht="19.5" hidden="false" customHeight="true" outlineLevel="0" collapsed="false">
      <c r="A89" s="407" t="n">
        <v>40</v>
      </c>
      <c r="B89" s="407" t="s">
        <v>577</v>
      </c>
      <c r="C89" s="408" t="s">
        <v>578</v>
      </c>
      <c r="D89" s="409" t="n">
        <f aca="false">IFERROR(SUMIFS(LEDGER_ENGINE!$V$2:$V$396,LEDGER_ENGINE!$Z$2:$Z$396,$B89)+SUMIFS(LEDGER_ENGINE!$V$485:$V$526,LEDGER_ENGINE!$Z$485:$Z$526,$B89),0)</f>
        <v>0</v>
      </c>
      <c r="E89" s="409" t="n">
        <f aca="false">IFERROR(SUMIFS(LEDGER_ENGINE!$W$2:$W$396,LEDGER_ENGINE!$Z$2:$Z$396,$B89)+SUMIFS(LEDGER_ENGINE!$W$485:$W$526,LEDGER_ENGINE!$Z$485:$Z$526,$B89),0)</f>
        <v>0</v>
      </c>
      <c r="F89" s="410" t="str">
        <f aca="false">IF(D89&gt;E89,$B$5,IF(E89&gt;D89,B89,""))</f>
        <v/>
      </c>
      <c r="G89" s="410" t="str">
        <f aca="false">IF(D89&gt;E89,B89,IF(E89&gt;D89,$B$5,""))</f>
        <v/>
      </c>
      <c r="H89" s="409" t="n">
        <f aca="false">ABS(D89-E89)</f>
        <v>0</v>
      </c>
      <c r="I89" s="411" t="str">
        <f aca="false">IF(H89=0,"Pa saldo",IF(D89&gt;E89,"Mbyllje shpenzimi","Shpenzim negativ / 603 kreditore"))</f>
        <v>Pa saldo</v>
      </c>
      <c r="J89" s="412" t="str">
        <f aca="false">IF(H89=0,"Pa saldo",IF($B$8="PO","Gati për DITAR","Në pritje"))</f>
        <v>Pa saldo</v>
      </c>
    </row>
    <row r="90" customFormat="false" ht="19.5" hidden="false" customHeight="true" outlineLevel="0" collapsed="false">
      <c r="A90" s="407" t="n">
        <v>41</v>
      </c>
      <c r="B90" s="407" t="s">
        <v>579</v>
      </c>
      <c r="C90" s="408" t="s">
        <v>580</v>
      </c>
      <c r="D90" s="409" t="n">
        <f aca="false">IFERROR(SUMIFS(LEDGER_ENGINE!$V$2:$V$396,LEDGER_ENGINE!$Z$2:$Z$396,$B90)+SUMIFS(LEDGER_ENGINE!$V$485:$V$526,LEDGER_ENGINE!$Z$485:$Z$526,$B90),0)</f>
        <v>0</v>
      </c>
      <c r="E90" s="409" t="n">
        <f aca="false">IFERROR(SUMIFS(LEDGER_ENGINE!$W$2:$W$396,LEDGER_ENGINE!$Z$2:$Z$396,$B90)+SUMIFS(LEDGER_ENGINE!$W$485:$W$526,LEDGER_ENGINE!$Z$485:$Z$526,$B90),0)</f>
        <v>0</v>
      </c>
      <c r="F90" s="410" t="str">
        <f aca="false">IF(D90&gt;E90,$B$5,IF(E90&gt;D90,B90,""))</f>
        <v/>
      </c>
      <c r="G90" s="410" t="str">
        <f aca="false">IF(D90&gt;E90,B90,IF(E90&gt;D90,$B$5,""))</f>
        <v/>
      </c>
      <c r="H90" s="409" t="n">
        <f aca="false">ABS(D90-E90)</f>
        <v>0</v>
      </c>
      <c r="I90" s="411" t="str">
        <f aca="false">IF(H90=0,"Pa saldo",IF(D90&gt;E90,"Mbyllje shpenzimi","Shpenzim negativ / 603 kreditore"))</f>
        <v>Pa saldo</v>
      </c>
      <c r="J90" s="412" t="str">
        <f aca="false">IF(H90=0,"Pa saldo",IF($B$8="PO","Gati për DITAR","Në pritje"))</f>
        <v>Pa saldo</v>
      </c>
    </row>
    <row r="91" customFormat="false" ht="19.5" hidden="false" customHeight="true" outlineLevel="0" collapsed="false">
      <c r="A91" s="407" t="n">
        <v>42</v>
      </c>
      <c r="B91" s="407" t="s">
        <v>581</v>
      </c>
      <c r="C91" s="408" t="s">
        <v>582</v>
      </c>
      <c r="D91" s="409" t="n">
        <f aca="false">IFERROR(SUMIFS(LEDGER_ENGINE!$V$2:$V$396,LEDGER_ENGINE!$Z$2:$Z$396,$B91)+SUMIFS(LEDGER_ENGINE!$V$485:$V$526,LEDGER_ENGINE!$Z$485:$Z$526,$B91),0)</f>
        <v>0</v>
      </c>
      <c r="E91" s="409" t="n">
        <f aca="false">IFERROR(SUMIFS(LEDGER_ENGINE!$W$2:$W$396,LEDGER_ENGINE!$Z$2:$Z$396,$B91)+SUMIFS(LEDGER_ENGINE!$W$485:$W$526,LEDGER_ENGINE!$Z$485:$Z$526,$B91),0)</f>
        <v>0</v>
      </c>
      <c r="F91" s="410" t="str">
        <f aca="false">IF(D91&gt;E91,$B$5,IF(E91&gt;D91,B91,""))</f>
        <v/>
      </c>
      <c r="G91" s="410" t="str">
        <f aca="false">IF(D91&gt;E91,B91,IF(E91&gt;D91,$B$5,""))</f>
        <v/>
      </c>
      <c r="H91" s="409" t="n">
        <f aca="false">ABS(D91-E91)</f>
        <v>0</v>
      </c>
      <c r="I91" s="411" t="str">
        <f aca="false">IF(H91=0,"Pa saldo",IF(D91&gt;E91,"Mbyllje shpenzimi","Shpenzim negativ / 603 kreditore"))</f>
        <v>Pa saldo</v>
      </c>
      <c r="J91" s="412" t="str">
        <f aca="false">IF(H91=0,"Pa saldo",IF($B$8="PO","Gati për DITAR","Në pritje"))</f>
        <v>Pa saldo</v>
      </c>
    </row>
    <row r="92" customFormat="false" ht="19.5" hidden="false" customHeight="true" outlineLevel="0" collapsed="false">
      <c r="A92" s="407" t="n">
        <v>43</v>
      </c>
      <c r="B92" s="407" t="s">
        <v>583</v>
      </c>
      <c r="C92" s="408" t="s">
        <v>584</v>
      </c>
      <c r="D92" s="409" t="n">
        <f aca="false">IFERROR(SUMIFS(LEDGER_ENGINE!$V$2:$V$396,LEDGER_ENGINE!$Z$2:$Z$396,$B92)+SUMIFS(LEDGER_ENGINE!$V$485:$V$526,LEDGER_ENGINE!$Z$485:$Z$526,$B92),0)</f>
        <v>0</v>
      </c>
      <c r="E92" s="409" t="n">
        <f aca="false">IFERROR(SUMIFS(LEDGER_ENGINE!$W$2:$W$396,LEDGER_ENGINE!$Z$2:$Z$396,$B92)+SUMIFS(LEDGER_ENGINE!$W$485:$W$526,LEDGER_ENGINE!$Z$485:$Z$526,$B92),0)</f>
        <v>0</v>
      </c>
      <c r="F92" s="410" t="str">
        <f aca="false">IF(D92&gt;E92,$B$5,IF(E92&gt;D92,B92,""))</f>
        <v/>
      </c>
      <c r="G92" s="410" t="str">
        <f aca="false">IF(D92&gt;E92,B92,IF(E92&gt;D92,$B$5,""))</f>
        <v/>
      </c>
      <c r="H92" s="409" t="n">
        <f aca="false">ABS(D92-E92)</f>
        <v>0</v>
      </c>
      <c r="I92" s="411" t="str">
        <f aca="false">IF(H92=0,"Pa saldo",IF(D92&gt;E92,"Mbyllje shpenzimi","Shpenzim negativ / 603 kreditore"))</f>
        <v>Pa saldo</v>
      </c>
      <c r="J92" s="412" t="str">
        <f aca="false">IF(H92=0,"Pa saldo",IF($B$8="PO","Gati për DITAR","Në pritje"))</f>
        <v>Pa saldo</v>
      </c>
    </row>
    <row r="93" customFormat="false" ht="19.5" hidden="false" customHeight="true" outlineLevel="0" collapsed="false">
      <c r="A93" s="407" t="n">
        <v>44</v>
      </c>
      <c r="B93" s="407" t="s">
        <v>585</v>
      </c>
      <c r="C93" s="408" t="s">
        <v>586</v>
      </c>
      <c r="D93" s="409" t="n">
        <f aca="false">IFERROR(SUMIFS(LEDGER_ENGINE!$V$2:$V$396,LEDGER_ENGINE!$Z$2:$Z$396,$B93)+SUMIFS(LEDGER_ENGINE!$V$485:$V$526,LEDGER_ENGINE!$Z$485:$Z$526,$B93),0)</f>
        <v>0</v>
      </c>
      <c r="E93" s="409" t="n">
        <f aca="false">IFERROR(SUMIFS(LEDGER_ENGINE!$W$2:$W$396,LEDGER_ENGINE!$Z$2:$Z$396,$B93)+SUMIFS(LEDGER_ENGINE!$W$485:$W$526,LEDGER_ENGINE!$Z$485:$Z$526,$B93),0)</f>
        <v>0</v>
      </c>
      <c r="F93" s="410" t="str">
        <f aca="false">IF(D93&gt;E93,$B$5,IF(E93&gt;D93,B93,""))</f>
        <v/>
      </c>
      <c r="G93" s="410" t="str">
        <f aca="false">IF(D93&gt;E93,B93,IF(E93&gt;D93,$B$5,""))</f>
        <v/>
      </c>
      <c r="H93" s="409" t="n">
        <f aca="false">ABS(D93-E93)</f>
        <v>0</v>
      </c>
      <c r="I93" s="411" t="str">
        <f aca="false">IF(H93=0,"Pa saldo",IF(D93&gt;E93,"Mbyllje shpenzimi","Shpenzim negativ / 603 kreditore"))</f>
        <v>Pa saldo</v>
      </c>
      <c r="J93" s="412" t="str">
        <f aca="false">IF(H93=0,"Pa saldo",IF($B$8="PO","Gati për DITAR","Në pritje"))</f>
        <v>Pa saldo</v>
      </c>
    </row>
    <row r="94" customFormat="false" ht="19.5" hidden="false" customHeight="true" outlineLevel="0" collapsed="false">
      <c r="A94" s="407" t="n">
        <v>45</v>
      </c>
      <c r="B94" s="407" t="s">
        <v>589</v>
      </c>
      <c r="C94" s="408" t="s">
        <v>590</v>
      </c>
      <c r="D94" s="409" t="n">
        <f aca="false">IFERROR(SUMIFS(LEDGER_ENGINE!$V$2:$V$396,LEDGER_ENGINE!$Z$2:$Z$396,$B94)+SUMIFS(LEDGER_ENGINE!$V$485:$V$526,LEDGER_ENGINE!$Z$485:$Z$526,$B94),0)</f>
        <v>0</v>
      </c>
      <c r="E94" s="409" t="n">
        <f aca="false">IFERROR(SUMIFS(LEDGER_ENGINE!$W$2:$W$396,LEDGER_ENGINE!$Z$2:$Z$396,$B94)+SUMIFS(LEDGER_ENGINE!$W$485:$W$526,LEDGER_ENGINE!$Z$485:$Z$526,$B94),0)</f>
        <v>0</v>
      </c>
      <c r="F94" s="410" t="str">
        <f aca="false">IF(D94&gt;E94,$B$5,IF(E94&gt;D94,B94,""))</f>
        <v/>
      </c>
      <c r="G94" s="410" t="str">
        <f aca="false">IF(D94&gt;E94,B94,IF(E94&gt;D94,$B$5,""))</f>
        <v/>
      </c>
      <c r="H94" s="409" t="n">
        <f aca="false">ABS(D94-E94)</f>
        <v>0</v>
      </c>
      <c r="I94" s="411" t="str">
        <f aca="false">IF(H94=0,"Pa saldo",IF(D94&gt;E94,"Mbyllje shpenzimi","Shpenzim negativ / 603 kreditore"))</f>
        <v>Pa saldo</v>
      </c>
      <c r="J94" s="412" t="str">
        <f aca="false">IF(H94=0,"Pa saldo",IF($B$8="PO","Gati për DITAR","Në pritje"))</f>
        <v>Pa saldo</v>
      </c>
    </row>
    <row r="95" customFormat="false" ht="19.5" hidden="false" customHeight="true" outlineLevel="0" collapsed="false">
      <c r="A95" s="407" t="n">
        <v>46</v>
      </c>
      <c r="B95" s="407" t="s">
        <v>592</v>
      </c>
      <c r="C95" s="408" t="s">
        <v>593</v>
      </c>
      <c r="D95" s="409" t="n">
        <f aca="false">IFERROR(SUMIFS(LEDGER_ENGINE!$V$2:$V$396,LEDGER_ENGINE!$Z$2:$Z$396,$B95)+SUMIFS(LEDGER_ENGINE!$V$485:$V$526,LEDGER_ENGINE!$Z$485:$Z$526,$B95),0)</f>
        <v>0</v>
      </c>
      <c r="E95" s="409" t="n">
        <f aca="false">IFERROR(SUMIFS(LEDGER_ENGINE!$W$2:$W$396,LEDGER_ENGINE!$Z$2:$Z$396,$B95)+SUMIFS(LEDGER_ENGINE!$W$485:$W$526,LEDGER_ENGINE!$Z$485:$Z$526,$B95),0)</f>
        <v>0</v>
      </c>
      <c r="F95" s="410" t="str">
        <f aca="false">IF(D95&gt;E95,$B$5,IF(E95&gt;D95,B95,""))</f>
        <v/>
      </c>
      <c r="G95" s="410" t="str">
        <f aca="false">IF(D95&gt;E95,B95,IF(E95&gt;D95,$B$5,""))</f>
        <v/>
      </c>
      <c r="H95" s="409" t="n">
        <f aca="false">ABS(D95-E95)</f>
        <v>0</v>
      </c>
      <c r="I95" s="411" t="str">
        <f aca="false">IF(H95=0,"Pa saldo",IF(D95&gt;E95,"Mbyllje shpenzimi","Shpenzim negativ / 603 kreditore"))</f>
        <v>Pa saldo</v>
      </c>
      <c r="J95" s="412" t="str">
        <f aca="false">IF(H95=0,"Pa saldo",IF($B$8="PO","Gati për DITAR","Në pritje"))</f>
        <v>Pa saldo</v>
      </c>
    </row>
    <row r="96" customFormat="false" ht="19.5" hidden="false" customHeight="true" outlineLevel="0" collapsed="false">
      <c r="A96" s="407" t="n">
        <v>47</v>
      </c>
      <c r="B96" s="407" t="s">
        <v>596</v>
      </c>
      <c r="C96" s="408" t="s">
        <v>597</v>
      </c>
      <c r="D96" s="409" t="n">
        <f aca="false">IFERROR(SUMIFS(LEDGER_ENGINE!$V$2:$V$396,LEDGER_ENGINE!$Z$2:$Z$396,$B96)+SUMIFS(LEDGER_ENGINE!$V$485:$V$526,LEDGER_ENGINE!$Z$485:$Z$526,$B96),0)</f>
        <v>0</v>
      </c>
      <c r="E96" s="409" t="n">
        <f aca="false">IFERROR(SUMIFS(LEDGER_ENGINE!$W$2:$W$396,LEDGER_ENGINE!$Z$2:$Z$396,$B96)+SUMIFS(LEDGER_ENGINE!$W$485:$W$526,LEDGER_ENGINE!$Z$485:$Z$526,$B96),0)</f>
        <v>0</v>
      </c>
      <c r="F96" s="410" t="str">
        <f aca="false">IF(D96&gt;E96,$B$5,IF(E96&gt;D96,B96,""))</f>
        <v/>
      </c>
      <c r="G96" s="410" t="str">
        <f aca="false">IF(D96&gt;E96,B96,IF(E96&gt;D96,$B$5,""))</f>
        <v/>
      </c>
      <c r="H96" s="409" t="n">
        <f aca="false">ABS(D96-E96)</f>
        <v>0</v>
      </c>
      <c r="I96" s="411" t="str">
        <f aca="false">IF(H96=0,"Pa saldo",IF(D96&gt;E96,"Mbyllje shpenzimi","Shpenzim negativ / 603 kreditore"))</f>
        <v>Pa saldo</v>
      </c>
      <c r="J96" s="412" t="str">
        <f aca="false">IF(H96=0,"Pa saldo",IF($B$8="PO","Gati për DITAR","Në pritje"))</f>
        <v>Pa saldo</v>
      </c>
    </row>
    <row r="97" customFormat="false" ht="19.5" hidden="false" customHeight="true" outlineLevel="0" collapsed="false">
      <c r="A97" s="407" t="n">
        <v>48</v>
      </c>
      <c r="B97" s="407" t="s">
        <v>599</v>
      </c>
      <c r="C97" s="408" t="s">
        <v>600</v>
      </c>
      <c r="D97" s="409" t="n">
        <f aca="false">IFERROR(SUMIFS(LEDGER_ENGINE!$V$2:$V$396,LEDGER_ENGINE!$Z$2:$Z$396,$B97)+SUMIFS(LEDGER_ENGINE!$V$485:$V$526,LEDGER_ENGINE!$Z$485:$Z$526,$B97),0)</f>
        <v>0</v>
      </c>
      <c r="E97" s="409" t="n">
        <f aca="false">IFERROR(SUMIFS(LEDGER_ENGINE!$W$2:$W$396,LEDGER_ENGINE!$Z$2:$Z$396,$B97)+SUMIFS(LEDGER_ENGINE!$W$485:$W$526,LEDGER_ENGINE!$Z$485:$Z$526,$B97),0)</f>
        <v>0</v>
      </c>
      <c r="F97" s="410" t="str">
        <f aca="false">IF(D97&gt;E97,$B$5,IF(E97&gt;D97,B97,""))</f>
        <v/>
      </c>
      <c r="G97" s="410" t="str">
        <f aca="false">IF(D97&gt;E97,B97,IF(E97&gt;D97,$B$5,""))</f>
        <v/>
      </c>
      <c r="H97" s="409" t="n">
        <f aca="false">ABS(D97-E97)</f>
        <v>0</v>
      </c>
      <c r="I97" s="411" t="str">
        <f aca="false">IF(H97=0,"Pa saldo",IF(D97&gt;E97,"Mbyllje shpenzimi","Shpenzim negativ / 603 kreditore"))</f>
        <v>Pa saldo</v>
      </c>
      <c r="J97" s="412" t="str">
        <f aca="false">IF(H97=0,"Pa saldo",IF($B$8="PO","Gati për DITAR","Në pritje"))</f>
        <v>Pa saldo</v>
      </c>
    </row>
    <row r="98" customFormat="false" ht="19.5" hidden="false" customHeight="true" outlineLevel="0" collapsed="false">
      <c r="A98" s="407" t="n">
        <v>49</v>
      </c>
      <c r="B98" s="407" t="s">
        <v>601</v>
      </c>
      <c r="C98" s="408" t="s">
        <v>602</v>
      </c>
      <c r="D98" s="409" t="n">
        <f aca="false">IFERROR(SUMIFS(LEDGER_ENGINE!$V$2:$V$396,LEDGER_ENGINE!$Z$2:$Z$396,$B98)+SUMIFS(LEDGER_ENGINE!$V$485:$V$526,LEDGER_ENGINE!$Z$485:$Z$526,$B98),0)</f>
        <v>0</v>
      </c>
      <c r="E98" s="409" t="n">
        <f aca="false">IFERROR(SUMIFS(LEDGER_ENGINE!$W$2:$W$396,LEDGER_ENGINE!$Z$2:$Z$396,$B98)+SUMIFS(LEDGER_ENGINE!$W$485:$W$526,LEDGER_ENGINE!$Z$485:$Z$526,$B98),0)</f>
        <v>0</v>
      </c>
      <c r="F98" s="410" t="str">
        <f aca="false">IF(D98&gt;E98,$B$5,IF(E98&gt;D98,B98,""))</f>
        <v/>
      </c>
      <c r="G98" s="410" t="str">
        <f aca="false">IF(D98&gt;E98,B98,IF(E98&gt;D98,$B$5,""))</f>
        <v/>
      </c>
      <c r="H98" s="409" t="n">
        <f aca="false">ABS(D98-E98)</f>
        <v>0</v>
      </c>
      <c r="I98" s="411" t="str">
        <f aca="false">IF(H98=0,"Pa saldo",IF(D98&gt;E98,"Mbyllje shpenzimi","Shpenzim negativ / 603 kreditore"))</f>
        <v>Pa saldo</v>
      </c>
      <c r="J98" s="412" t="str">
        <f aca="false">IF(H98=0,"Pa saldo",IF($B$8="PO","Gati për DITAR","Në pritje"))</f>
        <v>Pa saldo</v>
      </c>
    </row>
    <row r="99" customFormat="false" ht="19.5" hidden="false" customHeight="true" outlineLevel="0" collapsed="false">
      <c r="A99" s="407" t="n">
        <v>50</v>
      </c>
      <c r="B99" s="407" t="s">
        <v>603</v>
      </c>
      <c r="C99" s="408" t="s">
        <v>604</v>
      </c>
      <c r="D99" s="409" t="n">
        <f aca="false">IFERROR(SUMIFS(LEDGER_ENGINE!$V$2:$V$396,LEDGER_ENGINE!$Z$2:$Z$396,$B99)+SUMIFS(LEDGER_ENGINE!$V$485:$V$526,LEDGER_ENGINE!$Z$485:$Z$526,$B99),0)</f>
        <v>0</v>
      </c>
      <c r="E99" s="409" t="n">
        <f aca="false">IFERROR(SUMIFS(LEDGER_ENGINE!$W$2:$W$396,LEDGER_ENGINE!$Z$2:$Z$396,$B99)+SUMIFS(LEDGER_ENGINE!$W$485:$W$526,LEDGER_ENGINE!$Z$485:$Z$526,$B99),0)</f>
        <v>0</v>
      </c>
      <c r="F99" s="410" t="str">
        <f aca="false">IF(D99&gt;E99,$B$5,IF(E99&gt;D99,B99,""))</f>
        <v/>
      </c>
      <c r="G99" s="410" t="str">
        <f aca="false">IF(D99&gt;E99,B99,IF(E99&gt;D99,$B$5,""))</f>
        <v/>
      </c>
      <c r="H99" s="409" t="n">
        <f aca="false">ABS(D99-E99)</f>
        <v>0</v>
      </c>
      <c r="I99" s="411" t="str">
        <f aca="false">IF(H99=0,"Pa saldo",IF(D99&gt;E99,"Mbyllje shpenzimi","Shpenzim negativ / 603 kreditore"))</f>
        <v>Pa saldo</v>
      </c>
      <c r="J99" s="412" t="str">
        <f aca="false">IF(H99=0,"Pa saldo",IF($B$8="PO","Gati për DITAR","Në pritje"))</f>
        <v>Pa saldo</v>
      </c>
    </row>
    <row r="100" customFormat="false" ht="19.5" hidden="false" customHeight="true" outlineLevel="0" collapsed="false">
      <c r="A100" s="407" t="n">
        <v>51</v>
      </c>
      <c r="B100" s="407" t="s">
        <v>605</v>
      </c>
      <c r="C100" s="408" t="s">
        <v>606</v>
      </c>
      <c r="D100" s="409" t="n">
        <f aca="false">IFERROR(SUMIFS(LEDGER_ENGINE!$V$2:$V$396,LEDGER_ENGINE!$Z$2:$Z$396,$B100)+SUMIFS(LEDGER_ENGINE!$V$485:$V$526,LEDGER_ENGINE!$Z$485:$Z$526,$B100),0)</f>
        <v>0</v>
      </c>
      <c r="E100" s="409" t="n">
        <f aca="false">IFERROR(SUMIFS(LEDGER_ENGINE!$W$2:$W$396,LEDGER_ENGINE!$Z$2:$Z$396,$B100)+SUMIFS(LEDGER_ENGINE!$W$485:$W$526,LEDGER_ENGINE!$Z$485:$Z$526,$B100),0)</f>
        <v>0</v>
      </c>
      <c r="F100" s="410" t="str">
        <f aca="false">IF(D100&gt;E100,$B$5,IF(E100&gt;D100,B100,""))</f>
        <v/>
      </c>
      <c r="G100" s="410" t="str">
        <f aca="false">IF(D100&gt;E100,B100,IF(E100&gt;D100,$B$5,""))</f>
        <v/>
      </c>
      <c r="H100" s="409" t="n">
        <f aca="false">ABS(D100-E100)</f>
        <v>0</v>
      </c>
      <c r="I100" s="411" t="str">
        <f aca="false">IF(H100=0,"Pa saldo",IF(D100&gt;E100,"Mbyllje shpenzimi","Shpenzim negativ / 603 kreditore"))</f>
        <v>Pa saldo</v>
      </c>
      <c r="J100" s="412" t="str">
        <f aca="false">IF(H100=0,"Pa saldo",IF($B$8="PO","Gati për DITAR","Në pritje"))</f>
        <v>Pa saldo</v>
      </c>
    </row>
    <row r="101" customFormat="false" ht="19.5" hidden="false" customHeight="true" outlineLevel="0" collapsed="false">
      <c r="A101" s="407" t="n">
        <v>52</v>
      </c>
      <c r="B101" s="407" t="s">
        <v>608</v>
      </c>
      <c r="C101" s="408" t="s">
        <v>609</v>
      </c>
      <c r="D101" s="409" t="n">
        <f aca="false">IFERROR(SUMIFS(LEDGER_ENGINE!$V$2:$V$396,LEDGER_ENGINE!$Z$2:$Z$396,$B101)+SUMIFS(LEDGER_ENGINE!$V$485:$V$526,LEDGER_ENGINE!$Z$485:$Z$526,$B101),0)</f>
        <v>0</v>
      </c>
      <c r="E101" s="409" t="n">
        <f aca="false">IFERROR(SUMIFS(LEDGER_ENGINE!$W$2:$W$396,LEDGER_ENGINE!$Z$2:$Z$396,$B101)+SUMIFS(LEDGER_ENGINE!$W$485:$W$526,LEDGER_ENGINE!$Z$485:$Z$526,$B101),0)</f>
        <v>0</v>
      </c>
      <c r="F101" s="410" t="str">
        <f aca="false">IF(D101&gt;E101,$B$5,IF(E101&gt;D101,B101,""))</f>
        <v/>
      </c>
      <c r="G101" s="410" t="str">
        <f aca="false">IF(D101&gt;E101,B101,IF(E101&gt;D101,$B$5,""))</f>
        <v/>
      </c>
      <c r="H101" s="409" t="n">
        <f aca="false">ABS(D101-E101)</f>
        <v>0</v>
      </c>
      <c r="I101" s="411" t="str">
        <f aca="false">IF(H101=0,"Pa saldo",IF(D101&gt;E101,"Mbyllje shpenzimi","Shpenzim negativ / 603 kreditore"))</f>
        <v>Pa saldo</v>
      </c>
      <c r="J101" s="412" t="str">
        <f aca="false">IF(H101=0,"Pa saldo",IF($B$8="PO","Gati për DITAR","Në pritje"))</f>
        <v>Pa saldo</v>
      </c>
    </row>
    <row r="102" customFormat="false" ht="19.5" hidden="false" customHeight="true" outlineLevel="0" collapsed="false">
      <c r="A102" s="407" t="n">
        <v>53</v>
      </c>
      <c r="B102" s="407" t="s">
        <v>612</v>
      </c>
      <c r="C102" s="408" t="s">
        <v>611</v>
      </c>
      <c r="D102" s="409" t="n">
        <f aca="false">IFERROR(SUMIFS(LEDGER_ENGINE!$V$2:$V$396,LEDGER_ENGINE!$Z$2:$Z$396,$B102)+SUMIFS(LEDGER_ENGINE!$V$485:$V$526,LEDGER_ENGINE!$Z$485:$Z$526,$B102),0)</f>
        <v>0</v>
      </c>
      <c r="E102" s="409" t="n">
        <f aca="false">IFERROR(SUMIFS(LEDGER_ENGINE!$W$2:$W$396,LEDGER_ENGINE!$Z$2:$Z$396,$B102)+SUMIFS(LEDGER_ENGINE!$W$485:$W$526,LEDGER_ENGINE!$Z$485:$Z$526,$B102),0)</f>
        <v>0</v>
      </c>
      <c r="F102" s="410" t="str">
        <f aca="false">IF(D102&gt;E102,$B$5,IF(E102&gt;D102,B102,""))</f>
        <v/>
      </c>
      <c r="G102" s="410" t="str">
        <f aca="false">IF(D102&gt;E102,B102,IF(E102&gt;D102,$B$5,""))</f>
        <v/>
      </c>
      <c r="H102" s="409" t="n">
        <f aca="false">ABS(D102-E102)</f>
        <v>0</v>
      </c>
      <c r="I102" s="411" t="str">
        <f aca="false">IF(H102=0,"Pa saldo",IF(D102&gt;E102,"Mbyllje shpenzimi","Shpenzim negativ / 603 kreditore"))</f>
        <v>Pa saldo</v>
      </c>
      <c r="J102" s="412" t="str">
        <f aca="false">IF(H102=0,"Pa saldo",IF($B$8="PO","Gati për DITAR","Në pritje"))</f>
        <v>Pa saldo</v>
      </c>
    </row>
    <row r="103" customFormat="false" ht="19.5" hidden="false" customHeight="true" outlineLevel="0" collapsed="false"/>
    <row r="104" customFormat="false" ht="19.5" hidden="false" customHeight="true" outlineLevel="0" collapsed="false"/>
    <row r="105" customFormat="false" ht="19.5" hidden="false" customHeight="true" outlineLevel="0" collapsed="false">
      <c r="A105" s="396" t="s">
        <v>1218</v>
      </c>
      <c r="B105" s="396"/>
      <c r="C105" s="396"/>
      <c r="D105" s="396"/>
      <c r="E105" s="396"/>
      <c r="F105" s="396"/>
      <c r="G105" s="396"/>
      <c r="H105" s="396"/>
      <c r="I105" s="396"/>
      <c r="J105" s="396"/>
    </row>
    <row r="106" customFormat="false" ht="19.5" hidden="false" customHeight="true" outlineLevel="0" collapsed="false">
      <c r="A106" s="405" t="s">
        <v>1219</v>
      </c>
      <c r="B106" s="405"/>
      <c r="C106" s="406"/>
      <c r="D106" s="405"/>
      <c r="E106" s="405"/>
    </row>
    <row r="107" customFormat="false" ht="19.5" hidden="false" customHeight="true" outlineLevel="0" collapsed="false">
      <c r="A107" s="407" t="s">
        <v>1220</v>
      </c>
      <c r="B107" s="410" t="str">
        <f aca="false">IF(AND($J$107="PO",COUNTIF(DITARI!$C$6:$C$486,"MB-CL7")&gt;0,COUNTIF(DITARI!$C$6:$C$486,"MB-CL6")&gt;0,$B$11&lt;&gt;0),IF($B$11&gt;0,"121","108"),"")</f>
        <v/>
      </c>
      <c r="C107" s="411" t="str">
        <f aca="false">IF(AND($J$107="PO",COUNTIF(DITARI!$C$6:$C$486,"MB-CL7")&gt;0,COUNTIF(DITARI!$C$6:$C$486,"MB-CL6")&gt;0,$B$11&lt;&gt;0),IF($B$11&gt;0,"108","121"),"")</f>
        <v/>
      </c>
      <c r="D107" s="409" t="n">
        <f aca="false">IF(AND($J$107="PO",COUNTIF(DITARI!$C$6:$C$486,"MB-CL7")&gt;0,COUNTIF(DITARI!$C$6:$C$486,"MB-CL6")&gt;0),ABS($B$11),0)</f>
        <v>0</v>
      </c>
      <c r="E107" s="410" t="str">
        <f aca="false">IF($J$107&lt;&gt;"PO","JO POSTIM",IF(AND(COUNTIF(DITARI!$C$6:$C$486,"MB-CL7")&gt;0,COUNTIF(DITARI!$C$6:$C$486,"MB-CL6")&gt;0),IF($D$107&gt;0,"POSTIM DIREKT AKTIV","ZERO"),"PRIT MIRATIMIN / MBYLLJEN"))</f>
        <v>JO POSTIM</v>
      </c>
      <c r="I107" s="413" t="s">
        <v>1221</v>
      </c>
      <c r="J107" s="414" t="s">
        <v>813</v>
      </c>
      <c r="K107" s="403" t="s">
        <v>1222</v>
      </c>
    </row>
    <row r="108" customFormat="false" ht="19.5" hidden="false" customHeight="true" outlineLevel="0" collapsed="false"/>
    <row r="109" customFormat="false" ht="19.5" hidden="false" customHeight="true" outlineLevel="0" collapsed="false">
      <c r="A109" s="396" t="s">
        <v>1223</v>
      </c>
      <c r="B109" s="396"/>
      <c r="C109" s="396"/>
      <c r="D109" s="396"/>
      <c r="E109" s="396"/>
      <c r="F109" s="396"/>
      <c r="G109" s="396"/>
      <c r="H109" s="396"/>
      <c r="I109" s="396"/>
      <c r="J109" s="396"/>
    </row>
    <row r="110" customFormat="false" ht="19.5" hidden="false" customHeight="true" outlineLevel="0" collapsed="false">
      <c r="A110" s="397" t="s">
        <v>1224</v>
      </c>
      <c r="B110" s="404" t="n">
        <f aca="false">SUM(E17:E45)-SUM(D17:D45)</f>
        <v>0</v>
      </c>
    </row>
    <row r="111" customFormat="false" ht="19.5" hidden="false" customHeight="true" outlineLevel="0" collapsed="false">
      <c r="A111" s="397" t="s">
        <v>1225</v>
      </c>
      <c r="B111" s="404" t="n">
        <f aca="false">SUM(D50:D102)-SUM(E50:E102)</f>
        <v>0</v>
      </c>
    </row>
    <row r="112" customFormat="false" ht="19.5" hidden="false" customHeight="true" outlineLevel="0" collapsed="false">
      <c r="A112" s="397" t="s">
        <v>1226</v>
      </c>
      <c r="B112" s="404" t="str">
        <f aca="false">IF(ROUND(B110-$B$9,2)=0,"OK","GABIM")</f>
        <v>OK</v>
      </c>
    </row>
    <row r="113" customFormat="false" ht="19.5" hidden="false" customHeight="true" outlineLevel="0" collapsed="false">
      <c r="A113" s="397" t="s">
        <v>1227</v>
      </c>
      <c r="B113" s="404" t="str">
        <f aca="false">IF(ROUND(B111-$B$10,2)=0,"OK","GABIM")</f>
        <v>OK</v>
      </c>
    </row>
    <row r="114" customFormat="false" ht="19.5" hidden="false" customHeight="true" outlineLevel="0" collapsed="false">
      <c r="A114" s="397" t="s">
        <v>1228</v>
      </c>
      <c r="B114" s="404" t="n">
        <f aca="false">$B$11</f>
        <v>0</v>
      </c>
    </row>
    <row r="115" customFormat="false" ht="19.5" hidden="false" customHeight="true" outlineLevel="0" collapsed="false">
      <c r="A115" s="397" t="s">
        <v>1229</v>
      </c>
      <c r="B115" s="404" t="str">
        <f aca="false">IF(OR($B$13="MBYLLJA E POSTUAR",$B$13="REZULTATI I TRANSFERUAR NË 108"),"POSTUAR AUTOMATIKISHT - KONTROLLET OK",IF(AND($B$112="OK",$B$113="OK",OR($B$13="GATI — ZGJIDH PO",$B$13="POSTIM AUTOMATIK NË PROCES")),"GATI PËR POSTIM DIREKT","BLLOKUAR / NË PRITJE"))</f>
        <v>GATI PËR POSTIM DIREKT</v>
      </c>
    </row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24.75" hidden="false" customHeight="true" outlineLevel="0" collapsed="false">
      <c r="A118" s="415" t="s">
        <v>1230</v>
      </c>
      <c r="B118" s="415"/>
      <c r="C118" s="415"/>
      <c r="D118" s="415"/>
      <c r="E118" s="415"/>
      <c r="F118" s="415"/>
      <c r="G118" s="415"/>
      <c r="H118" s="415"/>
      <c r="I118" s="415"/>
      <c r="J118" s="415"/>
    </row>
    <row r="119" customFormat="false" ht="12.75" hidden="false" customHeight="true" outlineLevel="0" collapsed="false">
      <c r="A119" s="416" t="s">
        <v>46</v>
      </c>
      <c r="B119" s="416" t="s">
        <v>764</v>
      </c>
      <c r="C119" s="416" t="s">
        <v>748</v>
      </c>
      <c r="D119" s="416" t="s">
        <v>107</v>
      </c>
    </row>
    <row r="120" customFormat="false" ht="23.25" hidden="false" customHeight="true" outlineLevel="0" collapsed="false">
      <c r="A120" s="417" t="s">
        <v>1231</v>
      </c>
      <c r="B120" s="418" t="n">
        <f aca="false">COUNTIF(DITARI!$C$6:$C$550,"MB-CL7")</f>
        <v>0</v>
      </c>
      <c r="C120" s="419" t="str">
        <f aca="false">IF(AND(B120=0,B121=0),"PARA MBYLLJES",IF(AND(B120&gt;0,B121&gt;0),"TË DYJA","PJESSHME"))</f>
        <v>PARA MBYLLJES</v>
      </c>
      <c r="D120" s="420" t="s">
        <v>1232</v>
      </c>
    </row>
    <row r="121" customFormat="false" ht="23.25" hidden="false" customHeight="true" outlineLevel="0" collapsed="false">
      <c r="A121" s="421" t="s">
        <v>1233</v>
      </c>
      <c r="B121" s="422" t="n">
        <f aca="false">COUNTIF(DITARI!$C$6:$C$550,"MB-CL6")</f>
        <v>0</v>
      </c>
      <c r="C121" s="423" t="str">
        <f aca="false">IF(AND(B120=0,B121=0),"PARA MBYLLJES",IF(AND(B120&gt;0,B121&gt;0),"TË DYJA","PJESSHME"))</f>
        <v>PARA MBYLLJES</v>
      </c>
      <c r="D121" s="424" t="s">
        <v>1234</v>
      </c>
    </row>
    <row r="122" customFormat="false" ht="12.75" hidden="false" customHeight="true" outlineLevel="0" collapsed="false">
      <c r="A122" s="421" t="s">
        <v>1235</v>
      </c>
      <c r="B122" s="422" t="n">
        <f aca="false">SUMIFS(BILANCI_PROVE!$G$8:$G$506,BILANCI_PROVE!$A$8:$A$506,"7*")-SUMIFS(BILANCI_PROVE!$F$8:$F$506,BILANCI_PROVE!$A$8:$A$506,"7*")</f>
        <v>0</v>
      </c>
      <c r="C122" s="423" t="str">
        <f aca="false">IF(OR($B$13="MBYLLJA E POSTUAR",$B$13="REZULTATI I TRANSFERUAR NË 108"),IF(ABS(B122)&lt;0.005,"OK","FAIL"),"INFO")</f>
        <v>INFO</v>
      </c>
      <c r="D122" s="424" t="s">
        <v>1236</v>
      </c>
    </row>
    <row r="123" customFormat="false" ht="12.75" hidden="false" customHeight="true" outlineLevel="0" collapsed="false">
      <c r="A123" s="421" t="s">
        <v>1237</v>
      </c>
      <c r="B123" s="422" t="n">
        <f aca="false">SUMIFS(BILANCI_PROVE!$F$8:$F$506,BILANCI_PROVE!$A$8:$A$506,"6*")-SUMIFS(BILANCI_PROVE!$G$8:$G$506,BILANCI_PROVE!$A$8:$A$506,"6*")</f>
        <v>0</v>
      </c>
      <c r="C123" s="423" t="str">
        <f aca="false">IF(OR($B$13="MBYLLJA E POSTUAR",$B$13="REZULTATI I TRANSFERUAR NË 108"),IF(ABS(B123)&lt;0.005,"OK","FAIL"),"INFO")</f>
        <v>INFO</v>
      </c>
      <c r="D123" s="424" t="s">
        <v>1236</v>
      </c>
    </row>
    <row r="124" customFormat="false" ht="12.75" hidden="false" customHeight="true" outlineLevel="0" collapsed="false">
      <c r="A124" s="421" t="s">
        <v>1238</v>
      </c>
      <c r="B124" s="422" t="n">
        <f aca="false">PASH_MIKRO_FINAL!$B$23</f>
        <v>0</v>
      </c>
      <c r="C124" s="423" t="str">
        <f aca="false">"INFO"</f>
        <v>INFO</v>
      </c>
      <c r="D124" s="424" t="s">
        <v>1239</v>
      </c>
    </row>
    <row r="125" customFormat="false" ht="23.25" hidden="false" customHeight="true" outlineLevel="0" collapsed="false">
      <c r="A125" s="421" t="s">
        <v>1240</v>
      </c>
      <c r="B125" s="422" t="n">
        <f aca="false">BILANCI_PROVE!$G$18-BILANCI_PROVE!$F$18</f>
        <v>0</v>
      </c>
      <c r="C125" s="423" t="str">
        <f aca="false">IF($B$13="MBYLLJA E POSTUAR",IF(ABS(B125-B124)&lt;0.005,"OK","FAIL"),IF($B$13="REZULTATI I TRANSFERUAR NË 108",IF(ABS(B125)&lt;0.005,"TRANSFERUAR","FAIL"),"PAS POSTIMIT"))</f>
        <v>PAS POSTIMIT</v>
      </c>
      <c r="D125" s="424" t="s">
        <v>1241</v>
      </c>
    </row>
    <row r="126" customFormat="false" ht="12.75" hidden="false" customHeight="true" outlineLevel="0" collapsed="false">
      <c r="A126" s="421" t="s">
        <v>1242</v>
      </c>
      <c r="B126" s="422" t="n">
        <f aca="false">IF($B$13="MBYLLJA E POSTUAR",B125-B124,IF($B$13="REZULTATI I TRANSFERUAR NË 108",B125,0))</f>
        <v>0</v>
      </c>
      <c r="C126" s="423" t="str">
        <f aca="false">IF(OR($B$13="MBYLLJA E POSTUAR",$B$13="REZULTATI I TRANSFERUAR NË 108"),IF(ABS(B126)&lt;0.005,"OK","FAIL"),"PAS POSTIMIT")</f>
        <v>PAS POSTIMIT</v>
      </c>
      <c r="D126" s="424" t="s">
        <v>1243</v>
      </c>
    </row>
    <row r="127" customFormat="false" ht="23.25" hidden="false" customHeight="true" outlineLevel="0" collapsed="false">
      <c r="A127" s="421" t="s">
        <v>1244</v>
      </c>
      <c r="B127" s="422" t="str">
        <f aca="false">IF($D$107&gt;0,"GATI — PAS MIRATIMIT","JO POSTIM")</f>
        <v>JO POSTIM</v>
      </c>
      <c r="C127" s="423" t="str">
        <f aca="false">IF(OR(B127="JO POSTIM",B127="GATI — PAS MIRATIMIT"),"OK","FAIL")</f>
        <v>OK</v>
      </c>
      <c r="D127" s="424" t="s">
        <v>1245</v>
      </c>
    </row>
    <row r="128" customFormat="false" ht="12.75" hidden="false" customHeight="true" outlineLevel="0" collapsed="false">
      <c r="A128" s="421" t="s">
        <v>1246</v>
      </c>
      <c r="B128" s="422" t="str">
        <f aca="false">$B$13</f>
        <v>GATI — ZGJIDH PO</v>
      </c>
      <c r="C128" s="423" t="str">
        <f aca="false">IF(OR(B128="GATI — ZGJIDH PO",B128="POSTIM AUTOMATIK NË PROCES",B128="MBYLLJA E POSTUAR",B128="REZULTATI I TRANSFERUAR NË 108"),"OK","KONTROLLO")</f>
        <v>OK</v>
      </c>
      <c r="D128" s="424" t="s">
        <v>1247</v>
      </c>
    </row>
    <row r="129" customFormat="false" ht="23.25" hidden="false" customHeight="true" outlineLevel="0" collapsed="false">
      <c r="A129" s="425" t="s">
        <v>1248</v>
      </c>
      <c r="B129" s="426" t="str">
        <f aca="false">IF(OR($B$13="GATI — ZGJIDH PO",$B$13="POSTIM AUTOMATIK NË PROCES",$B$13="MBYLLJA E POSTUAR",$B$13="REZULTATI I TRANSFERUAR NË 108"),"PASS","FAIL")</f>
        <v>PASS</v>
      </c>
      <c r="C129" s="427" t="str">
        <f aca="false">B129</f>
        <v>PASS</v>
      </c>
      <c r="D129" s="428" t="s">
        <v>1249</v>
      </c>
    </row>
  </sheetData>
  <sheetProtection sheet="true" password="91db" formatCells="false" formatColumns="false" formatRows="false" sort="false" autoFilter="false"/>
  <mergeCells count="9">
    <mergeCell ref="A1:J1"/>
    <mergeCell ref="A2:J2"/>
    <mergeCell ref="A4:J4"/>
    <mergeCell ref="D5:J13"/>
    <mergeCell ref="A15:J15"/>
    <mergeCell ref="A48:J48"/>
    <mergeCell ref="A105:J105"/>
    <mergeCell ref="A109:J109"/>
    <mergeCell ref="A118:J118"/>
  </mergeCells>
  <conditionalFormatting sqref="C120:C129">
    <cfRule type="containsText" priority="2" operator="containsText" aboveAverage="0" equalAverage="0" bottom="0" percent="0" rank="0" text="FAIL" dxfId="22">
      <formula>NOT(ISERROR(SEARCH("FAIL",C120)))</formula>
    </cfRule>
    <cfRule type="containsText" priority="3" operator="containsText" aboveAverage="0" equalAverage="0" bottom="0" percent="0" rank="0" text="OK" dxfId="23">
      <formula>NOT(ISERROR(SEARCH("OK",C120)))</formula>
    </cfRule>
  </conditionalFormatting>
  <dataValidations count="2">
    <dataValidation allowBlank="false" errorStyle="stop" operator="between" showDropDown="false" showErrorMessage="false" showInputMessage="false" sqref="B8" type="list">
      <formula1>"JO,PO"</formula1>
      <formula2>0</formula2>
    </dataValidation>
    <dataValidation allowBlank="false" errorStyle="stop" operator="between" showDropDown="false" showErrorMessage="false" showInputMessage="false" sqref="J107" type="list">
      <formula1>"JO,PO"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22"/>
    <col collapsed="false" customWidth="true" hidden="false" outlineLevel="0" max="3" min="3" style="1" width="10"/>
    <col collapsed="false" customWidth="true" hidden="false" outlineLevel="0" max="5" min="4" style="1" width="14"/>
    <col collapsed="false" customWidth="true" hidden="false" outlineLevel="0" max="7" min="6" style="1" width="16"/>
    <col collapsed="false" customWidth="true" hidden="false" outlineLevel="0" max="8" min="8" style="1" width="14"/>
    <col collapsed="false" customWidth="true" hidden="false" outlineLevel="0" max="9" min="9" style="1" width="42"/>
    <col collapsed="false" customWidth="true" hidden="false" outlineLevel="0" max="10" min="10" style="1" width="24"/>
    <col collapsed="false" customWidth="true" hidden="false" outlineLevel="0" max="11" min="11" style="1" width="18"/>
    <col collapsed="false" customWidth="true" hidden="false" outlineLevel="0" max="12" min="12" style="1" width="20"/>
    <col collapsed="false" customWidth="true" hidden="false" outlineLevel="0" max="13" min="13" style="1" width="30"/>
    <col collapsed="false" customWidth="true" hidden="false" outlineLevel="0" max="14" min="14" style="1" width="26"/>
  </cols>
  <sheetData>
    <row r="1" customFormat="false" ht="24" hidden="false" customHeight="true" outlineLevel="0" collapsed="false">
      <c r="A1" s="429" t="n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164"/>
    </row>
    <row r="2" customFormat="false" ht="19.5" hidden="false" customHeight="true" outlineLevel="0" collapsed="false">
      <c r="A2" s="395" t="s">
        <v>1250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164"/>
    </row>
    <row r="3" customFormat="false" ht="24" hidden="false" customHeight="true" outlineLevel="0" collapsed="false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customFormat="false" ht="19.5" hidden="false" customHeight="true" outlineLevel="0" collapsed="false">
      <c r="A4" s="430" t="s">
        <v>1251</v>
      </c>
      <c r="B4" s="430"/>
      <c r="C4" s="430"/>
      <c r="D4" s="164"/>
      <c r="E4" s="430" t="s">
        <v>1252</v>
      </c>
      <c r="F4" s="430"/>
      <c r="G4" s="430"/>
      <c r="H4" s="430"/>
      <c r="I4" s="430"/>
      <c r="J4" s="430"/>
      <c r="K4" s="430"/>
      <c r="L4" s="430"/>
      <c r="M4" s="430"/>
      <c r="N4" s="430"/>
      <c r="O4" s="164"/>
    </row>
    <row r="5" customFormat="false" ht="19.5" hidden="false" customHeight="true" outlineLevel="0" collapsed="false">
      <c r="A5" s="431" t="s">
        <v>1208</v>
      </c>
      <c r="B5" s="432" t="n">
        <f aca="false">DATE(SETTINGS!$B$9,12,31)</f>
        <v>46022</v>
      </c>
      <c r="C5" s="433" t="s">
        <v>811</v>
      </c>
      <c r="D5" s="164"/>
      <c r="E5" s="431" t="s">
        <v>1253</v>
      </c>
      <c r="F5" s="434" t="str">
        <f aca="false">IF($B$9&gt;0,"FITIM",IF($B$9&lt;0,"HUMBJE","ZERO"))</f>
        <v>ZERO</v>
      </c>
      <c r="G5" s="164"/>
      <c r="H5" s="164"/>
      <c r="I5" s="164"/>
      <c r="J5" s="164"/>
      <c r="K5" s="164"/>
      <c r="L5" s="164"/>
      <c r="M5" s="164"/>
      <c r="N5" s="164"/>
      <c r="O5" s="164"/>
    </row>
    <row r="6" customFormat="false" ht="19.5" hidden="false" customHeight="true" outlineLevel="0" collapsed="false">
      <c r="A6" s="431" t="s">
        <v>1254</v>
      </c>
      <c r="B6" s="435" t="s">
        <v>1255</v>
      </c>
      <c r="C6" s="433" t="s">
        <v>834</v>
      </c>
      <c r="D6" s="164"/>
      <c r="E6" s="431" t="s">
        <v>867</v>
      </c>
      <c r="F6" s="434" t="n">
        <f aca="false">ABS($B$9)</f>
        <v>0</v>
      </c>
      <c r="G6" s="164"/>
      <c r="H6" s="164"/>
      <c r="I6" s="164"/>
      <c r="J6" s="164"/>
      <c r="K6" s="164"/>
      <c r="L6" s="164"/>
      <c r="M6" s="164"/>
      <c r="N6" s="164"/>
      <c r="O6" s="164"/>
    </row>
    <row r="7" customFormat="false" ht="19.5" hidden="false" customHeight="true" outlineLevel="0" collapsed="false">
      <c r="A7" s="431" t="s">
        <v>1256</v>
      </c>
      <c r="B7" s="434" t="n">
        <f aca="false">MBYLLJA_6_7_AUTO!$B$9</f>
        <v>0</v>
      </c>
      <c r="C7" s="433" t="s">
        <v>811</v>
      </c>
      <c r="D7" s="164"/>
      <c r="E7" s="431" t="s">
        <v>1257</v>
      </c>
      <c r="F7" s="434" t="str">
        <f aca="false">IF(OR($B$11="GATI — ZGJIDH PO",$B$11="POSTIM AUTOMATIK NË PROCES",$B$11="MBYLLJA E POSTUAR",$B$11="REZULTATI I TRANSFERUAR NË 108"),"PO","JO")</f>
        <v>PO</v>
      </c>
      <c r="G7" s="164"/>
      <c r="H7" s="164"/>
      <c r="I7" s="164"/>
      <c r="J7" s="164"/>
      <c r="K7" s="164"/>
      <c r="L7" s="164"/>
      <c r="M7" s="164"/>
      <c r="N7" s="164"/>
      <c r="O7" s="164"/>
    </row>
    <row r="8" customFormat="false" ht="19.5" hidden="false" customHeight="true" outlineLevel="0" collapsed="false">
      <c r="A8" s="431" t="s">
        <v>1258</v>
      </c>
      <c r="B8" s="434" t="n">
        <f aca="false">MBYLLJA_6_7_AUTO!$B$10</f>
        <v>0</v>
      </c>
      <c r="C8" s="433" t="s">
        <v>811</v>
      </c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</row>
    <row r="9" customFormat="false" ht="19.5" hidden="false" customHeight="true" outlineLevel="0" collapsed="false">
      <c r="A9" s="431" t="s">
        <v>1228</v>
      </c>
      <c r="B9" s="434" t="n">
        <f aca="false">B7-B8</f>
        <v>0</v>
      </c>
      <c r="C9" s="433" t="s">
        <v>811</v>
      </c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</row>
    <row r="10" customFormat="false" ht="19.5" hidden="false" customHeight="true" outlineLevel="0" collapsed="false">
      <c r="A10" s="431" t="s">
        <v>1214</v>
      </c>
      <c r="B10" s="434" t="str">
        <f aca="false">MBYLLJA_6_7_AUTO!$B$12</f>
        <v>ZERO</v>
      </c>
      <c r="C10" s="433" t="s">
        <v>811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</row>
    <row r="11" customFormat="false" ht="19.5" hidden="false" customHeight="true" outlineLevel="0" collapsed="false">
      <c r="A11" s="431" t="s">
        <v>1215</v>
      </c>
      <c r="B11" s="434" t="str">
        <f aca="false">MBYLLJA_6_7_AUTO!$B$13</f>
        <v>GATI — ZGJIDH PO</v>
      </c>
      <c r="C11" s="433" t="s">
        <v>811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</row>
    <row r="12" customFormat="false" ht="24" hidden="false" customHeight="true" outlineLevel="0" collapsed="false">
      <c r="A12" s="164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</row>
    <row r="13" customFormat="false" ht="19.5" hidden="false" customHeight="true" outlineLevel="0" collapsed="false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</row>
    <row r="14" customFormat="false" ht="19.5" hidden="false" customHeight="true" outlineLevel="0" collapsed="false">
      <c r="A14" s="430" t="s">
        <v>1259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164"/>
    </row>
    <row r="15" customFormat="false" ht="19.5" hidden="false" customHeight="true" outlineLevel="0" collapsed="false">
      <c r="A15" s="395" t="s">
        <v>1260</v>
      </c>
      <c r="B15" s="395"/>
      <c r="C15" s="395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164"/>
    </row>
    <row r="16" customFormat="false" ht="19.5" hidden="false" customHeight="true" outlineLevel="0" collapsed="false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</row>
    <row r="17" customFormat="false" ht="19.5" hidden="false" customHeight="true" outlineLevel="0" collapsed="false">
      <c r="A17" s="436" t="s">
        <v>740</v>
      </c>
      <c r="B17" s="436" t="s">
        <v>741</v>
      </c>
      <c r="C17" s="436" t="s">
        <v>742</v>
      </c>
      <c r="D17" s="436" t="s">
        <v>743</v>
      </c>
      <c r="E17" s="436" t="s">
        <v>744</v>
      </c>
      <c r="F17" s="436" t="s">
        <v>212</v>
      </c>
      <c r="G17" s="436" t="s">
        <v>745</v>
      </c>
      <c r="H17" s="436" t="s">
        <v>746</v>
      </c>
      <c r="I17" s="436" t="s">
        <v>747</v>
      </c>
      <c r="J17" s="436" t="s">
        <v>748</v>
      </c>
      <c r="K17" s="436" t="s">
        <v>749</v>
      </c>
      <c r="L17" s="436" t="s">
        <v>750</v>
      </c>
      <c r="M17" s="436" t="s">
        <v>751</v>
      </c>
      <c r="N17" s="436" t="s">
        <v>752</v>
      </c>
      <c r="O17" s="164"/>
    </row>
    <row r="18" customFormat="false" ht="24" hidden="false" customHeight="true" outlineLevel="0" collapsed="false">
      <c r="A18" s="437" t="n">
        <f aca="false">$B$5</f>
        <v>46022</v>
      </c>
      <c r="B18" s="438" t="s">
        <v>1261</v>
      </c>
      <c r="C18" s="438" t="s">
        <v>1262</v>
      </c>
      <c r="D18" s="431" t="s">
        <v>596</v>
      </c>
      <c r="E18" s="439" t="str">
        <f aca="false">IFERROR(VLOOKUP(D18,PLANI_LLOGARIVE!$A:$B,2,FALSE()),"")</f>
        <v>Amortizime të aktiveve afatgjata</v>
      </c>
      <c r="F18" s="440" t="n">
        <f aca="false">IF($B$11="GATI PËR POSTIM",IF($B$6="PO",IF(VEPRIMET_RREGULLUESE!$G$28&gt;0,VEPRIMET_RREGULLUESE!$D$28,0),0),0)</f>
        <v>0</v>
      </c>
      <c r="G18" s="441"/>
      <c r="H18" s="438" t="s">
        <v>1263</v>
      </c>
      <c r="I18" s="438" t="s">
        <v>1264</v>
      </c>
      <c r="J18" s="442" t="str">
        <f aca="false">IF(TRIM($C18)="","",IF($M18&lt;&gt;"OK",$M18,IF(ABS(SUMIFS($F:$F,$C:$C,TRIM($C18))-SUMIFS($G:$G,$C:$C,TRIM($C18)))&lt;0.005,"OK","ERROR - veprimi nuk balancohet")))</f>
        <v>OK</v>
      </c>
      <c r="K18" s="442" t="n">
        <f aca="false">IF($D18="","",IFERROR(VLOOKUP($D18,PLANI_LLOGARIVE!$A:$J,10,FALSE()),FALSE()))</f>
        <v>1</v>
      </c>
      <c r="L18" s="442" t="str">
        <f aca="false">IF($D18="","",IFERROR(VLOOKUP($D18,PLANI_LLOGARIVE!$A:$G,7,FALSE()),"NUK EKZISTON"))</f>
        <v>Shpenzim</v>
      </c>
      <c r="M18" s="442" t="str">
        <f aca="false">IF($D18="","",IF(COUNTIF(PLANI_LLOGARIVE!$A:$A,$D18)=0,"ERROR - llogaria nuk ekziston",IF($K18=TRUE(),"OK","ERROR - llogari jo-postuese/Header")))</f>
        <v>OK</v>
      </c>
      <c r="N18" s="442" t="str">
        <f aca="false">IF(TRIM($C18)="","",IF(ABS(SUMIFS($F:$F,$C:$C,TRIM($C18))-SUMIFS($G:$G,$C:$C,TRIM($C18)))&lt;0.005,"OK","ERROR - debi/kredi"))</f>
        <v>OK</v>
      </c>
      <c r="O18" s="164"/>
    </row>
    <row r="19" customFormat="false" ht="19.5" hidden="false" customHeight="true" outlineLevel="0" collapsed="false">
      <c r="A19" s="437" t="n">
        <f aca="false">$B$5</f>
        <v>46022</v>
      </c>
      <c r="B19" s="438" t="s">
        <v>1261</v>
      </c>
      <c r="C19" s="438" t="s">
        <v>1262</v>
      </c>
      <c r="D19" s="431" t="s">
        <v>268</v>
      </c>
      <c r="E19" s="439" t="str">
        <f aca="false">IFERROR(VLOOKUP(D19,PLANI_LLOGARIVE!$A:$B,2,FALSE()),"")</f>
        <v>Amortizimi i AA jomateriale</v>
      </c>
      <c r="F19" s="441"/>
      <c r="G19" s="440" t="n">
        <f aca="false">IF($B$11="GATI PËR POSTIM",IF($B$6="PO",IF(VEPRIMET_RREGULLUESE!$G$28&gt;0,VEPRIMET_RREGULLUESE!$D$28,0),0),0)</f>
        <v>0</v>
      </c>
      <c r="H19" s="438" t="s">
        <v>1263</v>
      </c>
      <c r="I19" s="438" t="s">
        <v>1264</v>
      </c>
      <c r="J19" s="442" t="str">
        <f aca="false">IF(TRIM($C19)="","",IF($M19&lt;&gt;"OK",$M19,IF(ABS(SUMIFS($F:$F,$C:$C,TRIM($C19))-SUMIFS($G:$G,$C:$C,TRIM($C19)))&lt;0.005,"OK","ERROR - veprimi nuk balancohet")))</f>
        <v>OK</v>
      </c>
      <c r="K19" s="442" t="n">
        <f aca="false">IF($D19="","",IFERROR(VLOOKUP($D19,PLANI_LLOGARIVE!$A:$J,10,FALSE()),FALSE()))</f>
        <v>1</v>
      </c>
      <c r="L19" s="442" t="str">
        <f aca="false">IF($D19="","",IFERROR(VLOOKUP($D19,PLANI_LLOGARIVE!$A:$G,7,FALSE()),"NUK EKZISTON"))</f>
        <v>Kundër-aktiv</v>
      </c>
      <c r="M19" s="442" t="str">
        <f aca="false">IF($D19="","",IF(COUNTIF(PLANI_LLOGARIVE!$A:$A,$D19)=0,"ERROR - llogaria nuk ekziston",IF($K19=TRUE(),"OK","ERROR - llogari jo-postuese/Header")))</f>
        <v>OK</v>
      </c>
      <c r="N19" s="442" t="str">
        <f aca="false">IF(TRIM($C19)="","",IF(ABS(SUMIFS($F:$F,$C:$C,TRIM($C19))-SUMIFS($G:$G,$C:$C,TRIM($C19)))&lt;0.005,"OK","ERROR - debi/kredi"))</f>
        <v>OK</v>
      </c>
      <c r="O19" s="164"/>
    </row>
    <row r="20" customFormat="false" ht="19.5" hidden="false" customHeight="true" outlineLevel="0" collapsed="false">
      <c r="A20" s="437" t="n">
        <f aca="false">$B$5</f>
        <v>46022</v>
      </c>
      <c r="B20" s="438" t="s">
        <v>1265</v>
      </c>
      <c r="C20" s="438" t="s">
        <v>1266</v>
      </c>
      <c r="D20" s="431" t="s">
        <v>612</v>
      </c>
      <c r="E20" s="439" t="str">
        <f aca="false">IFERROR(VLOOKUP(D20,PLANI_LLOGARIVE!$A:$B,2,FALSE()),"")</f>
        <v>Tatime mbi fitimet</v>
      </c>
      <c r="F20" s="440" t="n">
        <f aca="false">IF($B$11="GATI PËR POSTIM",IF($B$6="PO",IF(VEPRIMET_RREGULLUESE!$E$132="PO",VEPRIMET_RREGULLUESE!$D$132,0),0),0)</f>
        <v>0</v>
      </c>
      <c r="G20" s="441"/>
      <c r="H20" s="438" t="s">
        <v>1263</v>
      </c>
      <c r="I20" s="438" t="s">
        <v>939</v>
      </c>
      <c r="J20" s="442" t="str">
        <f aca="false">IF(TRIM($C20)="","",IF($M20&lt;&gt;"OK",$M20,IF(ABS(SUMIFS($F:$F,$C:$C,TRIM($C20))-SUMIFS($G:$G,$C:$C,TRIM($C20)))&lt;0.005,"OK","ERROR - veprimi nuk balancohet")))</f>
        <v>OK</v>
      </c>
      <c r="K20" s="442" t="n">
        <f aca="false">IF($D20="","",IFERROR(VLOOKUP($D20,PLANI_LLOGARIVE!$A:$J,10,FALSE()),FALSE()))</f>
        <v>1</v>
      </c>
      <c r="L20" s="442" t="str">
        <f aca="false">IF($D20="","",IFERROR(VLOOKUP($D20,PLANI_LLOGARIVE!$A:$G,7,FALSE()),"NUK EKZISTON"))</f>
        <v>Shpenzim</v>
      </c>
      <c r="M20" s="442" t="str">
        <f aca="false">IF($D20="","",IF(COUNTIF(PLANI_LLOGARIVE!$A:$A,$D20)=0,"ERROR - llogaria nuk ekziston",IF($K20=TRUE(),"OK","ERROR - llogari jo-postuese/Header")))</f>
        <v>OK</v>
      </c>
      <c r="N20" s="442" t="str">
        <f aca="false">IF(TRIM($C20)="","",IF(ABS(SUMIFS($F:$F,$C:$C,TRIM($C20))-SUMIFS($G:$G,$C:$C,TRIM($C20)))&lt;0.005,"OK","ERROR - debi/kredi"))</f>
        <v>OK</v>
      </c>
      <c r="O20" s="164"/>
    </row>
    <row r="21" customFormat="false" ht="19.5" hidden="false" customHeight="true" outlineLevel="0" collapsed="false">
      <c r="A21" s="437" t="n">
        <f aca="false">$B$5</f>
        <v>46022</v>
      </c>
      <c r="B21" s="438" t="s">
        <v>1265</v>
      </c>
      <c r="C21" s="438" t="s">
        <v>1266</v>
      </c>
      <c r="D21" s="431" t="s">
        <v>380</v>
      </c>
      <c r="E21" s="439" t="str">
        <f aca="false">IFERROR(VLOOKUP(D21,PLANI_LLOGARIVE!$A:$B,2,FALSE()),"")</f>
        <v>Tatim mbi fitimin</v>
      </c>
      <c r="F21" s="441"/>
      <c r="G21" s="440" t="n">
        <f aca="false">IF($B$11="GATI PËR POSTIM",IF($B$6="PO",IF(VEPRIMET_RREGULLUESE!$E$132="PO",VEPRIMET_RREGULLUESE!$D$132,0),0),0)</f>
        <v>0</v>
      </c>
      <c r="H21" s="438" t="s">
        <v>1263</v>
      </c>
      <c r="I21" s="438" t="s">
        <v>939</v>
      </c>
      <c r="J21" s="442" t="str">
        <f aca="false">IF(TRIM($C21)="","",IF($M21&lt;&gt;"OK",$M21,IF(ABS(SUMIFS($F:$F,$C:$C,TRIM($C21))-SUMIFS($G:$G,$C:$C,TRIM($C21)))&lt;0.005,"OK","ERROR - veprimi nuk balancohet")))</f>
        <v>OK</v>
      </c>
      <c r="K21" s="442" t="n">
        <f aca="false">IF($D21="","",IFERROR(VLOOKUP($D21,PLANI_LLOGARIVE!$A:$J,10,FALSE()),FALSE()))</f>
        <v>1</v>
      </c>
      <c r="L21" s="442" t="str">
        <f aca="false">IF($D21="","",IFERROR(VLOOKUP($D21,PLANI_LLOGARIVE!$A:$G,7,FALSE()),"NUK EKZISTON"))</f>
        <v>Detyrim</v>
      </c>
      <c r="M21" s="442" t="str">
        <f aca="false">IF($D21="","",IF(COUNTIF(PLANI_LLOGARIVE!$A:$A,$D21)=0,"ERROR - llogaria nuk ekziston",IF($K21=TRUE(),"OK","ERROR - llogari jo-postuese/Header")))</f>
        <v>OK</v>
      </c>
      <c r="N21" s="442" t="str">
        <f aca="false">IF(TRIM($C21)="","",IF(ABS(SUMIFS($F:$F,$C:$C,TRIM($C21))-SUMIFS($G:$G,$C:$C,TRIM($C21)))&lt;0.005,"OK","ERROR - debi/kredi"))</f>
        <v>OK</v>
      </c>
      <c r="O21" s="164"/>
    </row>
    <row r="22" customFormat="false" ht="19.5" hidden="false" customHeight="true" outlineLevel="0" collapsed="false">
      <c r="A22" s="437" t="n">
        <f aca="false">$B$5</f>
        <v>46022</v>
      </c>
      <c r="B22" s="438" t="s">
        <v>1267</v>
      </c>
      <c r="C22" s="438" t="s">
        <v>1268</v>
      </c>
      <c r="D22" s="443"/>
      <c r="E22" s="444" t="str">
        <f aca="false">IFERROR(VLOOKUP(D22,PLANI_LLOGARIVE!$A:$B,2,FALSE()),"")</f>
        <v/>
      </c>
      <c r="F22" s="440" t="n">
        <f aca="false">IF($B$11="GATI PËR POSTIM",IF($B$6="PO",SUMIFS(VEPRIMET_RREGULLUESE!$F$76:$F$90,VEPRIMET_RREGULLUESE!$G$76:$G$90,"PO"),0),0)</f>
        <v>0</v>
      </c>
      <c r="G22" s="441"/>
      <c r="H22" s="438" t="s">
        <v>1263</v>
      </c>
      <c r="I22" s="438" t="s">
        <v>1269</v>
      </c>
      <c r="J22" s="442" t="str">
        <f aca="false">IF(TRIM($C22)="","",IF($M22&lt;&gt;"OK",$M22,IF(ABS(SUMIFS($F:$F,$C:$C,TRIM($C22))-SUMIFS($G:$G,$C:$C,TRIM($C22)))&lt;0.005,"OK","ERROR - veprimi nuk balancohet")))</f>
        <v/>
      </c>
      <c r="K22" s="442" t="str">
        <f aca="false">IF($D22="","",IFERROR(VLOOKUP($D22,PLANI_LLOGARIVE!$A:$J,10,FALSE()),FALSE()))</f>
        <v/>
      </c>
      <c r="L22" s="442" t="str">
        <f aca="false">IF($D22="","",IFERROR(VLOOKUP($D22,PLANI_LLOGARIVE!$A:$G,7,FALSE()),"NUK EKZISTON"))</f>
        <v/>
      </c>
      <c r="M22" s="442" t="str">
        <f aca="false">IF($D22="","",IF(COUNTIF(PLANI_LLOGARIVE!$A:$A,$D22)=0,"ERROR - llogaria nuk ekziston",IF($K22=TRUE(),"OK","ERROR - llogari jo-postuese/Header")))</f>
        <v/>
      </c>
      <c r="N22" s="442" t="str">
        <f aca="false">IF(TRIM($C22)="","",IF(ABS(SUMIFS($F:$F,$C:$C,TRIM($C22))-SUMIFS($G:$G,$C:$C,TRIM($C22)))&lt;0.005,"OK","ERROR - debi/kredi"))</f>
        <v>OK</v>
      </c>
      <c r="O22" s="164"/>
    </row>
    <row r="23" customFormat="false" ht="19.5" hidden="false" customHeight="true" outlineLevel="0" collapsed="false">
      <c r="A23" s="437" t="n">
        <f aca="false">$B$5</f>
        <v>46022</v>
      </c>
      <c r="B23" s="438" t="s">
        <v>1267</v>
      </c>
      <c r="C23" s="438" t="s">
        <v>1268</v>
      </c>
      <c r="D23" s="443"/>
      <c r="E23" s="444" t="str">
        <f aca="false">IFERROR(VLOOKUP(D23,PLANI_LLOGARIVE!$A:$B,2,FALSE()),"")</f>
        <v/>
      </c>
      <c r="F23" s="441"/>
      <c r="G23" s="440" t="n">
        <f aca="false">IF($B$11="GATI PËR POSTIM",IF($B$6="PO",SUMIFS(VEPRIMET_RREGULLUESE!$F$76:$F$90,VEPRIMET_RREGULLUESE!$G$76:$G$90,"PO"),0),0)</f>
        <v>0</v>
      </c>
      <c r="H23" s="438" t="s">
        <v>1263</v>
      </c>
      <c r="I23" s="438" t="s">
        <v>1269</v>
      </c>
      <c r="J23" s="442" t="str">
        <f aca="false">IF(TRIM($C23)="","",IF($M23&lt;&gt;"OK",$M23,IF(ABS(SUMIFS($F:$F,$C:$C,TRIM($C23))-SUMIFS($G:$G,$C:$C,TRIM($C23)))&lt;0.005,"OK","ERROR - veprimi nuk balancohet")))</f>
        <v/>
      </c>
      <c r="K23" s="442" t="str">
        <f aca="false">IF($D23="","",IFERROR(VLOOKUP($D23,PLANI_LLOGARIVE!$A:$J,10,FALSE()),FALSE()))</f>
        <v/>
      </c>
      <c r="L23" s="442" t="str">
        <f aca="false">IF($D23="","",IFERROR(VLOOKUP($D23,PLANI_LLOGARIVE!$A:$G,7,FALSE()),"NUK EKZISTON"))</f>
        <v/>
      </c>
      <c r="M23" s="442" t="str">
        <f aca="false">IF($D23="","",IF(COUNTIF(PLANI_LLOGARIVE!$A:$A,$D23)=0,"ERROR - llogaria nuk ekziston",IF($K23=TRUE(),"OK","ERROR - llogari jo-postuese/Header")))</f>
        <v/>
      </c>
      <c r="N23" s="442" t="str">
        <f aca="false">IF(TRIM($C23)="","",IF(ABS(SUMIFS($F:$F,$C:$C,TRIM($C23))-SUMIFS($G:$G,$C:$C,TRIM($C23)))&lt;0.005,"OK","ERROR - debi/kredi"))</f>
        <v>OK</v>
      </c>
      <c r="O23" s="164"/>
    </row>
    <row r="24" customFormat="false" ht="19.5" hidden="false" customHeight="true" outlineLevel="0" collapsed="false">
      <c r="A24" s="437" t="n">
        <f aca="false">$B$5</f>
        <v>46022</v>
      </c>
      <c r="B24" s="438" t="s">
        <v>1270</v>
      </c>
      <c r="C24" s="438" t="s">
        <v>1271</v>
      </c>
      <c r="D24" s="431"/>
      <c r="E24" s="439" t="str">
        <f aca="false">IFERROR(VLOOKUP(D24,PLANI_LLOGARIVE!$A:$B,2,FALSE()),"")</f>
        <v/>
      </c>
      <c r="F24" s="441" t="n">
        <v>0</v>
      </c>
      <c r="G24" s="441"/>
      <c r="H24" s="438" t="s">
        <v>1263</v>
      </c>
      <c r="I24" s="438" t="s">
        <v>1272</v>
      </c>
      <c r="J24" s="442" t="str">
        <f aca="false">IF(TRIM($C24)="","",IF($M24&lt;&gt;"OK",$M24,IF(ABS(SUMIFS($F:$F,$C:$C,TRIM($C24))-SUMIFS($G:$G,$C:$C,TRIM($C24)))&lt;0.005,"OK","ERROR - veprimi nuk balancohet")))</f>
        <v/>
      </c>
      <c r="K24" s="442" t="str">
        <f aca="false">IF($D24="","",IFERROR(VLOOKUP($D24,PLANI_LLOGARIVE!$A:$J,10,FALSE()),FALSE()))</f>
        <v/>
      </c>
      <c r="L24" s="442" t="str">
        <f aca="false">IF($D24="","",IFERROR(VLOOKUP($D24,PLANI_LLOGARIVE!$A:$G,7,FALSE()),"NUK EKZISTON"))</f>
        <v/>
      </c>
      <c r="M24" s="442" t="str">
        <f aca="false">IF($D24="","",IF(COUNTIF(PLANI_LLOGARIVE!$A:$A,$D24)=0,"ERROR - llogaria nuk ekziston",IF($K24=TRUE(),"OK","ERROR - llogari jo-postuese/Header")))</f>
        <v/>
      </c>
      <c r="N24" s="442" t="str">
        <f aca="false">IF(TRIM($C24)="","",IF(ABS(SUMIFS($F:$F,$C:$C,TRIM($C24))-SUMIFS($G:$G,$C:$C,TRIM($C24)))&lt;0.005,"OK","ERROR - debi/kredi"))</f>
        <v>OK</v>
      </c>
      <c r="O24" s="164"/>
    </row>
    <row r="25" customFormat="false" ht="19.5" hidden="false" customHeight="true" outlineLevel="0" collapsed="false">
      <c r="A25" s="437" t="n">
        <f aca="false">$B$5</f>
        <v>46022</v>
      </c>
      <c r="B25" s="438" t="s">
        <v>1270</v>
      </c>
      <c r="C25" s="438" t="s">
        <v>1271</v>
      </c>
      <c r="D25" s="431" t="s">
        <v>231</v>
      </c>
      <c r="E25" s="439" t="str">
        <f aca="false">IFERROR(VLOOKUP(D25,PLANI_LLOGARIVE!$A:$B,2,FALSE()),"")</f>
        <v>Rezultati i ushtrimit — viti aktual</v>
      </c>
      <c r="F25" s="441"/>
      <c r="G25" s="441" t="n">
        <v>0</v>
      </c>
      <c r="H25" s="438" t="s">
        <v>1263</v>
      </c>
      <c r="I25" s="438" t="s">
        <v>1272</v>
      </c>
      <c r="J25" s="442" t="str">
        <f aca="false">IF(TRIM($C25)="","",IF($M25&lt;&gt;"OK",$M25,IF(ABS(SUMIFS($F:$F,$C:$C,TRIM($C25))-SUMIFS($G:$G,$C:$C,TRIM($C25)))&lt;0.005,"OK","ERROR - veprimi nuk balancohet")))</f>
        <v>OK</v>
      </c>
      <c r="K25" s="442" t="n">
        <f aca="false">IF($D25="","",IFERROR(VLOOKUP($D25,PLANI_LLOGARIVE!$A:$J,10,FALSE()),FALSE()))</f>
        <v>1</v>
      </c>
      <c r="L25" s="442" t="str">
        <f aca="false">IF($D25="","",IFERROR(VLOOKUP($D25,PLANI_LLOGARIVE!$A:$G,7,FALSE()),"NUK EKZISTON"))</f>
        <v>Kapital</v>
      </c>
      <c r="M25" s="442" t="str">
        <f aca="false">IF($D25="","",IF(COUNTIF(PLANI_LLOGARIVE!$A:$A,$D25)=0,"ERROR - llogaria nuk ekziston",IF($K25=TRUE(),"OK","ERROR - llogari jo-postuese/Header")))</f>
        <v>OK</v>
      </c>
      <c r="N25" s="442" t="str">
        <f aca="false">IF(TRIM($C25)="","",IF(ABS(SUMIFS($F:$F,$C:$C,TRIM($C25))-SUMIFS($G:$G,$C:$C,TRIM($C25)))&lt;0.005,"OK","ERROR - debi/kredi"))</f>
        <v>OK</v>
      </c>
      <c r="O25" s="164"/>
    </row>
    <row r="26" customFormat="false" ht="19.5" hidden="false" customHeight="true" outlineLevel="0" collapsed="false">
      <c r="A26" s="437" t="n">
        <f aca="false">$B$5</f>
        <v>46022</v>
      </c>
      <c r="B26" s="438" t="s">
        <v>1273</v>
      </c>
      <c r="C26" s="438" t="s">
        <v>1274</v>
      </c>
      <c r="D26" s="431" t="s">
        <v>231</v>
      </c>
      <c r="E26" s="439" t="str">
        <f aca="false">IFERROR(VLOOKUP(D26,PLANI_LLOGARIVE!$A:$B,2,FALSE()),"")</f>
        <v>Rezultati i ushtrimit — viti aktual</v>
      </c>
      <c r="F26" s="441" t="n">
        <v>0</v>
      </c>
      <c r="G26" s="441"/>
      <c r="H26" s="438" t="s">
        <v>1263</v>
      </c>
      <c r="I26" s="438" t="s">
        <v>1272</v>
      </c>
      <c r="J26" s="442" t="str">
        <f aca="false">IF(TRIM($C26)="","",IF($M26&lt;&gt;"OK",$M26,IF(ABS(SUMIFS($F:$F,$C:$C,TRIM($C26))-SUMIFS($G:$G,$C:$C,TRIM($C26)))&lt;0.005,"OK","ERROR - veprimi nuk balancohet")))</f>
        <v>OK</v>
      </c>
      <c r="K26" s="442" t="n">
        <f aca="false">IF($D26="","",IFERROR(VLOOKUP($D26,PLANI_LLOGARIVE!$A:$J,10,FALSE()),FALSE()))</f>
        <v>1</v>
      </c>
      <c r="L26" s="442" t="str">
        <f aca="false">IF($D26="","",IFERROR(VLOOKUP($D26,PLANI_LLOGARIVE!$A:$G,7,FALSE()),"NUK EKZISTON"))</f>
        <v>Kapital</v>
      </c>
      <c r="M26" s="442" t="str">
        <f aca="false">IF($D26="","",IF(COUNTIF(PLANI_LLOGARIVE!$A:$A,$D26)=0,"ERROR - llogaria nuk ekziston",IF($K26=TRUE(),"OK","ERROR - llogari jo-postuese/Header")))</f>
        <v>OK</v>
      </c>
      <c r="N26" s="442" t="str">
        <f aca="false">IF(TRIM($C26)="","",IF(ABS(SUMIFS($F:$F,$C:$C,TRIM($C26))-SUMIFS($G:$G,$C:$C,TRIM($C26)))&lt;0.005,"OK","ERROR - debi/kredi"))</f>
        <v>OK</v>
      </c>
      <c r="O26" s="164"/>
    </row>
    <row r="27" customFormat="false" ht="19.5" hidden="false" customHeight="true" outlineLevel="0" collapsed="false">
      <c r="A27" s="437" t="n">
        <f aca="false">$B$5</f>
        <v>46022</v>
      </c>
      <c r="B27" s="438" t="s">
        <v>1273</v>
      </c>
      <c r="C27" s="438" t="s">
        <v>1274</v>
      </c>
      <c r="D27" s="431"/>
      <c r="E27" s="439" t="str">
        <f aca="false">IFERROR(VLOOKUP(D27,PLANI_LLOGARIVE!$A:$B,2,FALSE()),"")</f>
        <v/>
      </c>
      <c r="F27" s="441"/>
      <c r="G27" s="441" t="n">
        <v>0</v>
      </c>
      <c r="H27" s="438" t="s">
        <v>1263</v>
      </c>
      <c r="I27" s="438" t="s">
        <v>1272</v>
      </c>
      <c r="J27" s="442" t="str">
        <f aca="false">IF(TRIM($C27)="","",IF($M27&lt;&gt;"OK",$M27,IF(ABS(SUMIFS($F:$F,$C:$C,TRIM($C27))-SUMIFS($G:$G,$C:$C,TRIM($C27)))&lt;0.005,"OK","ERROR - veprimi nuk balancohet")))</f>
        <v/>
      </c>
      <c r="K27" s="442" t="str">
        <f aca="false">IF($D27="","",IFERROR(VLOOKUP($D27,PLANI_LLOGARIVE!$A:$J,10,FALSE()),FALSE()))</f>
        <v/>
      </c>
      <c r="L27" s="442" t="str">
        <f aca="false">IF($D27="","",IFERROR(VLOOKUP($D27,PLANI_LLOGARIVE!$A:$G,7,FALSE()),"NUK EKZISTON"))</f>
        <v/>
      </c>
      <c r="M27" s="442" t="str">
        <f aca="false">IF($D27="","",IF(COUNTIF(PLANI_LLOGARIVE!$A:$A,$D27)=0,"ERROR - llogaria nuk ekziston",IF($K27=TRUE(),"OK","ERROR - llogari jo-postuese/Header")))</f>
        <v/>
      </c>
      <c r="N27" s="442" t="str">
        <f aca="false">IF(TRIM($C27)="","",IF(ABS(SUMIFS($F:$F,$C:$C,TRIM($C27))-SUMIFS($G:$G,$C:$C,TRIM($C27)))&lt;0.005,"OK","ERROR - debi/kredi"))</f>
        <v>OK</v>
      </c>
      <c r="O27" s="164"/>
    </row>
    <row r="28" customFormat="false" ht="19.5" hidden="false" customHeight="true" outlineLevel="0" collapsed="false">
      <c r="A28" s="438"/>
      <c r="B28" s="438"/>
      <c r="C28" s="438"/>
      <c r="D28" s="431"/>
      <c r="E28" s="431"/>
      <c r="F28" s="441"/>
      <c r="G28" s="441"/>
      <c r="H28" s="438"/>
      <c r="I28" s="438"/>
      <c r="J28" s="438"/>
      <c r="K28" s="438"/>
      <c r="L28" s="438"/>
      <c r="M28" s="438"/>
      <c r="N28" s="438"/>
      <c r="O28" s="164"/>
    </row>
    <row r="29" customFormat="false" ht="19.5" hidden="false" customHeight="true" outlineLevel="0" collapsed="false">
      <c r="A29" s="438"/>
      <c r="B29" s="438"/>
      <c r="C29" s="438"/>
      <c r="D29" s="431"/>
      <c r="E29" s="431"/>
      <c r="F29" s="441"/>
      <c r="G29" s="441"/>
      <c r="H29" s="438"/>
      <c r="I29" s="438"/>
      <c r="J29" s="438"/>
      <c r="K29" s="438"/>
      <c r="L29" s="438"/>
      <c r="M29" s="438"/>
      <c r="N29" s="438"/>
      <c r="O29" s="164"/>
    </row>
    <row r="30" customFormat="false" ht="19.5" hidden="false" customHeight="true" outlineLevel="0" collapsed="false">
      <c r="A30" s="164"/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</row>
    <row r="31" customFormat="false" ht="19.5" hidden="false" customHeight="true" outlineLevel="0" collapsed="false">
      <c r="A31" s="164"/>
      <c r="B31" s="164"/>
      <c r="C31" s="164"/>
      <c r="D31" s="164"/>
      <c r="E31" s="445" t="s">
        <v>1275</v>
      </c>
      <c r="F31" s="446" t="n">
        <f aca="false">SUM(F18:F29)</f>
        <v>0</v>
      </c>
      <c r="G31" s="446" t="n">
        <f aca="false">SUM(G18:G29)</f>
        <v>0</v>
      </c>
      <c r="H31" s="445" t="s">
        <v>736</v>
      </c>
      <c r="I31" s="447" t="n">
        <f aca="false">F31-G31</f>
        <v>0</v>
      </c>
      <c r="J31" s="446" t="str">
        <f aca="false">IF(ABS(I31)&lt;0.005,"OK","GABIM")</f>
        <v>OK</v>
      </c>
      <c r="K31" s="164"/>
      <c r="L31" s="164"/>
      <c r="M31" s="164"/>
      <c r="N31" s="164"/>
      <c r="O31" s="164"/>
    </row>
    <row r="32" customFormat="false" ht="19.5" hidden="false" customHeight="true" outlineLevel="0" collapsed="false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</row>
    <row r="33" customFormat="false" ht="19.5" hidden="false" customHeight="true" outlineLevel="0" collapsed="false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</row>
    <row r="34" customFormat="false" ht="19.5" hidden="false" customHeight="true" outlineLevel="0" collapsed="false">
      <c r="A34" s="430" t="s">
        <v>1276</v>
      </c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164"/>
    </row>
    <row r="35" customFormat="false" ht="19.5" hidden="false" customHeight="true" outlineLevel="0" collapsed="false">
      <c r="A35" s="431" t="s">
        <v>1277</v>
      </c>
      <c r="B35" s="431"/>
      <c r="C35" s="431"/>
      <c r="D35" s="431"/>
      <c r="E35" s="431"/>
      <c r="F35" s="431"/>
      <c r="G35" s="431"/>
      <c r="H35" s="431"/>
      <c r="I35" s="431"/>
      <c r="J35" s="431"/>
      <c r="K35" s="431"/>
      <c r="L35" s="431"/>
      <c r="M35" s="431"/>
      <c r="N35" s="431"/>
      <c r="O35" s="164"/>
    </row>
    <row r="36" customFormat="false" ht="19.5" hidden="false" customHeight="true" outlineLevel="0" collapsed="false">
      <c r="A36" s="431" t="s">
        <v>1278</v>
      </c>
      <c r="B36" s="431"/>
      <c r="C36" s="431"/>
      <c r="D36" s="431"/>
      <c r="E36" s="431"/>
      <c r="F36" s="431"/>
      <c r="G36" s="431"/>
      <c r="H36" s="431"/>
      <c r="I36" s="431"/>
      <c r="J36" s="431"/>
      <c r="K36" s="431"/>
      <c r="L36" s="431"/>
      <c r="M36" s="431"/>
      <c r="N36" s="431"/>
      <c r="O36" s="164"/>
    </row>
    <row r="37" customFormat="false" ht="19.5" hidden="false" customHeight="true" outlineLevel="0" collapsed="false">
      <c r="A37" s="431" t="s">
        <v>1279</v>
      </c>
      <c r="B37" s="431"/>
      <c r="C37" s="431"/>
      <c r="D37" s="431"/>
      <c r="E37" s="431"/>
      <c r="F37" s="431"/>
      <c r="G37" s="431"/>
      <c r="H37" s="431"/>
      <c r="I37" s="431"/>
      <c r="J37" s="431"/>
      <c r="K37" s="431"/>
      <c r="L37" s="431"/>
      <c r="M37" s="431"/>
      <c r="N37" s="431"/>
      <c r="O37" s="164"/>
    </row>
    <row r="38" customFormat="false" ht="19.5" hidden="false" customHeight="true" outlineLevel="0" collapsed="false">
      <c r="A38" s="431" t="s">
        <v>1280</v>
      </c>
      <c r="B38" s="431"/>
      <c r="C38" s="431"/>
      <c r="D38" s="431"/>
      <c r="E38" s="431"/>
      <c r="F38" s="431"/>
      <c r="G38" s="431"/>
      <c r="H38" s="431"/>
      <c r="I38" s="431"/>
      <c r="J38" s="431"/>
      <c r="K38" s="431"/>
      <c r="L38" s="431"/>
      <c r="M38" s="431"/>
      <c r="N38" s="431"/>
      <c r="O38" s="164"/>
    </row>
    <row r="39" customFormat="false" ht="19.5" hidden="false" customHeight="true" outlineLevel="0" collapsed="false">
      <c r="A39" s="431" t="s">
        <v>1281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1"/>
      <c r="O39" s="164"/>
    </row>
    <row r="40" customFormat="false" ht="19.5" hidden="false" customHeight="true" outlineLevel="0" collapsed="false">
      <c r="A40" s="164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</row>
    <row r="41" customFormat="false" ht="19.5" hidden="false" customHeight="true" outlineLevel="0" collapsed="false">
      <c r="A41" s="164"/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</row>
    <row r="42" customFormat="false" ht="19.5" hidden="false" customHeight="true" outlineLevel="0" collapsed="false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</row>
    <row r="43" customFormat="false" ht="19.5" hidden="false" customHeight="true" outlineLevel="0" collapsed="false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</row>
    <row r="44" customFormat="false" ht="19.5" hidden="false" customHeight="true" outlineLevel="0" collapsed="false">
      <c r="A44" s="164"/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</row>
    <row r="45" customFormat="false" ht="19.5" hidden="false" customHeight="true" outlineLevel="0" collapsed="false">
      <c r="A45" s="164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</row>
    <row r="46" customFormat="false" ht="19.5" hidden="false" customHeight="true" outlineLevel="0" collapsed="false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</row>
    <row r="47" customFormat="false" ht="19.5" hidden="false" customHeight="true" outlineLevel="0" collapsed="false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</row>
    <row r="48" customFormat="false" ht="19.5" hidden="false" customHeight="true" outlineLevel="0" collapsed="false">
      <c r="A48" s="164"/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</row>
    <row r="49" customFormat="false" ht="19.5" hidden="false" customHeight="true" outlineLevel="0" collapsed="false">
      <c r="A49" s="164"/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</row>
    <row r="50" customFormat="false" ht="19.5" hidden="false" customHeight="true" outlineLevel="0" collapsed="false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</row>
    <row r="51" customFormat="false" ht="19.5" hidden="false" customHeight="true" outlineLevel="0" collapsed="false">
      <c r="A51" s="164"/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</row>
    <row r="52" customFormat="false" ht="19.5" hidden="false" customHeight="true" outlineLevel="0" collapsed="false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</row>
    <row r="53" customFormat="false" ht="19.5" hidden="false" customHeight="true" outlineLevel="0" collapsed="false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</row>
    <row r="54" customFormat="false" ht="19.5" hidden="false" customHeight="true" outlineLevel="0" collapsed="false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</row>
    <row r="55" customFormat="false" ht="19.5" hidden="false" customHeight="true" outlineLevel="0" collapsed="false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</row>
    <row r="56" customFormat="false" ht="19.5" hidden="false" customHeight="true" outlineLevel="0" collapsed="false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</row>
    <row r="57" customFormat="false" ht="19.5" hidden="false" customHeight="true" outlineLevel="0" collapsed="false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</row>
    <row r="58" customFormat="false" ht="19.5" hidden="false" customHeight="true" outlineLevel="0" collapsed="false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</row>
    <row r="59" customFormat="false" ht="19.5" hidden="false" customHeight="true" outlineLevel="0" collapsed="false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</row>
    <row r="60" customFormat="false" ht="19.5" hidden="false" customHeight="true" outlineLevel="0" collapsed="false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</row>
    <row r="61" customFormat="false" ht="19.5" hidden="false" customHeight="true" outlineLevel="0" collapsed="false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</row>
    <row r="62" customFormat="false" ht="19.5" hidden="false" customHeight="true" outlineLevel="0" collapsed="false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</row>
    <row r="63" customFormat="false" ht="19.5" hidden="false" customHeight="true" outlineLevel="0" collapsed="false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</row>
    <row r="64" customFormat="false" ht="19.5" hidden="false" customHeight="true" outlineLevel="0" collapsed="false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</row>
    <row r="65" customFormat="false" ht="19.5" hidden="false" customHeight="true" outlineLevel="0" collapsed="false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</row>
    <row r="66" customFormat="false" ht="19.5" hidden="false" customHeight="true" outlineLevel="0" collapsed="false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</row>
    <row r="67" customFormat="false" ht="19.5" hidden="false" customHeight="true" outlineLevel="0" collapsed="false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</row>
    <row r="68" customFormat="false" ht="19.5" hidden="false" customHeight="true" outlineLevel="0" collapsed="false">
      <c r="A68" s="164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</row>
    <row r="69" customFormat="false" ht="19.5" hidden="false" customHeight="true" outlineLevel="0" collapsed="false">
      <c r="A69" s="164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</row>
    <row r="70" customFormat="false" ht="19.5" hidden="false" customHeight="true" outlineLevel="0" collapsed="false">
      <c r="A70" s="164"/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</row>
    <row r="71" customFormat="false" ht="19.5" hidden="false" customHeight="true" outlineLevel="0" collapsed="false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</row>
    <row r="72" customFormat="false" ht="19.5" hidden="false" customHeight="true" outlineLevel="0" collapsed="false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</row>
    <row r="73" customFormat="false" ht="19.5" hidden="false" customHeight="true" outlineLevel="0" collapsed="false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</row>
    <row r="74" customFormat="false" ht="19.5" hidden="false" customHeight="true" outlineLevel="0" collapsed="false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</row>
    <row r="75" customFormat="false" ht="19.5" hidden="false" customHeight="true" outlineLevel="0" collapsed="false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</row>
    <row r="76" customFormat="false" ht="19.5" hidden="false" customHeight="true" outlineLevel="0" collapsed="false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</row>
    <row r="77" customFormat="false" ht="19.5" hidden="false" customHeight="true" outlineLevel="0" collapsed="false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</row>
    <row r="78" customFormat="false" ht="19.5" hidden="false" customHeight="true" outlineLevel="0" collapsed="false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</row>
    <row r="79" customFormat="false" ht="19.5" hidden="false" customHeight="true" outlineLevel="0" collapsed="false">
      <c r="A79" s="164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</row>
    <row r="80" customFormat="false" ht="19.5" hidden="false" customHeight="true" outlineLevel="0" collapsed="false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</row>
  </sheetData>
  <sheetProtection sheet="true" password="91db" formatCells="false" formatColumns="false" formatRows="false" sort="false" autoFilter="false"/>
  <mergeCells count="12">
    <mergeCell ref="A1:N1"/>
    <mergeCell ref="A2:N2"/>
    <mergeCell ref="A4:C4"/>
    <mergeCell ref="E4:N4"/>
    <mergeCell ref="A14:N14"/>
    <mergeCell ref="A15:N15"/>
    <mergeCell ref="A34:N34"/>
    <mergeCell ref="A35:N35"/>
    <mergeCell ref="A36:N36"/>
    <mergeCell ref="A37:N37"/>
    <mergeCell ref="A38:N38"/>
    <mergeCell ref="A39:N39"/>
  </mergeCells>
  <dataValidations count="1">
    <dataValidation allowBlank="false" errorStyle="stop" operator="between" showDropDown="false" showErrorMessage="false" showInputMessage="false" sqref="B6" type="list">
      <formula1>"PO,JO"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0"/>
    <col collapsed="false" customWidth="true" hidden="false" outlineLevel="0" max="3" min="3" style="1" width="48"/>
    <col collapsed="false" customWidth="true" hidden="false" outlineLevel="0" max="5" min="4" style="1" width="14"/>
    <col collapsed="false" customWidth="true" hidden="false" outlineLevel="0" max="6" min="6" style="1" width="15"/>
    <col collapsed="false" customWidth="true" hidden="false" outlineLevel="0" max="7" min="7" style="1" width="14"/>
    <col collapsed="false" customWidth="true" hidden="false" outlineLevel="0" max="8" min="8" style="1" width="18"/>
    <col collapsed="false" customWidth="true" hidden="false" outlineLevel="0" max="13" min="10" style="1" width="22"/>
  </cols>
  <sheetData>
    <row r="1" customFormat="false" ht="22.5" hidden="false" customHeight="true" outlineLevel="0" collapsed="false">
      <c r="A1" s="448" t="s">
        <v>1282</v>
      </c>
      <c r="B1" s="448"/>
      <c r="C1" s="448"/>
      <c r="D1" s="448"/>
      <c r="E1" s="448"/>
      <c r="F1" s="448"/>
      <c r="G1" s="448"/>
      <c r="H1" s="448"/>
      <c r="J1" s="449" t="s">
        <v>105</v>
      </c>
      <c r="K1" s="449"/>
      <c r="L1" s="449"/>
      <c r="M1" s="449"/>
    </row>
    <row r="2" customFormat="false" ht="22.5" hidden="false" customHeight="true" outlineLevel="0" collapsed="false">
      <c r="A2" s="450" t="s">
        <v>1283</v>
      </c>
      <c r="J2" s="451" t="s">
        <v>1284</v>
      </c>
      <c r="K2" s="451"/>
      <c r="L2" s="451"/>
      <c r="M2" s="452" t="s">
        <v>813</v>
      </c>
    </row>
    <row r="3" customFormat="false" ht="22.5" hidden="false" customHeight="true" outlineLevel="0" collapsed="false">
      <c r="A3" s="186" t="s">
        <v>106</v>
      </c>
      <c r="B3" s="186" t="s">
        <v>803</v>
      </c>
      <c r="C3" s="186" t="s">
        <v>747</v>
      </c>
      <c r="D3" s="186" t="s">
        <v>855</v>
      </c>
      <c r="E3" s="186" t="s">
        <v>856</v>
      </c>
      <c r="F3" s="186" t="s">
        <v>867</v>
      </c>
      <c r="G3" s="186" t="s">
        <v>857</v>
      </c>
      <c r="H3" s="186" t="s">
        <v>748</v>
      </c>
      <c r="J3" s="453" t="s">
        <v>107</v>
      </c>
      <c r="K3" s="453" t="s">
        <v>855</v>
      </c>
      <c r="L3" s="453" t="s">
        <v>856</v>
      </c>
      <c r="M3" s="453" t="s">
        <v>867</v>
      </c>
    </row>
    <row r="4" customFormat="false" ht="22.5" hidden="false" customHeight="true" outlineLevel="0" collapsed="false">
      <c r="A4" s="188" t="n">
        <v>1</v>
      </c>
      <c r="B4" s="188" t="s">
        <v>1285</v>
      </c>
      <c r="C4" s="454" t="str">
        <f aca="false">VEPRIMET_RREGULLUESE!F22</f>
        <v/>
      </c>
      <c r="D4" s="454" t="str">
        <f aca="false">VEPRIMET_RREGULLUESE!G22</f>
        <v/>
      </c>
      <c r="E4" s="454" t="str">
        <f aca="false">VEPRIMET_RREGULLUESE!H22</f>
        <v/>
      </c>
      <c r="F4" s="455" t="str">
        <f aca="false">VEPRIMET_RREGULLUESE!D22</f>
        <v/>
      </c>
      <c r="G4" s="456" t="str">
        <f aca="false">VEPRIMET_RREGULLUESE!I22</f>
        <v>JO</v>
      </c>
      <c r="H4" s="454" t="str">
        <f aca="false">IF(G4&lt;&gt;"PO","JO POSTIM",IF(OR(D4="",E4="",F4&lt;=0),"PLOTËSO",IF(COUNTIF(DITARI!$C$6:$C$550,"MB-REG-"&amp;TEXT(ROW()-3,"00"))&gt;0,"POSTUAR","GATI PËR POSTIM")))</f>
        <v>JO POSTIM</v>
      </c>
      <c r="J4" s="457" t="s">
        <v>1286</v>
      </c>
      <c r="K4" s="457" t="s">
        <v>1287</v>
      </c>
      <c r="L4" s="457" t="s">
        <v>231</v>
      </c>
      <c r="M4" s="458" t="n">
        <f aca="false">MBYLLJA_6_7_AUTO!$B$9</f>
        <v>0</v>
      </c>
    </row>
    <row r="5" customFormat="false" ht="22.5" hidden="false" customHeight="true" outlineLevel="0" collapsed="false">
      <c r="A5" s="218" t="n">
        <v>2</v>
      </c>
      <c r="B5" s="219" t="s">
        <v>86</v>
      </c>
      <c r="C5" s="229" t="str">
        <f aca="false">VEPRIMET_RREGULLUESE!B43</f>
        <v>Amortizimi</v>
      </c>
      <c r="D5" s="230" t="str">
        <f aca="false">VEPRIMET_RREGULLUESE!D43</f>
        <v>681</v>
      </c>
      <c r="E5" s="230" t="str">
        <f aca="false">VEPRIMET_RREGULLUESE!E43</f>
        <v>280</v>
      </c>
      <c r="F5" s="231" t="n">
        <f aca="false">VEPRIMET_RREGULLUESE!F43</f>
        <v>0</v>
      </c>
      <c r="G5" s="232" t="str">
        <f aca="false">VEPRIMET_RREGULLUESE!$G$43</f>
        <v>JO</v>
      </c>
      <c r="H5" s="233" t="str">
        <f aca="false">IF(G5&lt;&gt;"PO","JO POSTIM",IF(OR(D5="",E5="",F5&lt;=0),"PLOTËSO",IF(COUNTIF(DITARI!$C$6:$C$550,"MB-REG-"&amp;TEXT(ROW()-3,"00"))&gt;0,"POSTUAR","GATI PËR POSTIM")))</f>
        <v>JO POSTIM</v>
      </c>
      <c r="J5" s="457" t="s">
        <v>1288</v>
      </c>
      <c r="K5" s="457" t="s">
        <v>231</v>
      </c>
      <c r="L5" s="457" t="s">
        <v>1289</v>
      </c>
      <c r="M5" s="458" t="n">
        <f aca="false">MBYLLJA_6_7_AUTO!$B$10</f>
        <v>0</v>
      </c>
    </row>
    <row r="6" customFormat="false" ht="22.5" hidden="false" customHeight="true" outlineLevel="0" collapsed="false">
      <c r="A6" s="218" t="n">
        <v>3</v>
      </c>
      <c r="B6" s="219" t="s">
        <v>86</v>
      </c>
      <c r="C6" s="229" t="str">
        <f aca="false">VEPRIMET_RREGULLUESE!B44</f>
        <v>Amortizimi</v>
      </c>
      <c r="D6" s="230" t="str">
        <f aca="false">VEPRIMET_RREGULLUESE!D44</f>
        <v>681</v>
      </c>
      <c r="E6" s="230" t="str">
        <f aca="false">VEPRIMET_RREGULLUESE!E44</f>
        <v>280</v>
      </c>
      <c r="F6" s="231" t="n">
        <f aca="false">VEPRIMET_RREGULLUESE!F44</f>
        <v>0</v>
      </c>
      <c r="G6" s="232" t="str">
        <f aca="false">VEPRIMET_RREGULLUESE!$G$44</f>
        <v>JO</v>
      </c>
      <c r="H6" s="233" t="str">
        <f aca="false">IF(G6&lt;&gt;"PO","JO POSTIM",IF(OR(D6="",E6="",F6&lt;=0),"PLOTËSO",IF(COUNTIF(DITARI!$C$6:$C$550,"MB-REG-"&amp;TEXT(ROW()-3,"00"))&gt;0,"POSTUAR","GATI PËR POSTIM")))</f>
        <v>JO POSTIM</v>
      </c>
      <c r="J6" s="457" t="s">
        <v>1290</v>
      </c>
      <c r="K6" s="457" t="s">
        <v>1291</v>
      </c>
      <c r="L6" s="457"/>
      <c r="M6" s="459" t="n">
        <v>0</v>
      </c>
    </row>
    <row r="7" customFormat="false" ht="22.5" hidden="false" customHeight="true" outlineLevel="0" collapsed="false">
      <c r="A7" s="218" t="n">
        <v>4</v>
      </c>
      <c r="B7" s="219" t="s">
        <v>86</v>
      </c>
      <c r="C7" s="229" t="str">
        <f aca="false">VEPRIMET_RREGULLUESE!B45</f>
        <v>Amortizimi</v>
      </c>
      <c r="D7" s="230" t="str">
        <f aca="false">VEPRIMET_RREGULLUESE!D45</f>
        <v>681</v>
      </c>
      <c r="E7" s="230" t="str">
        <f aca="false">VEPRIMET_RREGULLUESE!E45</f>
        <v>280</v>
      </c>
      <c r="F7" s="231" t="n">
        <f aca="false">VEPRIMET_RREGULLUESE!F45</f>
        <v>0</v>
      </c>
      <c r="G7" s="232" t="str">
        <f aca="false">VEPRIMET_RREGULLUESE!$G$45</f>
        <v>JO</v>
      </c>
      <c r="H7" s="233" t="str">
        <f aca="false">IF(G7&lt;&gt;"PO","JO POSTIM",IF(OR(D7="",E7="",F7&lt;=0),"PLOTËSO",IF(COUNTIF(DITARI!$C$6:$C$550,"MB-REG-"&amp;TEXT(ROW()-3,"00"))&gt;0,"POSTUAR","GATI PËR POSTIM")))</f>
        <v>JO POSTIM</v>
      </c>
    </row>
    <row r="8" customFormat="false" ht="22.5" hidden="false" customHeight="true" outlineLevel="0" collapsed="false">
      <c r="A8" s="218" t="n">
        <v>5</v>
      </c>
      <c r="B8" s="219" t="s">
        <v>86</v>
      </c>
      <c r="C8" s="229" t="str">
        <f aca="false">VEPRIMET_RREGULLUESE!B46</f>
        <v>Amortizimi</v>
      </c>
      <c r="D8" s="230" t="str">
        <f aca="false">VEPRIMET_RREGULLUESE!D46</f>
        <v>681</v>
      </c>
      <c r="E8" s="230" t="str">
        <f aca="false">VEPRIMET_RREGULLUESE!E46</f>
        <v>280</v>
      </c>
      <c r="F8" s="231" t="n">
        <f aca="false">VEPRIMET_RREGULLUESE!F46</f>
        <v>0</v>
      </c>
      <c r="G8" s="232" t="str">
        <f aca="false">VEPRIMET_RREGULLUESE!$G$46</f>
        <v>JO</v>
      </c>
      <c r="H8" s="233" t="str">
        <f aca="false">IF(G8&lt;&gt;"PO","JO POSTIM",IF(OR(D8="",E8="",F8&lt;=0),"PLOTËSO",IF(COUNTIF(DITARI!$C$6:$C$550,"MB-REG-"&amp;TEXT(ROW()-3,"00"))&gt;0,"POSTUAR","GATI PËR POSTIM")))</f>
        <v>JO POSTIM</v>
      </c>
    </row>
    <row r="9" customFormat="false" ht="15" hidden="false" customHeight="true" outlineLevel="0" collapsed="false">
      <c r="A9" s="187" t="n">
        <v>6</v>
      </c>
      <c r="B9" s="188" t="s">
        <v>951</v>
      </c>
      <c r="C9" s="454" t="str">
        <f aca="false">VEPRIMET_RREGULLUESE!A132</f>
        <v>Regjistrimi i tatim fitimit</v>
      </c>
      <c r="D9" s="460" t="s">
        <v>612</v>
      </c>
      <c r="E9" s="189" t="str">
        <f aca="false">VEPRIMET_RREGULLUESE!C132</f>
        <v>444</v>
      </c>
      <c r="F9" s="189" t="n">
        <f aca="false">VEPRIMET_RREGULLUESE!D132</f>
        <v>0</v>
      </c>
      <c r="G9" s="192" t="str">
        <f aca="false">VEPRIMET_RREGULLUESE!E132</f>
        <v>JO</v>
      </c>
      <c r="H9" s="192" t="str">
        <f aca="false">IF(G9&lt;&gt;"PO","JO POSTIM",IF(F9&lt;=0,"PA TATIM",IF(COUNTIF(DITARI!$C$6:$C$550,"MB-REG-"&amp;TEXT(ROW()-3,"00"))&gt;0,"POSTUAR","GATI PËR POSTIM")))</f>
        <v>JO POSTIM</v>
      </c>
    </row>
    <row r="10" customFormat="false" ht="22.5" hidden="false" customHeight="true" outlineLevel="0" collapsed="false">
      <c r="A10" s="241" t="n">
        <v>7</v>
      </c>
      <c r="B10" s="241" t="s">
        <v>89</v>
      </c>
      <c r="C10" s="246" t="str">
        <f aca="false">VEPRIMET_RREGULLUESE!C76</f>
        <v>Qira / siguracion / licencë e parapaguar</v>
      </c>
      <c r="D10" s="246" t="str">
        <f aca="false">VEPRIMET_RREGULLUESE!D76</f>
        <v>486</v>
      </c>
      <c r="E10" s="246" t="str">
        <f aca="false">VEPRIMET_RREGULLUESE!E76</f>
        <v>613</v>
      </c>
      <c r="F10" s="461" t="n">
        <f aca="false">VEPRIMET_RREGULLUESE!F76</f>
        <v>0</v>
      </c>
      <c r="G10" s="246" t="str">
        <f aca="false">VEPRIMET_RREGULLUESE!G76</f>
        <v>JO</v>
      </c>
      <c r="H10" s="246" t="str">
        <f aca="false">IF(G10&lt;&gt;"PO","JO POSTIM",IF(OR(D10="",E10="",F10&lt;=0),"PLOTËSO",IF(COUNTIF(DITARI!$C$6:$C$550,"MB-REG-"&amp;TEXT(ROW()-3,"00"))&gt;0,"POSTUAR","GATI PËR POSTIM")))</f>
        <v>JO POSTIM</v>
      </c>
    </row>
    <row r="11" customFormat="false" ht="22.5" hidden="false" customHeight="true" outlineLevel="0" collapsed="false">
      <c r="A11" s="241" t="n">
        <v>8</v>
      </c>
      <c r="B11" s="241" t="s">
        <v>89</v>
      </c>
      <c r="C11" s="246" t="str">
        <f aca="false">VEPRIMET_RREGULLUESE!C77</f>
        <v>Shpenzim i marrë por ende i pafaturuar</v>
      </c>
      <c r="D11" s="246" t="str">
        <f aca="false">VEPRIMET_RREGULLUESE!D77</f>
        <v>626</v>
      </c>
      <c r="E11" s="246" t="str">
        <f aca="false">VEPRIMET_RREGULLUESE!E77</f>
        <v>408</v>
      </c>
      <c r="F11" s="461" t="n">
        <f aca="false">VEPRIMET_RREGULLUESE!F77</f>
        <v>0</v>
      </c>
      <c r="G11" s="246" t="str">
        <f aca="false">VEPRIMET_RREGULLUESE!G77</f>
        <v>JO</v>
      </c>
      <c r="H11" s="246" t="str">
        <f aca="false">IF(G11&lt;&gt;"PO","JO POSTIM",IF(OR(D11="",E11="",F11&lt;=0),"PLOTËSO",IF(COUNTIF(DITARI!$C$6:$C$550,"MB-REG-"&amp;TEXT(ROW()-3,"00"))&gt;0,"POSTUAR","GATI PËR POSTIM")))</f>
        <v>JO POSTIM</v>
      </c>
    </row>
    <row r="12" customFormat="false" ht="22.5" hidden="false" customHeight="true" outlineLevel="0" collapsed="false">
      <c r="A12" s="241" t="n">
        <v>9</v>
      </c>
      <c r="B12" s="241" t="s">
        <v>89</v>
      </c>
      <c r="C12" s="246" t="str">
        <f aca="false">VEPRIMET_RREGULLUESE!C78</f>
        <v>Shërbim i kryer, faturë në periudhën tjetër</v>
      </c>
      <c r="D12" s="246" t="str">
        <f aca="false">VEPRIMET_RREGULLUESE!D78</f>
        <v>418</v>
      </c>
      <c r="E12" s="246" t="str">
        <f aca="false">VEPRIMET_RREGULLUESE!E78</f>
        <v>705</v>
      </c>
      <c r="F12" s="461" t="n">
        <f aca="false">VEPRIMET_RREGULLUESE!F78</f>
        <v>0</v>
      </c>
      <c r="G12" s="246" t="str">
        <f aca="false">VEPRIMET_RREGULLUESE!G78</f>
        <v>JO</v>
      </c>
      <c r="H12" s="246" t="str">
        <f aca="false">IF(G12&lt;&gt;"PO","JO POSTIM",IF(OR(D12="",E12="",F12&lt;=0),"PLOTËSO",IF(COUNTIF(DITARI!$C$6:$C$550,"MB-REG-"&amp;TEXT(ROW()-3,"00"))&gt;0,"POSTUAR","GATI PËR POSTIM")))</f>
        <v>JO POSTIM</v>
      </c>
    </row>
    <row r="13" customFormat="false" ht="22.5" hidden="false" customHeight="true" outlineLevel="0" collapsed="false">
      <c r="A13" s="241" t="n">
        <v>10</v>
      </c>
      <c r="B13" s="241" t="s">
        <v>89</v>
      </c>
      <c r="C13" s="246" t="str">
        <f aca="false">VEPRIMET_RREGULLUESE!C79</f>
        <v>Interesa kredie/depozite të periudhës</v>
      </c>
      <c r="D13" s="246" t="str">
        <f aca="false">VEPRIMET_RREGULLUESE!D79</f>
        <v>661</v>
      </c>
      <c r="E13" s="246" t="str">
        <f aca="false">VEPRIMET_RREGULLUESE!E79</f>
        <v>468</v>
      </c>
      <c r="F13" s="461" t="n">
        <f aca="false">VEPRIMET_RREGULLUESE!F79</f>
        <v>0</v>
      </c>
      <c r="G13" s="246" t="str">
        <f aca="false">VEPRIMET_RREGULLUESE!G79</f>
        <v>JO</v>
      </c>
      <c r="H13" s="246" t="str">
        <f aca="false">IF(G13&lt;&gt;"PO","JO POSTIM",IF(OR(D13="",E13="",F13&lt;=0),"PLOTËSO",IF(COUNTIF(DITARI!$C$6:$C$550,"MB-REG-"&amp;TEXT(ROW()-3,"00"))&gt;0,"POSTUAR","GATI PËR POSTIM")))</f>
        <v>JO POSTIM</v>
      </c>
    </row>
    <row r="14" customFormat="false" ht="22.5" hidden="false" customHeight="true" outlineLevel="0" collapsed="false">
      <c r="A14" s="241" t="n">
        <v>11</v>
      </c>
      <c r="B14" s="241" t="s">
        <v>89</v>
      </c>
      <c r="C14" s="246" t="str">
        <f aca="false">VEPRIMET_RREGULLUESE!C80</f>
        <v>Klientë të dyshimtë / provigjion</v>
      </c>
      <c r="D14" s="246" t="str">
        <f aca="false">VEPRIMET_RREGULLUESE!D80</f>
        <v>686</v>
      </c>
      <c r="E14" s="246" t="str">
        <f aca="false">VEPRIMET_RREGULLUESE!E80</f>
        <v>491</v>
      </c>
      <c r="F14" s="461" t="n">
        <f aca="false">VEPRIMET_RREGULLUESE!F80</f>
        <v>0</v>
      </c>
      <c r="G14" s="246" t="str">
        <f aca="false">VEPRIMET_RREGULLUESE!G80</f>
        <v>JO</v>
      </c>
      <c r="H14" s="246" t="str">
        <f aca="false">IF(G14&lt;&gt;"PO","JO POSTIM",IF(OR(D14="",E14="",F14&lt;=0),"PLOTËSO",IF(COUNTIF(DITARI!$C$6:$C$550,"MB-REG-"&amp;TEXT(ROW()-3,"00"))&gt;0,"POSTUAR","GATI PËR POSTIM")))</f>
        <v>JO POSTIM</v>
      </c>
    </row>
    <row r="15" customFormat="false" ht="15" hidden="false" customHeight="true" outlineLevel="0" collapsed="false">
      <c r="A15" s="241" t="n">
        <v>12</v>
      </c>
      <c r="B15" s="241" t="s">
        <v>89</v>
      </c>
      <c r="C15" s="246" t="n">
        <f aca="false">VEPRIMET_RREGULLUESE!C81</f>
        <v>0</v>
      </c>
      <c r="D15" s="246" t="n">
        <f aca="false">VEPRIMET_RREGULLUESE!D81</f>
        <v>0</v>
      </c>
      <c r="E15" s="246" t="n">
        <f aca="false">VEPRIMET_RREGULLUESE!E81</f>
        <v>0</v>
      </c>
      <c r="F15" s="461" t="n">
        <f aca="false">VEPRIMET_RREGULLUESE!F81</f>
        <v>0</v>
      </c>
      <c r="G15" s="246" t="str">
        <f aca="false">VEPRIMET_RREGULLUESE!G81</f>
        <v>JO</v>
      </c>
      <c r="H15" s="246" t="str">
        <f aca="false">IF(G15&lt;&gt;"PO","JO POSTIM",IF(OR(D15="",E15="",F15&lt;=0),"PLOTËSO",IF(COUNTIF(DITARI!$C$6:$C$550,"MB-REG-"&amp;TEXT(ROW()-3,"00"))&gt;0,"POSTUAR","GATI PËR POSTIM")))</f>
        <v>JO POSTIM</v>
      </c>
    </row>
    <row r="16" customFormat="false" ht="15" hidden="false" customHeight="true" outlineLevel="0" collapsed="false">
      <c r="A16" s="241" t="n">
        <v>13</v>
      </c>
      <c r="B16" s="241" t="s">
        <v>89</v>
      </c>
      <c r="C16" s="246" t="n">
        <f aca="false">VEPRIMET_RREGULLUESE!C82</f>
        <v>0</v>
      </c>
      <c r="D16" s="246" t="n">
        <f aca="false">VEPRIMET_RREGULLUESE!D82</f>
        <v>0</v>
      </c>
      <c r="E16" s="246" t="n">
        <f aca="false">VEPRIMET_RREGULLUESE!E82</f>
        <v>0</v>
      </c>
      <c r="F16" s="461" t="n">
        <f aca="false">VEPRIMET_RREGULLUESE!F82</f>
        <v>0</v>
      </c>
      <c r="G16" s="246" t="str">
        <f aca="false">VEPRIMET_RREGULLUESE!G82</f>
        <v>JO</v>
      </c>
      <c r="H16" s="246" t="str">
        <f aca="false">IF(G16&lt;&gt;"PO","JO POSTIM",IF(OR(D16="",E16="",F16&lt;=0),"PLOTËSO",IF(COUNTIF(DITARI!$C$6:$C$550,"MB-REG-"&amp;TEXT(ROW()-3,"00"))&gt;0,"POSTUAR","GATI PËR POSTIM")))</f>
        <v>JO POSTIM</v>
      </c>
    </row>
    <row r="17" customFormat="false" ht="15" hidden="false" customHeight="true" outlineLevel="0" collapsed="false">
      <c r="A17" s="241" t="n">
        <v>14</v>
      </c>
      <c r="B17" s="241" t="s">
        <v>89</v>
      </c>
      <c r="C17" s="246" t="n">
        <f aca="false">VEPRIMET_RREGULLUESE!C83</f>
        <v>0</v>
      </c>
      <c r="D17" s="246" t="n">
        <f aca="false">VEPRIMET_RREGULLUESE!D83</f>
        <v>0</v>
      </c>
      <c r="E17" s="246" t="n">
        <f aca="false">VEPRIMET_RREGULLUESE!E83</f>
        <v>0</v>
      </c>
      <c r="F17" s="461" t="n">
        <f aca="false">VEPRIMET_RREGULLUESE!F83</f>
        <v>0</v>
      </c>
      <c r="G17" s="246" t="str">
        <f aca="false">VEPRIMET_RREGULLUESE!G83</f>
        <v>JO</v>
      </c>
      <c r="H17" s="246" t="str">
        <f aca="false">IF(G17&lt;&gt;"PO","JO POSTIM",IF(OR(D17="",E17="",F17&lt;=0),"PLOTËSO",IF(COUNTIF(DITARI!$C$6:$C$550,"MB-REG-"&amp;TEXT(ROW()-3,"00"))&gt;0,"POSTUAR","GATI PËR POSTIM")))</f>
        <v>JO POSTIM</v>
      </c>
    </row>
    <row r="18" customFormat="false" ht="15" hidden="false" customHeight="true" outlineLevel="0" collapsed="false">
      <c r="A18" s="241" t="n">
        <v>15</v>
      </c>
      <c r="B18" s="241" t="s">
        <v>89</v>
      </c>
      <c r="C18" s="246" t="n">
        <f aca="false">VEPRIMET_RREGULLUESE!C84</f>
        <v>0</v>
      </c>
      <c r="D18" s="246" t="n">
        <f aca="false">VEPRIMET_RREGULLUESE!D84</f>
        <v>0</v>
      </c>
      <c r="E18" s="246" t="n">
        <f aca="false">VEPRIMET_RREGULLUESE!E84</f>
        <v>0</v>
      </c>
      <c r="F18" s="461" t="n">
        <f aca="false">VEPRIMET_RREGULLUESE!F84</f>
        <v>0</v>
      </c>
      <c r="G18" s="246" t="str">
        <f aca="false">VEPRIMET_RREGULLUESE!G84</f>
        <v>JO</v>
      </c>
      <c r="H18" s="246" t="str">
        <f aca="false">IF(G18&lt;&gt;"PO","JO POSTIM",IF(OR(D18="",E18="",F18&lt;=0),"PLOTËSO",IF(COUNTIF(DITARI!$C$6:$C$550,"MB-REG-"&amp;TEXT(ROW()-3,"00"))&gt;0,"POSTUAR","GATI PËR POSTIM")))</f>
        <v>JO POSTIM</v>
      </c>
    </row>
    <row r="19" customFormat="false" ht="15" hidden="false" customHeight="true" outlineLevel="0" collapsed="false">
      <c r="A19" s="241" t="n">
        <v>16</v>
      </c>
      <c r="B19" s="241" t="s">
        <v>89</v>
      </c>
      <c r="C19" s="246" t="n">
        <f aca="false">VEPRIMET_RREGULLUESE!C85</f>
        <v>0</v>
      </c>
      <c r="D19" s="246" t="n">
        <f aca="false">VEPRIMET_RREGULLUESE!D85</f>
        <v>0</v>
      </c>
      <c r="E19" s="246" t="n">
        <f aca="false">VEPRIMET_RREGULLUESE!E85</f>
        <v>0</v>
      </c>
      <c r="F19" s="461" t="n">
        <f aca="false">VEPRIMET_RREGULLUESE!F85</f>
        <v>0</v>
      </c>
      <c r="G19" s="246" t="str">
        <f aca="false">VEPRIMET_RREGULLUESE!G85</f>
        <v>JO</v>
      </c>
      <c r="H19" s="246" t="str">
        <f aca="false">IF(G19&lt;&gt;"PO","JO POSTIM",IF(OR(D19="",E19="",F19&lt;=0),"PLOTËSO",IF(COUNTIF(DITARI!$C$6:$C$550,"MB-REG-"&amp;TEXT(ROW()-3,"00"))&gt;0,"POSTUAR","GATI PËR POSTIM")))</f>
        <v>JO POSTIM</v>
      </c>
    </row>
    <row r="20" customFormat="false" ht="15" hidden="false" customHeight="true" outlineLevel="0" collapsed="false">
      <c r="A20" s="241" t="n">
        <v>17</v>
      </c>
      <c r="B20" s="241" t="s">
        <v>89</v>
      </c>
      <c r="C20" s="246" t="n">
        <f aca="false">VEPRIMET_RREGULLUESE!C86</f>
        <v>0</v>
      </c>
      <c r="D20" s="246" t="n">
        <f aca="false">VEPRIMET_RREGULLUESE!D86</f>
        <v>0</v>
      </c>
      <c r="E20" s="246" t="n">
        <f aca="false">VEPRIMET_RREGULLUESE!E86</f>
        <v>0</v>
      </c>
      <c r="F20" s="461" t="n">
        <f aca="false">VEPRIMET_RREGULLUESE!F86</f>
        <v>0</v>
      </c>
      <c r="G20" s="246" t="str">
        <f aca="false">VEPRIMET_RREGULLUESE!G86</f>
        <v>JO</v>
      </c>
      <c r="H20" s="246" t="str">
        <f aca="false">IF(G20&lt;&gt;"PO","JO POSTIM",IF(OR(D20="",E20="",F20&lt;=0),"PLOTËSO",IF(COUNTIF(DITARI!$C$6:$C$550,"MB-REG-"&amp;TEXT(ROW()-3,"00"))&gt;0,"POSTUAR","GATI PËR POSTIM")))</f>
        <v>JO POSTIM</v>
      </c>
    </row>
    <row r="21" customFormat="false" ht="15" hidden="false" customHeight="true" outlineLevel="0" collapsed="false">
      <c r="A21" s="241" t="n">
        <v>18</v>
      </c>
      <c r="B21" s="241" t="s">
        <v>89</v>
      </c>
      <c r="C21" s="246" t="n">
        <f aca="false">VEPRIMET_RREGULLUESE!C87</f>
        <v>0</v>
      </c>
      <c r="D21" s="246" t="n">
        <f aca="false">VEPRIMET_RREGULLUESE!D87</f>
        <v>0</v>
      </c>
      <c r="E21" s="246" t="n">
        <f aca="false">VEPRIMET_RREGULLUESE!E87</f>
        <v>0</v>
      </c>
      <c r="F21" s="461" t="n">
        <f aca="false">VEPRIMET_RREGULLUESE!F87</f>
        <v>0</v>
      </c>
      <c r="G21" s="246" t="str">
        <f aca="false">VEPRIMET_RREGULLUESE!G87</f>
        <v>JO</v>
      </c>
      <c r="H21" s="246" t="str">
        <f aca="false">IF(G21&lt;&gt;"PO","JO POSTIM",IF(OR(D21="",E21="",F21&lt;=0),"PLOTËSO",IF(COUNTIF(DITARI!$C$6:$C$550,"MB-REG-"&amp;TEXT(ROW()-3,"00"))&gt;0,"POSTUAR","GATI PËR POSTIM")))</f>
        <v>JO POSTIM</v>
      </c>
    </row>
    <row r="22" customFormat="false" ht="15" hidden="false" customHeight="true" outlineLevel="0" collapsed="false">
      <c r="A22" s="241" t="n">
        <v>19</v>
      </c>
      <c r="B22" s="241" t="s">
        <v>89</v>
      </c>
      <c r="C22" s="246" t="n">
        <f aca="false">VEPRIMET_RREGULLUESE!C88</f>
        <v>0</v>
      </c>
      <c r="D22" s="246" t="n">
        <f aca="false">VEPRIMET_RREGULLUESE!D88</f>
        <v>0</v>
      </c>
      <c r="E22" s="246" t="n">
        <f aca="false">VEPRIMET_RREGULLUESE!E88</f>
        <v>0</v>
      </c>
      <c r="F22" s="461" t="n">
        <f aca="false">VEPRIMET_RREGULLUESE!F88</f>
        <v>0</v>
      </c>
      <c r="G22" s="246" t="str">
        <f aca="false">VEPRIMET_RREGULLUESE!G88</f>
        <v>JO</v>
      </c>
      <c r="H22" s="246" t="str">
        <f aca="false">IF(G22&lt;&gt;"PO","JO POSTIM",IF(OR(D22="",E22="",F22&lt;=0),"PLOTËSO",IF(COUNTIF(DITARI!$C$6:$C$550,"MB-REG-"&amp;TEXT(ROW()-3,"00"))&gt;0,"POSTUAR","GATI PËR POSTIM")))</f>
        <v>JO POSTIM</v>
      </c>
    </row>
    <row r="23" customFormat="false" ht="15" hidden="false" customHeight="true" outlineLevel="0" collapsed="false">
      <c r="A23" s="241" t="n">
        <v>20</v>
      </c>
      <c r="B23" s="241" t="s">
        <v>89</v>
      </c>
      <c r="C23" s="246" t="n">
        <f aca="false">VEPRIMET_RREGULLUESE!C89</f>
        <v>0</v>
      </c>
      <c r="D23" s="246" t="n">
        <f aca="false">VEPRIMET_RREGULLUESE!D89</f>
        <v>0</v>
      </c>
      <c r="E23" s="246" t="n">
        <f aca="false">VEPRIMET_RREGULLUESE!E89</f>
        <v>0</v>
      </c>
      <c r="F23" s="461" t="n">
        <f aca="false">VEPRIMET_RREGULLUESE!F89</f>
        <v>0</v>
      </c>
      <c r="G23" s="246" t="str">
        <f aca="false">VEPRIMET_RREGULLUESE!G89</f>
        <v>JO</v>
      </c>
      <c r="H23" s="246" t="str">
        <f aca="false">IF(G23&lt;&gt;"PO","JO POSTIM",IF(OR(D23="",E23="",F23&lt;=0),"PLOTËSO",IF(COUNTIF(DITARI!$C$6:$C$550,"MB-REG-"&amp;TEXT(ROW()-3,"00"))&gt;0,"POSTUAR","GATI PËR POSTIM")))</f>
        <v>JO POSTIM</v>
      </c>
    </row>
    <row r="24" customFormat="false" ht="15" hidden="false" customHeight="true" outlineLevel="0" collapsed="false">
      <c r="A24" s="241" t="n">
        <v>21</v>
      </c>
      <c r="B24" s="241" t="s">
        <v>89</v>
      </c>
      <c r="C24" s="246" t="n">
        <f aca="false">VEPRIMET_RREGULLUESE!C90</f>
        <v>0</v>
      </c>
      <c r="D24" s="246" t="n">
        <f aca="false">VEPRIMET_RREGULLUESE!D90</f>
        <v>0</v>
      </c>
      <c r="E24" s="246" t="n">
        <f aca="false">VEPRIMET_RREGULLUESE!E90</f>
        <v>0</v>
      </c>
      <c r="F24" s="461" t="n">
        <f aca="false">VEPRIMET_RREGULLUESE!F90</f>
        <v>0</v>
      </c>
      <c r="G24" s="246" t="str">
        <f aca="false">VEPRIMET_RREGULLUESE!G90</f>
        <v>JO</v>
      </c>
      <c r="H24" s="246" t="str">
        <f aca="false">IF(G24&lt;&gt;"PO","JO POSTIM",IF(OR(D24="",E24="",F24&lt;=0),"PLOTËSO",IF(COUNTIF(DITARI!$C$6:$C$550,"MB-REG-"&amp;TEXT(ROW()-3,"00"))&gt;0,"POSTUAR","GATI PËR POSTIM")))</f>
        <v>JO POSTIM</v>
      </c>
    </row>
    <row r="25" customFormat="false" ht="15" hidden="false" customHeight="true" outlineLevel="0" collapsed="false">
      <c r="A25" s="234"/>
      <c r="B25" s="234"/>
      <c r="C25" s="234"/>
      <c r="D25" s="234"/>
      <c r="E25" s="234"/>
      <c r="F25" s="234"/>
      <c r="G25" s="235"/>
      <c r="H25" s="234"/>
    </row>
    <row r="26" customFormat="false" ht="15" hidden="false" customHeight="true" outlineLevel="0" collapsed="false">
      <c r="A26" s="234"/>
      <c r="B26" s="234"/>
      <c r="C26" s="234"/>
      <c r="D26" s="234"/>
      <c r="E26" s="234"/>
      <c r="F26" s="234"/>
      <c r="G26" s="235"/>
      <c r="H26" s="234"/>
    </row>
    <row r="27" customFormat="false" ht="15" hidden="false" customHeight="true" outlineLevel="0" collapsed="false">
      <c r="A27" s="234"/>
      <c r="B27" s="234"/>
      <c r="C27" s="234"/>
      <c r="D27" s="234"/>
      <c r="E27" s="234"/>
      <c r="F27" s="234"/>
      <c r="G27" s="235"/>
      <c r="H27" s="234"/>
    </row>
    <row r="28" customFormat="false" ht="15" hidden="false" customHeight="true" outlineLevel="0" collapsed="false">
      <c r="A28" s="234"/>
      <c r="B28" s="234"/>
      <c r="C28" s="234"/>
      <c r="D28" s="234"/>
      <c r="E28" s="234"/>
      <c r="F28" s="234"/>
      <c r="G28" s="235"/>
      <c r="H28" s="234"/>
    </row>
    <row r="29" customFormat="false" ht="15" hidden="false" customHeight="true" outlineLevel="0" collapsed="false">
      <c r="A29" s="234"/>
      <c r="B29" s="234"/>
      <c r="C29" s="234"/>
      <c r="D29" s="234"/>
      <c r="E29" s="234"/>
      <c r="F29" s="234"/>
      <c r="G29" s="235"/>
      <c r="H29" s="234"/>
    </row>
    <row r="30" customFormat="false" ht="15" hidden="false" customHeight="true" outlineLevel="0" collapsed="false">
      <c r="A30" s="234"/>
      <c r="B30" s="234"/>
      <c r="C30" s="234"/>
      <c r="D30" s="234"/>
      <c r="E30" s="234"/>
      <c r="F30" s="234"/>
      <c r="G30" s="235"/>
      <c r="H30" s="234"/>
    </row>
    <row r="31" customFormat="false" ht="15" hidden="false" customHeight="true" outlineLevel="0" collapsed="false">
      <c r="A31" s="234"/>
      <c r="B31" s="234"/>
      <c r="C31" s="234"/>
      <c r="D31" s="234"/>
      <c r="E31" s="234"/>
      <c r="F31" s="234"/>
      <c r="G31" s="234"/>
      <c r="H31" s="234"/>
    </row>
    <row r="32" customFormat="false" ht="15" hidden="false" customHeight="true" outlineLevel="0" collapsed="false">
      <c r="A32" s="234"/>
      <c r="B32" s="234"/>
      <c r="C32" s="234"/>
      <c r="D32" s="234"/>
      <c r="E32" s="234"/>
      <c r="F32" s="234"/>
      <c r="G32" s="234"/>
      <c r="H32" s="234"/>
    </row>
    <row r="33" customFormat="false" ht="15" hidden="false" customHeight="true" outlineLevel="0" collapsed="false">
      <c r="A33" s="234"/>
      <c r="B33" s="234"/>
      <c r="C33" s="234"/>
      <c r="D33" s="234"/>
      <c r="E33" s="234"/>
      <c r="F33" s="234"/>
      <c r="G33" s="234"/>
      <c r="H33" s="234"/>
    </row>
    <row r="34" customFormat="false" ht="15" hidden="false" customHeight="true" outlineLevel="0" collapsed="false">
      <c r="A34" s="234"/>
      <c r="B34" s="234"/>
      <c r="C34" s="234"/>
      <c r="D34" s="234"/>
      <c r="E34" s="234"/>
      <c r="F34" s="234"/>
      <c r="G34" s="234"/>
      <c r="H34" s="234"/>
    </row>
    <row r="35" customFormat="false" ht="15" hidden="false" customHeight="true" outlineLevel="0" collapsed="false">
      <c r="A35" s="234"/>
      <c r="B35" s="234"/>
      <c r="C35" s="234"/>
      <c r="D35" s="234"/>
      <c r="E35" s="234"/>
      <c r="F35" s="234"/>
      <c r="G35" s="234"/>
      <c r="H35" s="234"/>
    </row>
    <row r="36" customFormat="false" ht="15" hidden="false" customHeight="true" outlineLevel="0" collapsed="false">
      <c r="A36" s="234"/>
      <c r="B36" s="234"/>
      <c r="C36" s="234"/>
      <c r="D36" s="234"/>
      <c r="E36" s="234"/>
      <c r="F36" s="234"/>
      <c r="G36" s="234"/>
      <c r="H36" s="234"/>
    </row>
    <row r="37" customFormat="false" ht="15" hidden="false" customHeight="true" outlineLevel="0" collapsed="false">
      <c r="A37" s="234"/>
      <c r="B37" s="234"/>
      <c r="C37" s="234"/>
      <c r="D37" s="234"/>
      <c r="E37" s="234"/>
      <c r="F37" s="234"/>
      <c r="G37" s="234"/>
      <c r="H37" s="234"/>
    </row>
    <row r="38" customFormat="false" ht="15" hidden="false" customHeight="true" outlineLevel="0" collapsed="false">
      <c r="A38" s="234"/>
      <c r="B38" s="234"/>
      <c r="C38" s="234"/>
      <c r="D38" s="234"/>
      <c r="E38" s="234"/>
      <c r="F38" s="234"/>
      <c r="G38" s="234"/>
      <c r="H38" s="234"/>
    </row>
    <row r="39" customFormat="false" ht="15" hidden="false" customHeight="true" outlineLevel="0" collapsed="false">
      <c r="A39" s="234"/>
      <c r="B39" s="234"/>
      <c r="C39" s="234"/>
      <c r="D39" s="234"/>
      <c r="E39" s="234"/>
      <c r="F39" s="234"/>
      <c r="G39" s="234"/>
      <c r="H39" s="234"/>
    </row>
    <row r="42" customFormat="false" ht="15" hidden="false" customHeight="true" outlineLevel="0" collapsed="false">
      <c r="A42" s="462" t="s">
        <v>1292</v>
      </c>
      <c r="B42" s="462"/>
      <c r="C42" s="462"/>
      <c r="D42" s="462"/>
      <c r="E42" s="462"/>
      <c r="F42" s="462"/>
      <c r="G42" s="462"/>
      <c r="H42" s="462"/>
    </row>
    <row r="43" customFormat="false" ht="15" hidden="false" customHeight="true" outlineLevel="0" collapsed="false">
      <c r="A43" s="405" t="s">
        <v>106</v>
      </c>
      <c r="B43" s="405" t="s">
        <v>803</v>
      </c>
      <c r="C43" s="405" t="s">
        <v>747</v>
      </c>
      <c r="D43" s="405" t="s">
        <v>855</v>
      </c>
      <c r="E43" s="405" t="s">
        <v>856</v>
      </c>
      <c r="F43" s="405" t="s">
        <v>867</v>
      </c>
      <c r="G43" s="405" t="s">
        <v>857</v>
      </c>
      <c r="H43" s="405" t="s">
        <v>748</v>
      </c>
    </row>
    <row r="44" customFormat="false" ht="15" hidden="false" customHeight="true" outlineLevel="0" collapsed="false">
      <c r="A44" s="407" t="n">
        <v>1</v>
      </c>
      <c r="B44" s="407" t="s">
        <v>1293</v>
      </c>
      <c r="C44" s="410" t="str">
        <f aca="false">IF(MBYLLJA_6_7_AUTO!H17&gt;0,"Mbyllje "&amp;MBYLLJA_6_7_AUTO!B17&amp;" - "&amp;MBYLLJA_6_7_AUTO!C17,"")</f>
        <v/>
      </c>
      <c r="D44" s="410" t="str">
        <f aca="false">IF(MBYLLJA_6_7_AUTO!H17&gt;0,MBYLLJA_6_7_AUTO!F17,"")</f>
        <v/>
      </c>
      <c r="E44" s="410" t="str">
        <f aca="false">IF(MBYLLJA_6_7_AUTO!H17&gt;0,MBYLLJA_6_7_AUTO!G17,"")</f>
        <v/>
      </c>
      <c r="F44" s="409" t="n">
        <f aca="false">IF(MBYLLJA_6_7_AUTO!H17&gt;0,MBYLLJA_6_7_AUTO!H17,0)</f>
        <v>0</v>
      </c>
      <c r="G44" s="410" t="str">
        <f aca="false">MBYLLJA_6_7_AUTO!$B$8</f>
        <v>JO</v>
      </c>
      <c r="H44" s="410" t="str">
        <f aca="false">IF(F44=0,"Pa saldo",IF(G44="PO","GATI PËR POSTIM","NË PRITJE"))</f>
        <v>Pa saldo</v>
      </c>
    </row>
    <row r="45" customFormat="false" ht="15" hidden="false" customHeight="true" outlineLevel="0" collapsed="false">
      <c r="A45" s="407" t="n">
        <v>2</v>
      </c>
      <c r="B45" s="407" t="s">
        <v>1293</v>
      </c>
      <c r="C45" s="410" t="str">
        <f aca="false">IF(MBYLLJA_6_7_AUTO!H18&gt;0,"Mbyllje "&amp;MBYLLJA_6_7_AUTO!B18&amp;" - "&amp;MBYLLJA_6_7_AUTO!C18,"")</f>
        <v/>
      </c>
      <c r="D45" s="410" t="str">
        <f aca="false">IF(MBYLLJA_6_7_AUTO!H18&gt;0,MBYLLJA_6_7_AUTO!F18,"")</f>
        <v/>
      </c>
      <c r="E45" s="410" t="str">
        <f aca="false">IF(MBYLLJA_6_7_AUTO!H18&gt;0,MBYLLJA_6_7_AUTO!G18,"")</f>
        <v/>
      </c>
      <c r="F45" s="409" t="n">
        <f aca="false">IF(MBYLLJA_6_7_AUTO!H18&gt;0,MBYLLJA_6_7_AUTO!H18,0)</f>
        <v>0</v>
      </c>
      <c r="G45" s="410" t="str">
        <f aca="false">MBYLLJA_6_7_AUTO!$B$8</f>
        <v>JO</v>
      </c>
      <c r="H45" s="410" t="str">
        <f aca="false">IF(F45=0,"Pa saldo",IF(G45="PO","GATI PËR POSTIM","NË PRITJE"))</f>
        <v>Pa saldo</v>
      </c>
    </row>
    <row r="46" customFormat="false" ht="15" hidden="false" customHeight="true" outlineLevel="0" collapsed="false">
      <c r="A46" s="407" t="n">
        <v>3</v>
      </c>
      <c r="B46" s="407" t="s">
        <v>1293</v>
      </c>
      <c r="C46" s="410" t="str">
        <f aca="false">IF(MBYLLJA_6_7_AUTO!H19&gt;0,"Mbyllje "&amp;MBYLLJA_6_7_AUTO!B19&amp;" - "&amp;MBYLLJA_6_7_AUTO!C19,"")</f>
        <v/>
      </c>
      <c r="D46" s="410" t="str">
        <f aca="false">IF(MBYLLJA_6_7_AUTO!H19&gt;0,MBYLLJA_6_7_AUTO!F19,"")</f>
        <v/>
      </c>
      <c r="E46" s="410" t="str">
        <f aca="false">IF(MBYLLJA_6_7_AUTO!H19&gt;0,MBYLLJA_6_7_AUTO!G19,"")</f>
        <v/>
      </c>
      <c r="F46" s="409" t="n">
        <f aca="false">IF(MBYLLJA_6_7_AUTO!H19&gt;0,MBYLLJA_6_7_AUTO!H19,0)</f>
        <v>0</v>
      </c>
      <c r="G46" s="410" t="str">
        <f aca="false">MBYLLJA_6_7_AUTO!$B$8</f>
        <v>JO</v>
      </c>
      <c r="H46" s="410" t="str">
        <f aca="false">IF(F46=0,"Pa saldo",IF(G46="PO","GATI PËR POSTIM","NË PRITJE"))</f>
        <v>Pa saldo</v>
      </c>
    </row>
    <row r="47" customFormat="false" ht="15" hidden="false" customHeight="true" outlineLevel="0" collapsed="false">
      <c r="A47" s="407" t="n">
        <v>4</v>
      </c>
      <c r="B47" s="407" t="s">
        <v>1293</v>
      </c>
      <c r="C47" s="410" t="str">
        <f aca="false">IF(MBYLLJA_6_7_AUTO!H20&gt;0,"Mbyllje "&amp;MBYLLJA_6_7_AUTO!B20&amp;" - "&amp;MBYLLJA_6_7_AUTO!C20,"")</f>
        <v/>
      </c>
      <c r="D47" s="410" t="str">
        <f aca="false">IF(MBYLLJA_6_7_AUTO!H20&gt;0,MBYLLJA_6_7_AUTO!F20,"")</f>
        <v/>
      </c>
      <c r="E47" s="410" t="str">
        <f aca="false">IF(MBYLLJA_6_7_AUTO!H20&gt;0,MBYLLJA_6_7_AUTO!G20,"")</f>
        <v/>
      </c>
      <c r="F47" s="409" t="n">
        <f aca="false">IF(MBYLLJA_6_7_AUTO!H20&gt;0,MBYLLJA_6_7_AUTO!H20,0)</f>
        <v>0</v>
      </c>
      <c r="G47" s="410" t="str">
        <f aca="false">MBYLLJA_6_7_AUTO!$B$8</f>
        <v>JO</v>
      </c>
      <c r="H47" s="410" t="str">
        <f aca="false">IF(F47=0,"Pa saldo",IF(G47="PO","GATI PËR POSTIM","NË PRITJE"))</f>
        <v>Pa saldo</v>
      </c>
    </row>
    <row r="48" customFormat="false" ht="15" hidden="false" customHeight="true" outlineLevel="0" collapsed="false">
      <c r="A48" s="407" t="n">
        <v>5</v>
      </c>
      <c r="B48" s="407" t="s">
        <v>1293</v>
      </c>
      <c r="C48" s="410" t="str">
        <f aca="false">IF(MBYLLJA_6_7_AUTO!H21&gt;0,"Mbyllje "&amp;MBYLLJA_6_7_AUTO!B21&amp;" - "&amp;MBYLLJA_6_7_AUTO!C21,"")</f>
        <v/>
      </c>
      <c r="D48" s="410" t="str">
        <f aca="false">IF(MBYLLJA_6_7_AUTO!H21&gt;0,MBYLLJA_6_7_AUTO!F21,"")</f>
        <v/>
      </c>
      <c r="E48" s="410" t="str">
        <f aca="false">IF(MBYLLJA_6_7_AUTO!H21&gt;0,MBYLLJA_6_7_AUTO!G21,"")</f>
        <v/>
      </c>
      <c r="F48" s="409" t="n">
        <f aca="false">IF(MBYLLJA_6_7_AUTO!H21&gt;0,MBYLLJA_6_7_AUTO!H21,0)</f>
        <v>0</v>
      </c>
      <c r="G48" s="410" t="str">
        <f aca="false">MBYLLJA_6_7_AUTO!$B$8</f>
        <v>JO</v>
      </c>
      <c r="H48" s="410" t="str">
        <f aca="false">IF(F48=0,"Pa saldo",IF(G48="PO","GATI PËR POSTIM","NË PRITJE"))</f>
        <v>Pa saldo</v>
      </c>
    </row>
    <row r="49" customFormat="false" ht="15" hidden="false" customHeight="true" outlineLevel="0" collapsed="false">
      <c r="A49" s="407" t="n">
        <v>6</v>
      </c>
      <c r="B49" s="407" t="s">
        <v>1293</v>
      </c>
      <c r="C49" s="410" t="str">
        <f aca="false">IF(MBYLLJA_6_7_AUTO!H22&gt;0,"Mbyllje "&amp;MBYLLJA_6_7_AUTO!B22&amp;" - "&amp;MBYLLJA_6_7_AUTO!C22,"")</f>
        <v/>
      </c>
      <c r="D49" s="410" t="str">
        <f aca="false">IF(MBYLLJA_6_7_AUTO!H22&gt;0,MBYLLJA_6_7_AUTO!F22,"")</f>
        <v/>
      </c>
      <c r="E49" s="410" t="str">
        <f aca="false">IF(MBYLLJA_6_7_AUTO!H22&gt;0,MBYLLJA_6_7_AUTO!G22,"")</f>
        <v/>
      </c>
      <c r="F49" s="409" t="n">
        <f aca="false">IF(MBYLLJA_6_7_AUTO!H22&gt;0,MBYLLJA_6_7_AUTO!H22,0)</f>
        <v>0</v>
      </c>
      <c r="G49" s="410" t="str">
        <f aca="false">MBYLLJA_6_7_AUTO!$B$8</f>
        <v>JO</v>
      </c>
      <c r="H49" s="410" t="str">
        <f aca="false">IF(F49=0,"Pa saldo",IF(G49="PO","GATI PËR POSTIM","NË PRITJE"))</f>
        <v>Pa saldo</v>
      </c>
    </row>
    <row r="50" customFormat="false" ht="15" hidden="false" customHeight="true" outlineLevel="0" collapsed="false">
      <c r="A50" s="407" t="n">
        <v>7</v>
      </c>
      <c r="B50" s="407" t="s">
        <v>1293</v>
      </c>
      <c r="C50" s="410" t="str">
        <f aca="false">IF(MBYLLJA_6_7_AUTO!H23&gt;0,"Mbyllje "&amp;MBYLLJA_6_7_AUTO!B23&amp;" - "&amp;MBYLLJA_6_7_AUTO!C23,"")</f>
        <v/>
      </c>
      <c r="D50" s="410" t="str">
        <f aca="false">IF(MBYLLJA_6_7_AUTO!H23&gt;0,MBYLLJA_6_7_AUTO!F23,"")</f>
        <v/>
      </c>
      <c r="E50" s="410" t="str">
        <f aca="false">IF(MBYLLJA_6_7_AUTO!H23&gt;0,MBYLLJA_6_7_AUTO!G23,"")</f>
        <v/>
      </c>
      <c r="F50" s="409" t="n">
        <f aca="false">IF(MBYLLJA_6_7_AUTO!H23&gt;0,MBYLLJA_6_7_AUTO!H23,0)</f>
        <v>0</v>
      </c>
      <c r="G50" s="410" t="str">
        <f aca="false">MBYLLJA_6_7_AUTO!$B$8</f>
        <v>JO</v>
      </c>
      <c r="H50" s="410" t="str">
        <f aca="false">IF(F50=0,"Pa saldo",IF(G50="PO","GATI PËR POSTIM","NË PRITJE"))</f>
        <v>Pa saldo</v>
      </c>
    </row>
    <row r="51" customFormat="false" ht="15" hidden="false" customHeight="true" outlineLevel="0" collapsed="false">
      <c r="A51" s="407" t="n">
        <v>8</v>
      </c>
      <c r="B51" s="407" t="s">
        <v>1293</v>
      </c>
      <c r="C51" s="410" t="str">
        <f aca="false">IF(MBYLLJA_6_7_AUTO!H24&gt;0,"Mbyllje "&amp;MBYLLJA_6_7_AUTO!B24&amp;" - "&amp;MBYLLJA_6_7_AUTO!C24,"")</f>
        <v/>
      </c>
      <c r="D51" s="410" t="str">
        <f aca="false">IF(MBYLLJA_6_7_AUTO!H24&gt;0,MBYLLJA_6_7_AUTO!F24,"")</f>
        <v/>
      </c>
      <c r="E51" s="410" t="str">
        <f aca="false">IF(MBYLLJA_6_7_AUTO!H24&gt;0,MBYLLJA_6_7_AUTO!G24,"")</f>
        <v/>
      </c>
      <c r="F51" s="409" t="n">
        <f aca="false">IF(MBYLLJA_6_7_AUTO!H24&gt;0,MBYLLJA_6_7_AUTO!H24,0)</f>
        <v>0</v>
      </c>
      <c r="G51" s="410" t="str">
        <f aca="false">MBYLLJA_6_7_AUTO!$B$8</f>
        <v>JO</v>
      </c>
      <c r="H51" s="410" t="str">
        <f aca="false">IF(F51=0,"Pa saldo",IF(G51="PO","GATI PËR POSTIM","NË PRITJE"))</f>
        <v>Pa saldo</v>
      </c>
    </row>
    <row r="52" customFormat="false" ht="15" hidden="false" customHeight="true" outlineLevel="0" collapsed="false">
      <c r="A52" s="407" t="n">
        <v>9</v>
      </c>
      <c r="B52" s="407" t="s">
        <v>1293</v>
      </c>
      <c r="C52" s="410" t="str">
        <f aca="false">IF(MBYLLJA_6_7_AUTO!H25&gt;0,"Mbyllje "&amp;MBYLLJA_6_7_AUTO!B25&amp;" - "&amp;MBYLLJA_6_7_AUTO!C25,"")</f>
        <v/>
      </c>
      <c r="D52" s="410" t="str">
        <f aca="false">IF(MBYLLJA_6_7_AUTO!H25&gt;0,MBYLLJA_6_7_AUTO!F25,"")</f>
        <v/>
      </c>
      <c r="E52" s="410" t="str">
        <f aca="false">IF(MBYLLJA_6_7_AUTO!H25&gt;0,MBYLLJA_6_7_AUTO!G25,"")</f>
        <v/>
      </c>
      <c r="F52" s="409" t="n">
        <f aca="false">IF(MBYLLJA_6_7_AUTO!H25&gt;0,MBYLLJA_6_7_AUTO!H25,0)</f>
        <v>0</v>
      </c>
      <c r="G52" s="410" t="str">
        <f aca="false">MBYLLJA_6_7_AUTO!$B$8</f>
        <v>JO</v>
      </c>
      <c r="H52" s="410" t="str">
        <f aca="false">IF(F52=0,"Pa saldo",IF(G52="PO","GATI PËR POSTIM","NË PRITJE"))</f>
        <v>Pa saldo</v>
      </c>
    </row>
    <row r="53" customFormat="false" ht="15" hidden="false" customHeight="true" outlineLevel="0" collapsed="false">
      <c r="A53" s="407" t="n">
        <v>10</v>
      </c>
      <c r="B53" s="407" t="s">
        <v>1293</v>
      </c>
      <c r="C53" s="410" t="str">
        <f aca="false">IF(MBYLLJA_6_7_AUTO!H26&gt;0,"Mbyllje "&amp;MBYLLJA_6_7_AUTO!B26&amp;" - "&amp;MBYLLJA_6_7_AUTO!C26,"")</f>
        <v/>
      </c>
      <c r="D53" s="410" t="str">
        <f aca="false">IF(MBYLLJA_6_7_AUTO!H26&gt;0,MBYLLJA_6_7_AUTO!F26,"")</f>
        <v/>
      </c>
      <c r="E53" s="410" t="str">
        <f aca="false">IF(MBYLLJA_6_7_AUTO!H26&gt;0,MBYLLJA_6_7_AUTO!G26,"")</f>
        <v/>
      </c>
      <c r="F53" s="409" t="n">
        <f aca="false">IF(MBYLLJA_6_7_AUTO!H26&gt;0,MBYLLJA_6_7_AUTO!H26,0)</f>
        <v>0</v>
      </c>
      <c r="G53" s="410" t="str">
        <f aca="false">MBYLLJA_6_7_AUTO!$B$8</f>
        <v>JO</v>
      </c>
      <c r="H53" s="410" t="str">
        <f aca="false">IF(F53=0,"Pa saldo",IF(G53="PO","GATI PËR POSTIM","NË PRITJE"))</f>
        <v>Pa saldo</v>
      </c>
    </row>
    <row r="54" customFormat="false" ht="15" hidden="false" customHeight="true" outlineLevel="0" collapsed="false">
      <c r="A54" s="407" t="n">
        <v>11</v>
      </c>
      <c r="B54" s="407" t="s">
        <v>1293</v>
      </c>
      <c r="C54" s="410" t="str">
        <f aca="false">IF(MBYLLJA_6_7_AUTO!H27&gt;0,"Mbyllje "&amp;MBYLLJA_6_7_AUTO!B27&amp;" - "&amp;MBYLLJA_6_7_AUTO!C27,"")</f>
        <v/>
      </c>
      <c r="D54" s="410" t="str">
        <f aca="false">IF(MBYLLJA_6_7_AUTO!H27&gt;0,MBYLLJA_6_7_AUTO!F27,"")</f>
        <v/>
      </c>
      <c r="E54" s="410" t="str">
        <f aca="false">IF(MBYLLJA_6_7_AUTO!H27&gt;0,MBYLLJA_6_7_AUTO!G27,"")</f>
        <v/>
      </c>
      <c r="F54" s="409" t="n">
        <f aca="false">IF(MBYLLJA_6_7_AUTO!H27&gt;0,MBYLLJA_6_7_AUTO!H27,0)</f>
        <v>0</v>
      </c>
      <c r="G54" s="410" t="str">
        <f aca="false">MBYLLJA_6_7_AUTO!$B$8</f>
        <v>JO</v>
      </c>
      <c r="H54" s="410" t="str">
        <f aca="false">IF(F54=0,"Pa saldo",IF(G54="PO","GATI PËR POSTIM","NË PRITJE"))</f>
        <v>Pa saldo</v>
      </c>
    </row>
    <row r="55" customFormat="false" ht="15" hidden="false" customHeight="true" outlineLevel="0" collapsed="false">
      <c r="A55" s="407" t="n">
        <v>12</v>
      </c>
      <c r="B55" s="407" t="s">
        <v>1293</v>
      </c>
      <c r="C55" s="410" t="str">
        <f aca="false">IF(MBYLLJA_6_7_AUTO!H28&gt;0,"Mbyllje "&amp;MBYLLJA_6_7_AUTO!B28&amp;" - "&amp;MBYLLJA_6_7_AUTO!C28,"")</f>
        <v/>
      </c>
      <c r="D55" s="410" t="str">
        <f aca="false">IF(MBYLLJA_6_7_AUTO!H28&gt;0,MBYLLJA_6_7_AUTO!F28,"")</f>
        <v/>
      </c>
      <c r="E55" s="410" t="str">
        <f aca="false">IF(MBYLLJA_6_7_AUTO!H28&gt;0,MBYLLJA_6_7_AUTO!G28,"")</f>
        <v/>
      </c>
      <c r="F55" s="409" t="n">
        <f aca="false">IF(MBYLLJA_6_7_AUTO!H28&gt;0,MBYLLJA_6_7_AUTO!H28,0)</f>
        <v>0</v>
      </c>
      <c r="G55" s="410" t="str">
        <f aca="false">MBYLLJA_6_7_AUTO!$B$8</f>
        <v>JO</v>
      </c>
      <c r="H55" s="410" t="str">
        <f aca="false">IF(F55=0,"Pa saldo",IF(G55="PO","GATI PËR POSTIM","NË PRITJE"))</f>
        <v>Pa saldo</v>
      </c>
    </row>
    <row r="56" customFormat="false" ht="15" hidden="false" customHeight="true" outlineLevel="0" collapsed="false">
      <c r="A56" s="407" t="n">
        <v>13</v>
      </c>
      <c r="B56" s="407" t="s">
        <v>1293</v>
      </c>
      <c r="C56" s="410" t="str">
        <f aca="false">IF(MBYLLJA_6_7_AUTO!H29&gt;0,"Mbyllje "&amp;MBYLLJA_6_7_AUTO!B29&amp;" - "&amp;MBYLLJA_6_7_AUTO!C29,"")</f>
        <v/>
      </c>
      <c r="D56" s="410" t="str">
        <f aca="false">IF(MBYLLJA_6_7_AUTO!H29&gt;0,MBYLLJA_6_7_AUTO!F29,"")</f>
        <v/>
      </c>
      <c r="E56" s="410" t="str">
        <f aca="false">IF(MBYLLJA_6_7_AUTO!H29&gt;0,MBYLLJA_6_7_AUTO!G29,"")</f>
        <v/>
      </c>
      <c r="F56" s="409" t="n">
        <f aca="false">IF(MBYLLJA_6_7_AUTO!H29&gt;0,MBYLLJA_6_7_AUTO!H29,0)</f>
        <v>0</v>
      </c>
      <c r="G56" s="410" t="str">
        <f aca="false">MBYLLJA_6_7_AUTO!$B$8</f>
        <v>JO</v>
      </c>
      <c r="H56" s="410" t="str">
        <f aca="false">IF(F56=0,"Pa saldo",IF(G56="PO","GATI PËR POSTIM","NË PRITJE"))</f>
        <v>Pa saldo</v>
      </c>
    </row>
    <row r="57" customFormat="false" ht="15" hidden="false" customHeight="true" outlineLevel="0" collapsed="false">
      <c r="A57" s="407" t="n">
        <v>14</v>
      </c>
      <c r="B57" s="407" t="s">
        <v>1293</v>
      </c>
      <c r="C57" s="410" t="str">
        <f aca="false">IF(MBYLLJA_6_7_AUTO!H30&gt;0,"Mbyllje "&amp;MBYLLJA_6_7_AUTO!B30&amp;" - "&amp;MBYLLJA_6_7_AUTO!C30,"")</f>
        <v/>
      </c>
      <c r="D57" s="410" t="str">
        <f aca="false">IF(MBYLLJA_6_7_AUTO!H30&gt;0,MBYLLJA_6_7_AUTO!F30,"")</f>
        <v/>
      </c>
      <c r="E57" s="410" t="str">
        <f aca="false">IF(MBYLLJA_6_7_AUTO!H30&gt;0,MBYLLJA_6_7_AUTO!G30,"")</f>
        <v/>
      </c>
      <c r="F57" s="409" t="n">
        <f aca="false">IF(MBYLLJA_6_7_AUTO!H30&gt;0,MBYLLJA_6_7_AUTO!H30,0)</f>
        <v>0</v>
      </c>
      <c r="G57" s="410" t="str">
        <f aca="false">MBYLLJA_6_7_AUTO!$B$8</f>
        <v>JO</v>
      </c>
      <c r="H57" s="410" t="str">
        <f aca="false">IF(F57=0,"Pa saldo",IF(G57="PO","GATI PËR POSTIM","NË PRITJE"))</f>
        <v>Pa saldo</v>
      </c>
    </row>
    <row r="58" customFormat="false" ht="15" hidden="false" customHeight="true" outlineLevel="0" collapsed="false">
      <c r="A58" s="407" t="n">
        <v>15</v>
      </c>
      <c r="B58" s="407" t="s">
        <v>1293</v>
      </c>
      <c r="C58" s="410" t="str">
        <f aca="false">IF(MBYLLJA_6_7_AUTO!H31&gt;0,"Mbyllje "&amp;MBYLLJA_6_7_AUTO!B31&amp;" - "&amp;MBYLLJA_6_7_AUTO!C31,"")</f>
        <v/>
      </c>
      <c r="D58" s="410" t="str">
        <f aca="false">IF(MBYLLJA_6_7_AUTO!H31&gt;0,MBYLLJA_6_7_AUTO!F31,"")</f>
        <v/>
      </c>
      <c r="E58" s="410" t="str">
        <f aca="false">IF(MBYLLJA_6_7_AUTO!H31&gt;0,MBYLLJA_6_7_AUTO!G31,"")</f>
        <v/>
      </c>
      <c r="F58" s="409" t="n">
        <f aca="false">IF(MBYLLJA_6_7_AUTO!H31&gt;0,MBYLLJA_6_7_AUTO!H31,0)</f>
        <v>0</v>
      </c>
      <c r="G58" s="410" t="str">
        <f aca="false">MBYLLJA_6_7_AUTO!$B$8</f>
        <v>JO</v>
      </c>
      <c r="H58" s="410" t="str">
        <f aca="false">IF(F58=0,"Pa saldo",IF(G58="PO","GATI PËR POSTIM","NË PRITJE"))</f>
        <v>Pa saldo</v>
      </c>
    </row>
    <row r="59" customFormat="false" ht="15" hidden="false" customHeight="true" outlineLevel="0" collapsed="false">
      <c r="A59" s="407" t="n">
        <v>16</v>
      </c>
      <c r="B59" s="407" t="s">
        <v>1293</v>
      </c>
      <c r="C59" s="410" t="str">
        <f aca="false">IF(MBYLLJA_6_7_AUTO!H32&gt;0,"Mbyllje "&amp;MBYLLJA_6_7_AUTO!B32&amp;" - "&amp;MBYLLJA_6_7_AUTO!C32,"")</f>
        <v/>
      </c>
      <c r="D59" s="410" t="str">
        <f aca="false">IF(MBYLLJA_6_7_AUTO!H32&gt;0,MBYLLJA_6_7_AUTO!F32,"")</f>
        <v/>
      </c>
      <c r="E59" s="410" t="str">
        <f aca="false">IF(MBYLLJA_6_7_AUTO!H32&gt;0,MBYLLJA_6_7_AUTO!G32,"")</f>
        <v/>
      </c>
      <c r="F59" s="409" t="n">
        <f aca="false">IF(MBYLLJA_6_7_AUTO!H32&gt;0,MBYLLJA_6_7_AUTO!H32,0)</f>
        <v>0</v>
      </c>
      <c r="G59" s="410" t="str">
        <f aca="false">MBYLLJA_6_7_AUTO!$B$8</f>
        <v>JO</v>
      </c>
      <c r="H59" s="410" t="str">
        <f aca="false">IF(F59=0,"Pa saldo",IF(G59="PO","GATI PËR POSTIM","NË PRITJE"))</f>
        <v>Pa saldo</v>
      </c>
    </row>
    <row r="60" customFormat="false" ht="15" hidden="false" customHeight="true" outlineLevel="0" collapsed="false">
      <c r="A60" s="407" t="n">
        <v>17</v>
      </c>
      <c r="B60" s="407" t="s">
        <v>1293</v>
      </c>
      <c r="C60" s="410" t="str">
        <f aca="false">IF(MBYLLJA_6_7_AUTO!H33&gt;0,"Mbyllje "&amp;MBYLLJA_6_7_AUTO!B33&amp;" - "&amp;MBYLLJA_6_7_AUTO!C33,"")</f>
        <v/>
      </c>
      <c r="D60" s="410" t="str">
        <f aca="false">IF(MBYLLJA_6_7_AUTO!H33&gt;0,MBYLLJA_6_7_AUTO!F33,"")</f>
        <v/>
      </c>
      <c r="E60" s="410" t="str">
        <f aca="false">IF(MBYLLJA_6_7_AUTO!H33&gt;0,MBYLLJA_6_7_AUTO!G33,"")</f>
        <v/>
      </c>
      <c r="F60" s="409" t="n">
        <f aca="false">IF(MBYLLJA_6_7_AUTO!H33&gt;0,MBYLLJA_6_7_AUTO!H33,0)</f>
        <v>0</v>
      </c>
      <c r="G60" s="410" t="str">
        <f aca="false">MBYLLJA_6_7_AUTO!$B$8</f>
        <v>JO</v>
      </c>
      <c r="H60" s="410" t="str">
        <f aca="false">IF(F60=0,"Pa saldo",IF(G60="PO","GATI PËR POSTIM","NË PRITJE"))</f>
        <v>Pa saldo</v>
      </c>
    </row>
    <row r="61" customFormat="false" ht="15" hidden="false" customHeight="true" outlineLevel="0" collapsed="false">
      <c r="A61" s="407" t="n">
        <v>18</v>
      </c>
      <c r="B61" s="407" t="s">
        <v>1293</v>
      </c>
      <c r="C61" s="410" t="str">
        <f aca="false">IF(MBYLLJA_6_7_AUTO!H34&gt;0,"Mbyllje "&amp;MBYLLJA_6_7_AUTO!B34&amp;" - "&amp;MBYLLJA_6_7_AUTO!C34,"")</f>
        <v/>
      </c>
      <c r="D61" s="410" t="str">
        <f aca="false">IF(MBYLLJA_6_7_AUTO!H34&gt;0,MBYLLJA_6_7_AUTO!F34,"")</f>
        <v/>
      </c>
      <c r="E61" s="410" t="str">
        <f aca="false">IF(MBYLLJA_6_7_AUTO!H34&gt;0,MBYLLJA_6_7_AUTO!G34,"")</f>
        <v/>
      </c>
      <c r="F61" s="409" t="n">
        <f aca="false">IF(MBYLLJA_6_7_AUTO!H34&gt;0,MBYLLJA_6_7_AUTO!H34,0)</f>
        <v>0</v>
      </c>
      <c r="G61" s="410" t="str">
        <f aca="false">MBYLLJA_6_7_AUTO!$B$8</f>
        <v>JO</v>
      </c>
      <c r="H61" s="410" t="str">
        <f aca="false">IF(F61=0,"Pa saldo",IF(G61="PO","GATI PËR POSTIM","NË PRITJE"))</f>
        <v>Pa saldo</v>
      </c>
    </row>
    <row r="62" customFormat="false" ht="15" hidden="false" customHeight="true" outlineLevel="0" collapsed="false">
      <c r="A62" s="407" t="n">
        <v>19</v>
      </c>
      <c r="B62" s="407" t="s">
        <v>1293</v>
      </c>
      <c r="C62" s="410" t="str">
        <f aca="false">IF(MBYLLJA_6_7_AUTO!H35&gt;0,"Mbyllje "&amp;MBYLLJA_6_7_AUTO!B35&amp;" - "&amp;MBYLLJA_6_7_AUTO!C35,"")</f>
        <v/>
      </c>
      <c r="D62" s="410" t="str">
        <f aca="false">IF(MBYLLJA_6_7_AUTO!H35&gt;0,MBYLLJA_6_7_AUTO!F35,"")</f>
        <v/>
      </c>
      <c r="E62" s="410" t="str">
        <f aca="false">IF(MBYLLJA_6_7_AUTO!H35&gt;0,MBYLLJA_6_7_AUTO!G35,"")</f>
        <v/>
      </c>
      <c r="F62" s="409" t="n">
        <f aca="false">IF(MBYLLJA_6_7_AUTO!H35&gt;0,MBYLLJA_6_7_AUTO!H35,0)</f>
        <v>0</v>
      </c>
      <c r="G62" s="410" t="str">
        <f aca="false">MBYLLJA_6_7_AUTO!$B$8</f>
        <v>JO</v>
      </c>
      <c r="H62" s="410" t="str">
        <f aca="false">IF(F62=0,"Pa saldo",IF(G62="PO","GATI PËR POSTIM","NË PRITJE"))</f>
        <v>Pa saldo</v>
      </c>
    </row>
    <row r="63" customFormat="false" ht="15" hidden="false" customHeight="true" outlineLevel="0" collapsed="false">
      <c r="A63" s="407" t="n">
        <v>20</v>
      </c>
      <c r="B63" s="407" t="s">
        <v>1293</v>
      </c>
      <c r="C63" s="410" t="str">
        <f aca="false">IF(MBYLLJA_6_7_AUTO!H36&gt;0,"Mbyllje "&amp;MBYLLJA_6_7_AUTO!B36&amp;" - "&amp;MBYLLJA_6_7_AUTO!C36,"")</f>
        <v/>
      </c>
      <c r="D63" s="410" t="str">
        <f aca="false">IF(MBYLLJA_6_7_AUTO!H36&gt;0,MBYLLJA_6_7_AUTO!F36,"")</f>
        <v/>
      </c>
      <c r="E63" s="410" t="str">
        <f aca="false">IF(MBYLLJA_6_7_AUTO!H36&gt;0,MBYLLJA_6_7_AUTO!G36,"")</f>
        <v/>
      </c>
      <c r="F63" s="409" t="n">
        <f aca="false">IF(MBYLLJA_6_7_AUTO!H36&gt;0,MBYLLJA_6_7_AUTO!H36,0)</f>
        <v>0</v>
      </c>
      <c r="G63" s="410" t="str">
        <f aca="false">MBYLLJA_6_7_AUTO!$B$8</f>
        <v>JO</v>
      </c>
      <c r="H63" s="410" t="str">
        <f aca="false">IF(F63=0,"Pa saldo",IF(G63="PO","GATI PËR POSTIM","NË PRITJE"))</f>
        <v>Pa saldo</v>
      </c>
    </row>
    <row r="64" customFormat="false" ht="15" hidden="false" customHeight="true" outlineLevel="0" collapsed="false">
      <c r="A64" s="407" t="n">
        <v>21</v>
      </c>
      <c r="B64" s="407" t="s">
        <v>1293</v>
      </c>
      <c r="C64" s="410" t="str">
        <f aca="false">IF(MBYLLJA_6_7_AUTO!H37&gt;0,"Mbyllje "&amp;MBYLLJA_6_7_AUTO!B37&amp;" - "&amp;MBYLLJA_6_7_AUTO!C37,"")</f>
        <v/>
      </c>
      <c r="D64" s="410" t="str">
        <f aca="false">IF(MBYLLJA_6_7_AUTO!H37&gt;0,MBYLLJA_6_7_AUTO!F37,"")</f>
        <v/>
      </c>
      <c r="E64" s="410" t="str">
        <f aca="false">IF(MBYLLJA_6_7_AUTO!H37&gt;0,MBYLLJA_6_7_AUTO!G37,"")</f>
        <v/>
      </c>
      <c r="F64" s="409" t="n">
        <f aca="false">IF(MBYLLJA_6_7_AUTO!H37&gt;0,MBYLLJA_6_7_AUTO!H37,0)</f>
        <v>0</v>
      </c>
      <c r="G64" s="410" t="str">
        <f aca="false">MBYLLJA_6_7_AUTO!$B$8</f>
        <v>JO</v>
      </c>
      <c r="H64" s="410" t="str">
        <f aca="false">IF(F64=0,"Pa saldo",IF(G64="PO","GATI PËR POSTIM","NË PRITJE"))</f>
        <v>Pa saldo</v>
      </c>
    </row>
    <row r="65" customFormat="false" ht="15" hidden="false" customHeight="true" outlineLevel="0" collapsed="false">
      <c r="A65" s="407" t="n">
        <v>22</v>
      </c>
      <c r="B65" s="407" t="s">
        <v>1293</v>
      </c>
      <c r="C65" s="410" t="str">
        <f aca="false">IF(MBYLLJA_6_7_AUTO!H38&gt;0,"Mbyllje "&amp;MBYLLJA_6_7_AUTO!B38&amp;" - "&amp;MBYLLJA_6_7_AUTO!C38,"")</f>
        <v/>
      </c>
      <c r="D65" s="410" t="str">
        <f aca="false">IF(MBYLLJA_6_7_AUTO!H38&gt;0,MBYLLJA_6_7_AUTO!F38,"")</f>
        <v/>
      </c>
      <c r="E65" s="410" t="str">
        <f aca="false">IF(MBYLLJA_6_7_AUTO!H38&gt;0,MBYLLJA_6_7_AUTO!G38,"")</f>
        <v/>
      </c>
      <c r="F65" s="409" t="n">
        <f aca="false">IF(MBYLLJA_6_7_AUTO!H38&gt;0,MBYLLJA_6_7_AUTO!H38,0)</f>
        <v>0</v>
      </c>
      <c r="G65" s="410" t="str">
        <f aca="false">MBYLLJA_6_7_AUTO!$B$8</f>
        <v>JO</v>
      </c>
      <c r="H65" s="410" t="str">
        <f aca="false">IF(F65=0,"Pa saldo",IF(G65="PO","GATI PËR POSTIM","NË PRITJE"))</f>
        <v>Pa saldo</v>
      </c>
    </row>
    <row r="66" customFormat="false" ht="15" hidden="false" customHeight="true" outlineLevel="0" collapsed="false">
      <c r="A66" s="407" t="n">
        <v>23</v>
      </c>
      <c r="B66" s="407" t="s">
        <v>1293</v>
      </c>
      <c r="C66" s="410" t="str">
        <f aca="false">IF(MBYLLJA_6_7_AUTO!H39&gt;0,"Mbyllje "&amp;MBYLLJA_6_7_AUTO!B39&amp;" - "&amp;MBYLLJA_6_7_AUTO!C39,"")</f>
        <v/>
      </c>
      <c r="D66" s="410" t="str">
        <f aca="false">IF(MBYLLJA_6_7_AUTO!H39&gt;0,MBYLLJA_6_7_AUTO!F39,"")</f>
        <v/>
      </c>
      <c r="E66" s="410" t="str">
        <f aca="false">IF(MBYLLJA_6_7_AUTO!H39&gt;0,MBYLLJA_6_7_AUTO!G39,"")</f>
        <v/>
      </c>
      <c r="F66" s="409" t="n">
        <f aca="false">IF(MBYLLJA_6_7_AUTO!H39&gt;0,MBYLLJA_6_7_AUTO!H39,0)</f>
        <v>0</v>
      </c>
      <c r="G66" s="410" t="str">
        <f aca="false">MBYLLJA_6_7_AUTO!$B$8</f>
        <v>JO</v>
      </c>
      <c r="H66" s="410" t="str">
        <f aca="false">IF(F66=0,"Pa saldo",IF(G66="PO","GATI PËR POSTIM","NË PRITJE"))</f>
        <v>Pa saldo</v>
      </c>
    </row>
    <row r="67" customFormat="false" ht="15" hidden="false" customHeight="true" outlineLevel="0" collapsed="false">
      <c r="A67" s="407" t="n">
        <v>24</v>
      </c>
      <c r="B67" s="407" t="s">
        <v>1293</v>
      </c>
      <c r="C67" s="410" t="str">
        <f aca="false">IF(MBYLLJA_6_7_AUTO!H40&gt;0,"Mbyllje "&amp;MBYLLJA_6_7_AUTO!B40&amp;" - "&amp;MBYLLJA_6_7_AUTO!C40,"")</f>
        <v/>
      </c>
      <c r="D67" s="410" t="str">
        <f aca="false">IF(MBYLLJA_6_7_AUTO!H40&gt;0,MBYLLJA_6_7_AUTO!F40,"")</f>
        <v/>
      </c>
      <c r="E67" s="410" t="str">
        <f aca="false">IF(MBYLLJA_6_7_AUTO!H40&gt;0,MBYLLJA_6_7_AUTO!G40,"")</f>
        <v/>
      </c>
      <c r="F67" s="409" t="n">
        <f aca="false">IF(MBYLLJA_6_7_AUTO!H40&gt;0,MBYLLJA_6_7_AUTO!H40,0)</f>
        <v>0</v>
      </c>
      <c r="G67" s="410" t="str">
        <f aca="false">MBYLLJA_6_7_AUTO!$B$8</f>
        <v>JO</v>
      </c>
      <c r="H67" s="410" t="str">
        <f aca="false">IF(F67=0,"Pa saldo",IF(G67="PO","GATI PËR POSTIM","NË PRITJE"))</f>
        <v>Pa saldo</v>
      </c>
    </row>
    <row r="68" customFormat="false" ht="15" hidden="false" customHeight="true" outlineLevel="0" collapsed="false">
      <c r="A68" s="407" t="n">
        <v>25</v>
      </c>
      <c r="B68" s="407" t="s">
        <v>1293</v>
      </c>
      <c r="C68" s="410" t="str">
        <f aca="false">IF(MBYLLJA_6_7_AUTO!H41&gt;0,"Mbyllje "&amp;MBYLLJA_6_7_AUTO!B41&amp;" - "&amp;MBYLLJA_6_7_AUTO!C41,"")</f>
        <v/>
      </c>
      <c r="D68" s="410" t="str">
        <f aca="false">IF(MBYLLJA_6_7_AUTO!H41&gt;0,MBYLLJA_6_7_AUTO!F41,"")</f>
        <v/>
      </c>
      <c r="E68" s="410" t="str">
        <f aca="false">IF(MBYLLJA_6_7_AUTO!H41&gt;0,MBYLLJA_6_7_AUTO!G41,"")</f>
        <v/>
      </c>
      <c r="F68" s="409" t="n">
        <f aca="false">IF(MBYLLJA_6_7_AUTO!H41&gt;0,MBYLLJA_6_7_AUTO!H41,0)</f>
        <v>0</v>
      </c>
      <c r="G68" s="410" t="str">
        <f aca="false">MBYLLJA_6_7_AUTO!$B$8</f>
        <v>JO</v>
      </c>
      <c r="H68" s="410" t="str">
        <f aca="false">IF(F68=0,"Pa saldo",IF(G68="PO","GATI PËR POSTIM","NË PRITJE"))</f>
        <v>Pa saldo</v>
      </c>
    </row>
    <row r="69" customFormat="false" ht="15" hidden="false" customHeight="true" outlineLevel="0" collapsed="false">
      <c r="A69" s="407" t="n">
        <v>26</v>
      </c>
      <c r="B69" s="407" t="s">
        <v>1293</v>
      </c>
      <c r="C69" s="410" t="str">
        <f aca="false">IF(MBYLLJA_6_7_AUTO!H42&gt;0,"Mbyllje "&amp;MBYLLJA_6_7_AUTO!B42&amp;" - "&amp;MBYLLJA_6_7_AUTO!C42,"")</f>
        <v/>
      </c>
      <c r="D69" s="410" t="str">
        <f aca="false">IF(MBYLLJA_6_7_AUTO!H42&gt;0,MBYLLJA_6_7_AUTO!F42,"")</f>
        <v/>
      </c>
      <c r="E69" s="410" t="str">
        <f aca="false">IF(MBYLLJA_6_7_AUTO!H42&gt;0,MBYLLJA_6_7_AUTO!G42,"")</f>
        <v/>
      </c>
      <c r="F69" s="409" t="n">
        <f aca="false">IF(MBYLLJA_6_7_AUTO!H42&gt;0,MBYLLJA_6_7_AUTO!H42,0)</f>
        <v>0</v>
      </c>
      <c r="G69" s="410" t="str">
        <f aca="false">MBYLLJA_6_7_AUTO!$B$8</f>
        <v>JO</v>
      </c>
      <c r="H69" s="410" t="str">
        <f aca="false">IF(F69=0,"Pa saldo",IF(G69="PO","GATI PËR POSTIM","NË PRITJE"))</f>
        <v>Pa saldo</v>
      </c>
    </row>
    <row r="70" customFormat="false" ht="15" hidden="false" customHeight="true" outlineLevel="0" collapsed="false">
      <c r="A70" s="407" t="n">
        <v>27</v>
      </c>
      <c r="B70" s="407" t="s">
        <v>1293</v>
      </c>
      <c r="C70" s="410" t="str">
        <f aca="false">IF(MBYLLJA_6_7_AUTO!H43&gt;0,"Mbyllje "&amp;MBYLLJA_6_7_AUTO!B43&amp;" - "&amp;MBYLLJA_6_7_AUTO!C43,"")</f>
        <v/>
      </c>
      <c r="D70" s="410" t="str">
        <f aca="false">IF(MBYLLJA_6_7_AUTO!H43&gt;0,MBYLLJA_6_7_AUTO!F43,"")</f>
        <v/>
      </c>
      <c r="E70" s="410" t="str">
        <f aca="false">IF(MBYLLJA_6_7_AUTO!H43&gt;0,MBYLLJA_6_7_AUTO!G43,"")</f>
        <v/>
      </c>
      <c r="F70" s="409" t="n">
        <f aca="false">IF(MBYLLJA_6_7_AUTO!H43&gt;0,MBYLLJA_6_7_AUTO!H43,0)</f>
        <v>0</v>
      </c>
      <c r="G70" s="410" t="str">
        <f aca="false">MBYLLJA_6_7_AUTO!$B$8</f>
        <v>JO</v>
      </c>
      <c r="H70" s="410" t="str">
        <f aca="false">IF(F70=0,"Pa saldo",IF(G70="PO","GATI PËR POSTIM","NË PRITJE"))</f>
        <v>Pa saldo</v>
      </c>
    </row>
    <row r="71" customFormat="false" ht="15" hidden="false" customHeight="true" outlineLevel="0" collapsed="false">
      <c r="A71" s="407" t="n">
        <v>28</v>
      </c>
      <c r="B71" s="407" t="s">
        <v>1293</v>
      </c>
      <c r="C71" s="410" t="str">
        <f aca="false">IF(MBYLLJA_6_7_AUTO!H44&gt;0,"Mbyllje "&amp;MBYLLJA_6_7_AUTO!B44&amp;" - "&amp;MBYLLJA_6_7_AUTO!C44,"")</f>
        <v/>
      </c>
      <c r="D71" s="410" t="str">
        <f aca="false">IF(MBYLLJA_6_7_AUTO!H44&gt;0,MBYLLJA_6_7_AUTO!F44,"")</f>
        <v/>
      </c>
      <c r="E71" s="410" t="str">
        <f aca="false">IF(MBYLLJA_6_7_AUTO!H44&gt;0,MBYLLJA_6_7_AUTO!G44,"")</f>
        <v/>
      </c>
      <c r="F71" s="409" t="n">
        <f aca="false">IF(MBYLLJA_6_7_AUTO!H44&gt;0,MBYLLJA_6_7_AUTO!H44,0)</f>
        <v>0</v>
      </c>
      <c r="G71" s="410" t="str">
        <f aca="false">MBYLLJA_6_7_AUTO!$B$8</f>
        <v>JO</v>
      </c>
      <c r="H71" s="410" t="str">
        <f aca="false">IF(F71=0,"Pa saldo",IF(G71="PO","GATI PËR POSTIM","NË PRITJE"))</f>
        <v>Pa saldo</v>
      </c>
    </row>
    <row r="72" customFormat="false" ht="15" hidden="false" customHeight="true" outlineLevel="0" collapsed="false">
      <c r="A72" s="407" t="n">
        <v>29</v>
      </c>
      <c r="B72" s="407" t="s">
        <v>1293</v>
      </c>
      <c r="C72" s="410" t="str">
        <f aca="false">IF(MBYLLJA_6_7_AUTO!H45&gt;0,"Mbyllje "&amp;MBYLLJA_6_7_AUTO!B45&amp;" - "&amp;MBYLLJA_6_7_AUTO!C45,"")</f>
        <v/>
      </c>
      <c r="D72" s="410" t="str">
        <f aca="false">IF(MBYLLJA_6_7_AUTO!H45&gt;0,MBYLLJA_6_7_AUTO!F45,"")</f>
        <v/>
      </c>
      <c r="E72" s="410" t="str">
        <f aca="false">IF(MBYLLJA_6_7_AUTO!H45&gt;0,MBYLLJA_6_7_AUTO!G45,"")</f>
        <v/>
      </c>
      <c r="F72" s="409" t="n">
        <f aca="false">IF(MBYLLJA_6_7_AUTO!H45&gt;0,MBYLLJA_6_7_AUTO!H45,0)</f>
        <v>0</v>
      </c>
      <c r="G72" s="410" t="str">
        <f aca="false">MBYLLJA_6_7_AUTO!$B$8</f>
        <v>JO</v>
      </c>
      <c r="H72" s="410" t="str">
        <f aca="false">IF(F72=0,"Pa saldo",IF(G72="PO","GATI PËR POSTIM","NË PRITJE"))</f>
        <v>Pa saldo</v>
      </c>
    </row>
    <row r="73" customFormat="false" ht="15" hidden="false" customHeight="true" outlineLevel="0" collapsed="false">
      <c r="A73" s="407" t="n">
        <v>30</v>
      </c>
      <c r="B73" s="407" t="s">
        <v>1294</v>
      </c>
      <c r="C73" s="410" t="str">
        <f aca="false">IF(MBYLLJA_6_7_AUTO!H50&gt;0,"Mbyllje "&amp;MBYLLJA_6_7_AUTO!B50&amp;" - "&amp;MBYLLJA_6_7_AUTO!C50,"")</f>
        <v/>
      </c>
      <c r="D73" s="410" t="str">
        <f aca="false">IF(MBYLLJA_6_7_AUTO!H50&gt;0,MBYLLJA_6_7_AUTO!F50,"")</f>
        <v/>
      </c>
      <c r="E73" s="410" t="str">
        <f aca="false">IF(MBYLLJA_6_7_AUTO!H50&gt;0,MBYLLJA_6_7_AUTO!G50,"")</f>
        <v/>
      </c>
      <c r="F73" s="409" t="n">
        <f aca="false">IF(MBYLLJA_6_7_AUTO!H50&gt;0,MBYLLJA_6_7_AUTO!H50,0)</f>
        <v>0</v>
      </c>
      <c r="G73" s="410" t="str">
        <f aca="false">MBYLLJA_6_7_AUTO!$B$8</f>
        <v>JO</v>
      </c>
      <c r="H73" s="410" t="str">
        <f aca="false">IF(F73=0,"Pa saldo",IF(G73="PO","GATI PËR POSTIM","NË PRITJE"))</f>
        <v>Pa saldo</v>
      </c>
    </row>
    <row r="74" customFormat="false" ht="15" hidden="false" customHeight="true" outlineLevel="0" collapsed="false">
      <c r="A74" s="407" t="n">
        <v>31</v>
      </c>
      <c r="B74" s="407" t="s">
        <v>1294</v>
      </c>
      <c r="C74" s="410" t="str">
        <f aca="false">IF(MBYLLJA_6_7_AUTO!H51&gt;0,"Mbyllje "&amp;MBYLLJA_6_7_AUTO!B51&amp;" - "&amp;MBYLLJA_6_7_AUTO!C51,"")</f>
        <v/>
      </c>
      <c r="D74" s="410" t="str">
        <f aca="false">IF(MBYLLJA_6_7_AUTO!H51&gt;0,MBYLLJA_6_7_AUTO!F51,"")</f>
        <v/>
      </c>
      <c r="E74" s="410" t="str">
        <f aca="false">IF(MBYLLJA_6_7_AUTO!H51&gt;0,MBYLLJA_6_7_AUTO!G51,"")</f>
        <v/>
      </c>
      <c r="F74" s="409" t="n">
        <f aca="false">IF(MBYLLJA_6_7_AUTO!H51&gt;0,MBYLLJA_6_7_AUTO!H51,0)</f>
        <v>0</v>
      </c>
      <c r="G74" s="410" t="str">
        <f aca="false">MBYLLJA_6_7_AUTO!$B$8</f>
        <v>JO</v>
      </c>
      <c r="H74" s="410" t="str">
        <f aca="false">IF(F74=0,"Pa saldo",IF(G74="PO","GATI PËR POSTIM","NË PRITJE"))</f>
        <v>Pa saldo</v>
      </c>
    </row>
    <row r="75" customFormat="false" ht="15" hidden="false" customHeight="true" outlineLevel="0" collapsed="false">
      <c r="A75" s="407" t="n">
        <v>32</v>
      </c>
      <c r="B75" s="407" t="s">
        <v>1294</v>
      </c>
      <c r="C75" s="410" t="str">
        <f aca="false">IF(MBYLLJA_6_7_AUTO!H52&gt;0,"Mbyllje "&amp;MBYLLJA_6_7_AUTO!B52&amp;" - "&amp;MBYLLJA_6_7_AUTO!C52,"")</f>
        <v/>
      </c>
      <c r="D75" s="410" t="str">
        <f aca="false">IF(MBYLLJA_6_7_AUTO!H52&gt;0,MBYLLJA_6_7_AUTO!F52,"")</f>
        <v/>
      </c>
      <c r="E75" s="410" t="str">
        <f aca="false">IF(MBYLLJA_6_7_AUTO!H52&gt;0,MBYLLJA_6_7_AUTO!G52,"")</f>
        <v/>
      </c>
      <c r="F75" s="409" t="n">
        <f aca="false">IF(MBYLLJA_6_7_AUTO!H52&gt;0,MBYLLJA_6_7_AUTO!H52,0)</f>
        <v>0</v>
      </c>
      <c r="G75" s="410" t="str">
        <f aca="false">MBYLLJA_6_7_AUTO!$B$8</f>
        <v>JO</v>
      </c>
      <c r="H75" s="410" t="str">
        <f aca="false">IF(F75=0,"Pa saldo",IF(G75="PO","GATI PËR POSTIM","NË PRITJE"))</f>
        <v>Pa saldo</v>
      </c>
    </row>
    <row r="76" customFormat="false" ht="15" hidden="false" customHeight="true" outlineLevel="0" collapsed="false">
      <c r="A76" s="407" t="n">
        <v>33</v>
      </c>
      <c r="B76" s="407" t="s">
        <v>1294</v>
      </c>
      <c r="C76" s="410" t="str">
        <f aca="false">IF(MBYLLJA_6_7_AUTO!H53&gt;0,"Mbyllje "&amp;MBYLLJA_6_7_AUTO!B53&amp;" - "&amp;MBYLLJA_6_7_AUTO!C53,"")</f>
        <v/>
      </c>
      <c r="D76" s="410" t="str">
        <f aca="false">IF(MBYLLJA_6_7_AUTO!H53&gt;0,MBYLLJA_6_7_AUTO!F53,"")</f>
        <v/>
      </c>
      <c r="E76" s="410" t="str">
        <f aca="false">IF(MBYLLJA_6_7_AUTO!H53&gt;0,MBYLLJA_6_7_AUTO!G53,"")</f>
        <v/>
      </c>
      <c r="F76" s="409" t="n">
        <f aca="false">IF(MBYLLJA_6_7_AUTO!H53&gt;0,MBYLLJA_6_7_AUTO!H53,0)</f>
        <v>0</v>
      </c>
      <c r="G76" s="410" t="str">
        <f aca="false">MBYLLJA_6_7_AUTO!$B$8</f>
        <v>JO</v>
      </c>
      <c r="H76" s="410" t="str">
        <f aca="false">IF(F76=0,"Pa saldo",IF(G76="PO","GATI PËR POSTIM","NË PRITJE"))</f>
        <v>Pa saldo</v>
      </c>
    </row>
    <row r="77" customFormat="false" ht="15" hidden="false" customHeight="true" outlineLevel="0" collapsed="false">
      <c r="A77" s="407" t="n">
        <v>34</v>
      </c>
      <c r="B77" s="407" t="s">
        <v>1294</v>
      </c>
      <c r="C77" s="410" t="str">
        <f aca="false">IF(MBYLLJA_6_7_AUTO!H54&gt;0,"Mbyllje "&amp;MBYLLJA_6_7_AUTO!B54&amp;" - "&amp;MBYLLJA_6_7_AUTO!C54,"")</f>
        <v/>
      </c>
      <c r="D77" s="410" t="str">
        <f aca="false">IF(MBYLLJA_6_7_AUTO!H54&gt;0,MBYLLJA_6_7_AUTO!F54,"")</f>
        <v/>
      </c>
      <c r="E77" s="410" t="str">
        <f aca="false">IF(MBYLLJA_6_7_AUTO!H54&gt;0,MBYLLJA_6_7_AUTO!G54,"")</f>
        <v/>
      </c>
      <c r="F77" s="409" t="n">
        <f aca="false">IF(MBYLLJA_6_7_AUTO!H54&gt;0,MBYLLJA_6_7_AUTO!H54,0)</f>
        <v>0</v>
      </c>
      <c r="G77" s="410" t="str">
        <f aca="false">MBYLLJA_6_7_AUTO!$B$8</f>
        <v>JO</v>
      </c>
      <c r="H77" s="410" t="str">
        <f aca="false">IF(F77=0,"Pa saldo",IF(G77="PO","GATI PËR POSTIM","NË PRITJE"))</f>
        <v>Pa saldo</v>
      </c>
    </row>
    <row r="78" customFormat="false" ht="15" hidden="false" customHeight="true" outlineLevel="0" collapsed="false">
      <c r="A78" s="407" t="n">
        <v>35</v>
      </c>
      <c r="B78" s="407" t="s">
        <v>1294</v>
      </c>
      <c r="C78" s="410" t="str">
        <f aca="false">IF(MBYLLJA_6_7_AUTO!H55&gt;0,"Mbyllje "&amp;MBYLLJA_6_7_AUTO!B55&amp;" - "&amp;MBYLLJA_6_7_AUTO!C55,"")</f>
        <v/>
      </c>
      <c r="D78" s="410" t="str">
        <f aca="false">IF(MBYLLJA_6_7_AUTO!H55&gt;0,MBYLLJA_6_7_AUTO!F55,"")</f>
        <v/>
      </c>
      <c r="E78" s="410" t="str">
        <f aca="false">IF(MBYLLJA_6_7_AUTO!H55&gt;0,MBYLLJA_6_7_AUTO!G55,"")</f>
        <v/>
      </c>
      <c r="F78" s="409" t="n">
        <f aca="false">IF(MBYLLJA_6_7_AUTO!H55&gt;0,MBYLLJA_6_7_AUTO!H55,0)</f>
        <v>0</v>
      </c>
      <c r="G78" s="410" t="str">
        <f aca="false">MBYLLJA_6_7_AUTO!$B$8</f>
        <v>JO</v>
      </c>
      <c r="H78" s="410" t="str">
        <f aca="false">IF(F78=0,"Pa saldo",IF(G78="PO","GATI PËR POSTIM","NË PRITJE"))</f>
        <v>Pa saldo</v>
      </c>
    </row>
    <row r="79" customFormat="false" ht="15" hidden="false" customHeight="true" outlineLevel="0" collapsed="false">
      <c r="A79" s="407" t="n">
        <v>36</v>
      </c>
      <c r="B79" s="407" t="s">
        <v>1294</v>
      </c>
      <c r="C79" s="410" t="str">
        <f aca="false">IF(MBYLLJA_6_7_AUTO!H56&gt;0,"Mbyllje "&amp;MBYLLJA_6_7_AUTO!B56&amp;" - "&amp;MBYLLJA_6_7_AUTO!C56,"")</f>
        <v/>
      </c>
      <c r="D79" s="410" t="str">
        <f aca="false">IF(MBYLLJA_6_7_AUTO!H56&gt;0,MBYLLJA_6_7_AUTO!F56,"")</f>
        <v/>
      </c>
      <c r="E79" s="410" t="str">
        <f aca="false">IF(MBYLLJA_6_7_AUTO!H56&gt;0,MBYLLJA_6_7_AUTO!G56,"")</f>
        <v/>
      </c>
      <c r="F79" s="409" t="n">
        <f aca="false">IF(MBYLLJA_6_7_AUTO!H56&gt;0,MBYLLJA_6_7_AUTO!H56,0)</f>
        <v>0</v>
      </c>
      <c r="G79" s="410" t="str">
        <f aca="false">MBYLLJA_6_7_AUTO!$B$8</f>
        <v>JO</v>
      </c>
      <c r="H79" s="410" t="str">
        <f aca="false">IF(F79=0,"Pa saldo",IF(G79="PO","GATI PËR POSTIM","NË PRITJE"))</f>
        <v>Pa saldo</v>
      </c>
    </row>
    <row r="80" customFormat="false" ht="15" hidden="false" customHeight="true" outlineLevel="0" collapsed="false">
      <c r="A80" s="407" t="n">
        <v>37</v>
      </c>
      <c r="B80" s="407" t="s">
        <v>1294</v>
      </c>
      <c r="C80" s="410" t="str">
        <f aca="false">IF(MBYLLJA_6_7_AUTO!H57&gt;0,"Mbyllje "&amp;MBYLLJA_6_7_AUTO!B57&amp;" - "&amp;MBYLLJA_6_7_AUTO!C57,"")</f>
        <v/>
      </c>
      <c r="D80" s="410" t="str">
        <f aca="false">IF(MBYLLJA_6_7_AUTO!H57&gt;0,MBYLLJA_6_7_AUTO!F57,"")</f>
        <v/>
      </c>
      <c r="E80" s="410" t="str">
        <f aca="false">IF(MBYLLJA_6_7_AUTO!H57&gt;0,MBYLLJA_6_7_AUTO!G57,"")</f>
        <v/>
      </c>
      <c r="F80" s="409" t="n">
        <f aca="false">IF(MBYLLJA_6_7_AUTO!H57&gt;0,MBYLLJA_6_7_AUTO!H57,0)</f>
        <v>0</v>
      </c>
      <c r="G80" s="410" t="str">
        <f aca="false">MBYLLJA_6_7_AUTO!$B$8</f>
        <v>JO</v>
      </c>
      <c r="H80" s="410" t="str">
        <f aca="false">IF(F80=0,"Pa saldo",IF(G80="PO","GATI PËR POSTIM","NË PRITJE"))</f>
        <v>Pa saldo</v>
      </c>
    </row>
    <row r="81" customFormat="false" ht="15" hidden="false" customHeight="true" outlineLevel="0" collapsed="false">
      <c r="A81" s="407" t="n">
        <v>38</v>
      </c>
      <c r="B81" s="407" t="s">
        <v>1294</v>
      </c>
      <c r="C81" s="410" t="str">
        <f aca="false">IF(MBYLLJA_6_7_AUTO!H58&gt;0,"Mbyllje "&amp;MBYLLJA_6_7_AUTO!B58&amp;" - "&amp;MBYLLJA_6_7_AUTO!C58,"")</f>
        <v/>
      </c>
      <c r="D81" s="410" t="str">
        <f aca="false">IF(MBYLLJA_6_7_AUTO!H58&gt;0,MBYLLJA_6_7_AUTO!F58,"")</f>
        <v/>
      </c>
      <c r="E81" s="410" t="str">
        <f aca="false">IF(MBYLLJA_6_7_AUTO!H58&gt;0,MBYLLJA_6_7_AUTO!G58,"")</f>
        <v/>
      </c>
      <c r="F81" s="409" t="n">
        <f aca="false">IF(MBYLLJA_6_7_AUTO!H58&gt;0,MBYLLJA_6_7_AUTO!H58,0)</f>
        <v>0</v>
      </c>
      <c r="G81" s="410" t="str">
        <f aca="false">MBYLLJA_6_7_AUTO!$B$8</f>
        <v>JO</v>
      </c>
      <c r="H81" s="410" t="str">
        <f aca="false">IF(F81=0,"Pa saldo",IF(G81="PO","GATI PËR POSTIM","NË PRITJE"))</f>
        <v>Pa saldo</v>
      </c>
    </row>
    <row r="82" customFormat="false" ht="15" hidden="false" customHeight="true" outlineLevel="0" collapsed="false">
      <c r="A82" s="407" t="n">
        <v>39</v>
      </c>
      <c r="B82" s="407" t="s">
        <v>1294</v>
      </c>
      <c r="C82" s="410" t="str">
        <f aca="false">IF(MBYLLJA_6_7_AUTO!H59&gt;0,"Mbyllje "&amp;MBYLLJA_6_7_AUTO!B59&amp;" - "&amp;MBYLLJA_6_7_AUTO!C59,"")</f>
        <v/>
      </c>
      <c r="D82" s="410" t="str">
        <f aca="false">IF(MBYLLJA_6_7_AUTO!H59&gt;0,MBYLLJA_6_7_AUTO!F59,"")</f>
        <v/>
      </c>
      <c r="E82" s="410" t="str">
        <f aca="false">IF(MBYLLJA_6_7_AUTO!H59&gt;0,MBYLLJA_6_7_AUTO!G59,"")</f>
        <v/>
      </c>
      <c r="F82" s="409" t="n">
        <f aca="false">IF(MBYLLJA_6_7_AUTO!H59&gt;0,MBYLLJA_6_7_AUTO!H59,0)</f>
        <v>0</v>
      </c>
      <c r="G82" s="410" t="str">
        <f aca="false">MBYLLJA_6_7_AUTO!$B$8</f>
        <v>JO</v>
      </c>
      <c r="H82" s="410" t="str">
        <f aca="false">IF(F82=0,"Pa saldo",IF(G82="PO","GATI PËR POSTIM","NË PRITJE"))</f>
        <v>Pa saldo</v>
      </c>
    </row>
    <row r="83" customFormat="false" ht="15" hidden="false" customHeight="true" outlineLevel="0" collapsed="false">
      <c r="A83" s="407" t="n">
        <v>40</v>
      </c>
      <c r="B83" s="407" t="s">
        <v>1294</v>
      </c>
      <c r="C83" s="410" t="str">
        <f aca="false">IF(MBYLLJA_6_7_AUTO!H60&gt;0,"Mbyllje "&amp;MBYLLJA_6_7_AUTO!B60&amp;" - "&amp;MBYLLJA_6_7_AUTO!C60,"")</f>
        <v/>
      </c>
      <c r="D83" s="410" t="str">
        <f aca="false">IF(MBYLLJA_6_7_AUTO!H60&gt;0,MBYLLJA_6_7_AUTO!F60,"")</f>
        <v/>
      </c>
      <c r="E83" s="410" t="str">
        <f aca="false">IF(MBYLLJA_6_7_AUTO!H60&gt;0,MBYLLJA_6_7_AUTO!G60,"")</f>
        <v/>
      </c>
      <c r="F83" s="409" t="n">
        <f aca="false">IF(MBYLLJA_6_7_AUTO!H60&gt;0,MBYLLJA_6_7_AUTO!H60,0)</f>
        <v>0</v>
      </c>
      <c r="G83" s="410" t="str">
        <f aca="false">MBYLLJA_6_7_AUTO!$B$8</f>
        <v>JO</v>
      </c>
      <c r="H83" s="410" t="str">
        <f aca="false">IF(F83=0,"Pa saldo",IF(G83="PO","GATI PËR POSTIM","NË PRITJE"))</f>
        <v>Pa saldo</v>
      </c>
    </row>
    <row r="84" customFormat="false" ht="15" hidden="false" customHeight="true" outlineLevel="0" collapsed="false">
      <c r="A84" s="407" t="n">
        <v>41</v>
      </c>
      <c r="B84" s="407" t="s">
        <v>1294</v>
      </c>
      <c r="C84" s="410" t="str">
        <f aca="false">IF(MBYLLJA_6_7_AUTO!H61&gt;0,"Mbyllje "&amp;MBYLLJA_6_7_AUTO!B61&amp;" - "&amp;MBYLLJA_6_7_AUTO!C61,"")</f>
        <v/>
      </c>
      <c r="D84" s="410" t="str">
        <f aca="false">IF(MBYLLJA_6_7_AUTO!H61&gt;0,MBYLLJA_6_7_AUTO!F61,"")</f>
        <v/>
      </c>
      <c r="E84" s="410" t="str">
        <f aca="false">IF(MBYLLJA_6_7_AUTO!H61&gt;0,MBYLLJA_6_7_AUTO!G61,"")</f>
        <v/>
      </c>
      <c r="F84" s="409" t="n">
        <f aca="false">IF(MBYLLJA_6_7_AUTO!H61&gt;0,MBYLLJA_6_7_AUTO!H61,0)</f>
        <v>0</v>
      </c>
      <c r="G84" s="410" t="str">
        <f aca="false">MBYLLJA_6_7_AUTO!$B$8</f>
        <v>JO</v>
      </c>
      <c r="H84" s="410" t="str">
        <f aca="false">IF(F84=0,"Pa saldo",IF(G84="PO","GATI PËR POSTIM","NË PRITJE"))</f>
        <v>Pa saldo</v>
      </c>
    </row>
    <row r="85" customFormat="false" ht="15" hidden="false" customHeight="true" outlineLevel="0" collapsed="false">
      <c r="A85" s="407" t="n">
        <v>42</v>
      </c>
      <c r="B85" s="407" t="s">
        <v>1294</v>
      </c>
      <c r="C85" s="410" t="str">
        <f aca="false">IF(MBYLLJA_6_7_AUTO!H62&gt;0,"Mbyllje "&amp;MBYLLJA_6_7_AUTO!B62&amp;" - "&amp;MBYLLJA_6_7_AUTO!C62,"")</f>
        <v/>
      </c>
      <c r="D85" s="410" t="str">
        <f aca="false">IF(MBYLLJA_6_7_AUTO!H62&gt;0,MBYLLJA_6_7_AUTO!F62,"")</f>
        <v/>
      </c>
      <c r="E85" s="410" t="str">
        <f aca="false">IF(MBYLLJA_6_7_AUTO!H62&gt;0,MBYLLJA_6_7_AUTO!G62,"")</f>
        <v/>
      </c>
      <c r="F85" s="409" t="n">
        <f aca="false">IF(MBYLLJA_6_7_AUTO!H62&gt;0,MBYLLJA_6_7_AUTO!H62,0)</f>
        <v>0</v>
      </c>
      <c r="G85" s="410" t="str">
        <f aca="false">MBYLLJA_6_7_AUTO!$B$8</f>
        <v>JO</v>
      </c>
      <c r="H85" s="410" t="str">
        <f aca="false">IF(F85=0,"Pa saldo",IF(G85="PO","GATI PËR POSTIM","NË PRITJE"))</f>
        <v>Pa saldo</v>
      </c>
    </row>
    <row r="86" customFormat="false" ht="15" hidden="false" customHeight="true" outlineLevel="0" collapsed="false">
      <c r="A86" s="407" t="n">
        <v>43</v>
      </c>
      <c r="B86" s="407" t="s">
        <v>1294</v>
      </c>
      <c r="C86" s="410" t="str">
        <f aca="false">IF(MBYLLJA_6_7_AUTO!H63&gt;0,"Mbyllje "&amp;MBYLLJA_6_7_AUTO!B63&amp;" - "&amp;MBYLLJA_6_7_AUTO!C63,"")</f>
        <v/>
      </c>
      <c r="D86" s="410" t="str">
        <f aca="false">IF(MBYLLJA_6_7_AUTO!H63&gt;0,MBYLLJA_6_7_AUTO!F63,"")</f>
        <v/>
      </c>
      <c r="E86" s="410" t="str">
        <f aca="false">IF(MBYLLJA_6_7_AUTO!H63&gt;0,MBYLLJA_6_7_AUTO!G63,"")</f>
        <v/>
      </c>
      <c r="F86" s="409" t="n">
        <f aca="false">IF(MBYLLJA_6_7_AUTO!H63&gt;0,MBYLLJA_6_7_AUTO!H63,0)</f>
        <v>0</v>
      </c>
      <c r="G86" s="410" t="str">
        <f aca="false">MBYLLJA_6_7_AUTO!$B$8</f>
        <v>JO</v>
      </c>
      <c r="H86" s="410" t="str">
        <f aca="false">IF(F86=0,"Pa saldo",IF(G86="PO","GATI PËR POSTIM","NË PRITJE"))</f>
        <v>Pa saldo</v>
      </c>
    </row>
    <row r="87" customFormat="false" ht="15" hidden="false" customHeight="true" outlineLevel="0" collapsed="false">
      <c r="A87" s="407" t="n">
        <v>44</v>
      </c>
      <c r="B87" s="407" t="s">
        <v>1294</v>
      </c>
      <c r="C87" s="410" t="str">
        <f aca="false">IF(MBYLLJA_6_7_AUTO!H64&gt;0,"Mbyllje "&amp;MBYLLJA_6_7_AUTO!B64&amp;" - "&amp;MBYLLJA_6_7_AUTO!C64,"")</f>
        <v/>
      </c>
      <c r="D87" s="410" t="str">
        <f aca="false">IF(MBYLLJA_6_7_AUTO!H64&gt;0,MBYLLJA_6_7_AUTO!F64,"")</f>
        <v/>
      </c>
      <c r="E87" s="410" t="str">
        <f aca="false">IF(MBYLLJA_6_7_AUTO!H64&gt;0,MBYLLJA_6_7_AUTO!G64,"")</f>
        <v/>
      </c>
      <c r="F87" s="409" t="n">
        <f aca="false">IF(MBYLLJA_6_7_AUTO!H64&gt;0,MBYLLJA_6_7_AUTO!H64,0)</f>
        <v>0</v>
      </c>
      <c r="G87" s="410" t="str">
        <f aca="false">MBYLLJA_6_7_AUTO!$B$8</f>
        <v>JO</v>
      </c>
      <c r="H87" s="410" t="str">
        <f aca="false">IF(F87=0,"Pa saldo",IF(G87="PO","GATI PËR POSTIM","NË PRITJE"))</f>
        <v>Pa saldo</v>
      </c>
    </row>
    <row r="88" customFormat="false" ht="15" hidden="false" customHeight="true" outlineLevel="0" collapsed="false">
      <c r="A88" s="407" t="n">
        <v>45</v>
      </c>
      <c r="B88" s="407" t="s">
        <v>1294</v>
      </c>
      <c r="C88" s="410" t="str">
        <f aca="false">IF(MBYLLJA_6_7_AUTO!H65&gt;0,"Mbyllje "&amp;MBYLLJA_6_7_AUTO!B65&amp;" - "&amp;MBYLLJA_6_7_AUTO!C65,"")</f>
        <v/>
      </c>
      <c r="D88" s="410" t="str">
        <f aca="false">IF(MBYLLJA_6_7_AUTO!H65&gt;0,MBYLLJA_6_7_AUTO!F65,"")</f>
        <v/>
      </c>
      <c r="E88" s="410" t="str">
        <f aca="false">IF(MBYLLJA_6_7_AUTO!H65&gt;0,MBYLLJA_6_7_AUTO!G65,"")</f>
        <v/>
      </c>
      <c r="F88" s="409" t="n">
        <f aca="false">IF(MBYLLJA_6_7_AUTO!H65&gt;0,MBYLLJA_6_7_AUTO!H65,0)</f>
        <v>0</v>
      </c>
      <c r="G88" s="410" t="str">
        <f aca="false">MBYLLJA_6_7_AUTO!$B$8</f>
        <v>JO</v>
      </c>
      <c r="H88" s="410" t="str">
        <f aca="false">IF(F88=0,"Pa saldo",IF(G88="PO","GATI PËR POSTIM","NË PRITJE"))</f>
        <v>Pa saldo</v>
      </c>
    </row>
    <row r="89" customFormat="false" ht="15" hidden="false" customHeight="true" outlineLevel="0" collapsed="false">
      <c r="A89" s="407" t="n">
        <v>46</v>
      </c>
      <c r="B89" s="407" t="s">
        <v>1294</v>
      </c>
      <c r="C89" s="410" t="str">
        <f aca="false">IF(MBYLLJA_6_7_AUTO!H66&gt;0,"Mbyllje "&amp;MBYLLJA_6_7_AUTO!B66&amp;" - "&amp;MBYLLJA_6_7_AUTO!C66,"")</f>
        <v/>
      </c>
      <c r="D89" s="410" t="str">
        <f aca="false">IF(MBYLLJA_6_7_AUTO!H66&gt;0,MBYLLJA_6_7_AUTO!F66,"")</f>
        <v/>
      </c>
      <c r="E89" s="410" t="str">
        <f aca="false">IF(MBYLLJA_6_7_AUTO!H66&gt;0,MBYLLJA_6_7_AUTO!G66,"")</f>
        <v/>
      </c>
      <c r="F89" s="409" t="n">
        <f aca="false">IF(MBYLLJA_6_7_AUTO!H66&gt;0,MBYLLJA_6_7_AUTO!H66,0)</f>
        <v>0</v>
      </c>
      <c r="G89" s="410" t="str">
        <f aca="false">MBYLLJA_6_7_AUTO!$B$8</f>
        <v>JO</v>
      </c>
      <c r="H89" s="410" t="str">
        <f aca="false">IF(F89=0,"Pa saldo",IF(G89="PO","GATI PËR POSTIM","NË PRITJE"))</f>
        <v>Pa saldo</v>
      </c>
    </row>
    <row r="90" customFormat="false" ht="15" hidden="false" customHeight="true" outlineLevel="0" collapsed="false">
      <c r="A90" s="407" t="n">
        <v>47</v>
      </c>
      <c r="B90" s="407" t="s">
        <v>1294</v>
      </c>
      <c r="C90" s="410" t="str">
        <f aca="false">IF(MBYLLJA_6_7_AUTO!H67&gt;0,"Mbyllje "&amp;MBYLLJA_6_7_AUTO!B67&amp;" - "&amp;MBYLLJA_6_7_AUTO!C67,"")</f>
        <v/>
      </c>
      <c r="D90" s="410" t="str">
        <f aca="false">IF(MBYLLJA_6_7_AUTO!H67&gt;0,MBYLLJA_6_7_AUTO!F67,"")</f>
        <v/>
      </c>
      <c r="E90" s="410" t="str">
        <f aca="false">IF(MBYLLJA_6_7_AUTO!H67&gt;0,MBYLLJA_6_7_AUTO!G67,"")</f>
        <v/>
      </c>
      <c r="F90" s="409" t="n">
        <f aca="false">IF(MBYLLJA_6_7_AUTO!H67&gt;0,MBYLLJA_6_7_AUTO!H67,0)</f>
        <v>0</v>
      </c>
      <c r="G90" s="410" t="str">
        <f aca="false">MBYLLJA_6_7_AUTO!$B$8</f>
        <v>JO</v>
      </c>
      <c r="H90" s="410" t="str">
        <f aca="false">IF(F90=0,"Pa saldo",IF(G90="PO","GATI PËR POSTIM","NË PRITJE"))</f>
        <v>Pa saldo</v>
      </c>
    </row>
    <row r="91" customFormat="false" ht="15" hidden="false" customHeight="true" outlineLevel="0" collapsed="false">
      <c r="A91" s="407" t="n">
        <v>48</v>
      </c>
      <c r="B91" s="407" t="s">
        <v>1294</v>
      </c>
      <c r="C91" s="410" t="str">
        <f aca="false">IF(MBYLLJA_6_7_AUTO!H68&gt;0,"Mbyllje "&amp;MBYLLJA_6_7_AUTO!B68&amp;" - "&amp;MBYLLJA_6_7_AUTO!C68,"")</f>
        <v/>
      </c>
      <c r="D91" s="410" t="str">
        <f aca="false">IF(MBYLLJA_6_7_AUTO!H68&gt;0,MBYLLJA_6_7_AUTO!F68,"")</f>
        <v/>
      </c>
      <c r="E91" s="410" t="str">
        <f aca="false">IF(MBYLLJA_6_7_AUTO!H68&gt;0,MBYLLJA_6_7_AUTO!G68,"")</f>
        <v/>
      </c>
      <c r="F91" s="409" t="n">
        <f aca="false">IF(MBYLLJA_6_7_AUTO!H68&gt;0,MBYLLJA_6_7_AUTO!H68,0)</f>
        <v>0</v>
      </c>
      <c r="G91" s="410" t="str">
        <f aca="false">MBYLLJA_6_7_AUTO!$B$8</f>
        <v>JO</v>
      </c>
      <c r="H91" s="410" t="str">
        <f aca="false">IF(F91=0,"Pa saldo",IF(G91="PO","GATI PËR POSTIM","NË PRITJE"))</f>
        <v>Pa saldo</v>
      </c>
    </row>
    <row r="92" customFormat="false" ht="15" hidden="false" customHeight="true" outlineLevel="0" collapsed="false">
      <c r="A92" s="407" t="n">
        <v>49</v>
      </c>
      <c r="B92" s="407" t="s">
        <v>1294</v>
      </c>
      <c r="C92" s="410" t="str">
        <f aca="false">IF(MBYLLJA_6_7_AUTO!H69&gt;0,"Mbyllje "&amp;MBYLLJA_6_7_AUTO!B69&amp;" - "&amp;MBYLLJA_6_7_AUTO!C69,"")</f>
        <v/>
      </c>
      <c r="D92" s="410" t="str">
        <f aca="false">IF(MBYLLJA_6_7_AUTO!H69&gt;0,MBYLLJA_6_7_AUTO!F69,"")</f>
        <v/>
      </c>
      <c r="E92" s="410" t="str">
        <f aca="false">IF(MBYLLJA_6_7_AUTO!H69&gt;0,MBYLLJA_6_7_AUTO!G69,"")</f>
        <v/>
      </c>
      <c r="F92" s="409" t="n">
        <f aca="false">IF(MBYLLJA_6_7_AUTO!H69&gt;0,MBYLLJA_6_7_AUTO!H69,0)</f>
        <v>0</v>
      </c>
      <c r="G92" s="410" t="str">
        <f aca="false">MBYLLJA_6_7_AUTO!$B$8</f>
        <v>JO</v>
      </c>
      <c r="H92" s="410" t="str">
        <f aca="false">IF(F92=0,"Pa saldo",IF(G92="PO","GATI PËR POSTIM","NË PRITJE"))</f>
        <v>Pa saldo</v>
      </c>
    </row>
    <row r="93" customFormat="false" ht="15" hidden="false" customHeight="true" outlineLevel="0" collapsed="false">
      <c r="A93" s="407" t="n">
        <v>50</v>
      </c>
      <c r="B93" s="407" t="s">
        <v>1294</v>
      </c>
      <c r="C93" s="410" t="str">
        <f aca="false">IF(MBYLLJA_6_7_AUTO!H70&gt;0,"Mbyllje "&amp;MBYLLJA_6_7_AUTO!B70&amp;" - "&amp;MBYLLJA_6_7_AUTO!C70,"")</f>
        <v/>
      </c>
      <c r="D93" s="410" t="str">
        <f aca="false">IF(MBYLLJA_6_7_AUTO!H70&gt;0,MBYLLJA_6_7_AUTO!F70,"")</f>
        <v/>
      </c>
      <c r="E93" s="410" t="str">
        <f aca="false">IF(MBYLLJA_6_7_AUTO!H70&gt;0,MBYLLJA_6_7_AUTO!G70,"")</f>
        <v/>
      </c>
      <c r="F93" s="409" t="n">
        <f aca="false">IF(MBYLLJA_6_7_AUTO!H70&gt;0,MBYLLJA_6_7_AUTO!H70,0)</f>
        <v>0</v>
      </c>
      <c r="G93" s="410" t="str">
        <f aca="false">MBYLLJA_6_7_AUTO!$B$8</f>
        <v>JO</v>
      </c>
      <c r="H93" s="410" t="str">
        <f aca="false">IF(F93=0,"Pa saldo",IF(G93="PO","GATI PËR POSTIM","NË PRITJE"))</f>
        <v>Pa saldo</v>
      </c>
    </row>
    <row r="94" customFormat="false" ht="15" hidden="false" customHeight="true" outlineLevel="0" collapsed="false">
      <c r="A94" s="407" t="n">
        <v>51</v>
      </c>
      <c r="B94" s="407" t="s">
        <v>1294</v>
      </c>
      <c r="C94" s="410" t="str">
        <f aca="false">IF(MBYLLJA_6_7_AUTO!H71&gt;0,"Mbyllje "&amp;MBYLLJA_6_7_AUTO!B71&amp;" - "&amp;MBYLLJA_6_7_AUTO!C71,"")</f>
        <v/>
      </c>
      <c r="D94" s="410" t="str">
        <f aca="false">IF(MBYLLJA_6_7_AUTO!H71&gt;0,MBYLLJA_6_7_AUTO!F71,"")</f>
        <v/>
      </c>
      <c r="E94" s="410" t="str">
        <f aca="false">IF(MBYLLJA_6_7_AUTO!H71&gt;0,MBYLLJA_6_7_AUTO!G71,"")</f>
        <v/>
      </c>
      <c r="F94" s="409" t="n">
        <f aca="false">IF(MBYLLJA_6_7_AUTO!H71&gt;0,MBYLLJA_6_7_AUTO!H71,0)</f>
        <v>0</v>
      </c>
      <c r="G94" s="410" t="str">
        <f aca="false">MBYLLJA_6_7_AUTO!$B$8</f>
        <v>JO</v>
      </c>
      <c r="H94" s="410" t="str">
        <f aca="false">IF(F94=0,"Pa saldo",IF(G94="PO","GATI PËR POSTIM","NË PRITJE"))</f>
        <v>Pa saldo</v>
      </c>
    </row>
    <row r="95" customFormat="false" ht="15" hidden="false" customHeight="true" outlineLevel="0" collapsed="false">
      <c r="A95" s="407" t="n">
        <v>52</v>
      </c>
      <c r="B95" s="407" t="s">
        <v>1294</v>
      </c>
      <c r="C95" s="410" t="str">
        <f aca="false">IF(MBYLLJA_6_7_AUTO!H72&gt;0,"Mbyllje "&amp;MBYLLJA_6_7_AUTO!B72&amp;" - "&amp;MBYLLJA_6_7_AUTO!C72,"")</f>
        <v/>
      </c>
      <c r="D95" s="410" t="str">
        <f aca="false">IF(MBYLLJA_6_7_AUTO!H72&gt;0,MBYLLJA_6_7_AUTO!F72,"")</f>
        <v/>
      </c>
      <c r="E95" s="410" t="str">
        <f aca="false">IF(MBYLLJA_6_7_AUTO!H72&gt;0,MBYLLJA_6_7_AUTO!G72,"")</f>
        <v/>
      </c>
      <c r="F95" s="409" t="n">
        <f aca="false">IF(MBYLLJA_6_7_AUTO!H72&gt;0,MBYLLJA_6_7_AUTO!H72,0)</f>
        <v>0</v>
      </c>
      <c r="G95" s="410" t="str">
        <f aca="false">MBYLLJA_6_7_AUTO!$B$8</f>
        <v>JO</v>
      </c>
      <c r="H95" s="410" t="str">
        <f aca="false">IF(F95=0,"Pa saldo",IF(G95="PO","GATI PËR POSTIM","NË PRITJE"))</f>
        <v>Pa saldo</v>
      </c>
    </row>
    <row r="96" customFormat="false" ht="15" hidden="false" customHeight="true" outlineLevel="0" collapsed="false">
      <c r="A96" s="407" t="n">
        <v>53</v>
      </c>
      <c r="B96" s="407" t="s">
        <v>1294</v>
      </c>
      <c r="C96" s="410" t="str">
        <f aca="false">IF(MBYLLJA_6_7_AUTO!H73&gt;0,"Mbyllje "&amp;MBYLLJA_6_7_AUTO!B73&amp;" - "&amp;MBYLLJA_6_7_AUTO!C73,"")</f>
        <v/>
      </c>
      <c r="D96" s="410" t="str">
        <f aca="false">IF(MBYLLJA_6_7_AUTO!H73&gt;0,MBYLLJA_6_7_AUTO!F73,"")</f>
        <v/>
      </c>
      <c r="E96" s="410" t="str">
        <f aca="false">IF(MBYLLJA_6_7_AUTO!H73&gt;0,MBYLLJA_6_7_AUTO!G73,"")</f>
        <v/>
      </c>
      <c r="F96" s="409" t="n">
        <f aca="false">IF(MBYLLJA_6_7_AUTO!H73&gt;0,MBYLLJA_6_7_AUTO!H73,0)</f>
        <v>0</v>
      </c>
      <c r="G96" s="410" t="str">
        <f aca="false">MBYLLJA_6_7_AUTO!$B$8</f>
        <v>JO</v>
      </c>
      <c r="H96" s="410" t="str">
        <f aca="false">IF(F96=0,"Pa saldo",IF(G96="PO","GATI PËR POSTIM","NË PRITJE"))</f>
        <v>Pa saldo</v>
      </c>
    </row>
    <row r="97" customFormat="false" ht="15" hidden="false" customHeight="true" outlineLevel="0" collapsed="false">
      <c r="A97" s="407" t="n">
        <v>54</v>
      </c>
      <c r="B97" s="407" t="s">
        <v>1294</v>
      </c>
      <c r="C97" s="410" t="str">
        <f aca="false">IF(MBYLLJA_6_7_AUTO!H74&gt;0,"Mbyllje "&amp;MBYLLJA_6_7_AUTO!B74&amp;" - "&amp;MBYLLJA_6_7_AUTO!C74,"")</f>
        <v/>
      </c>
      <c r="D97" s="410" t="str">
        <f aca="false">IF(MBYLLJA_6_7_AUTO!H74&gt;0,MBYLLJA_6_7_AUTO!F74,"")</f>
        <v/>
      </c>
      <c r="E97" s="410" t="str">
        <f aca="false">IF(MBYLLJA_6_7_AUTO!H74&gt;0,MBYLLJA_6_7_AUTO!G74,"")</f>
        <v/>
      </c>
      <c r="F97" s="409" t="n">
        <f aca="false">IF(MBYLLJA_6_7_AUTO!H74&gt;0,MBYLLJA_6_7_AUTO!H74,0)</f>
        <v>0</v>
      </c>
      <c r="G97" s="410" t="str">
        <f aca="false">MBYLLJA_6_7_AUTO!$B$8</f>
        <v>JO</v>
      </c>
      <c r="H97" s="410" t="str">
        <f aca="false">IF(F97=0,"Pa saldo",IF(G97="PO","GATI PËR POSTIM","NË PRITJE"))</f>
        <v>Pa saldo</v>
      </c>
    </row>
    <row r="98" customFormat="false" ht="15" hidden="false" customHeight="true" outlineLevel="0" collapsed="false">
      <c r="A98" s="407" t="n">
        <v>55</v>
      </c>
      <c r="B98" s="407" t="s">
        <v>1294</v>
      </c>
      <c r="C98" s="410" t="str">
        <f aca="false">IF(MBYLLJA_6_7_AUTO!H75&gt;0,"Mbyllje "&amp;MBYLLJA_6_7_AUTO!B75&amp;" - "&amp;MBYLLJA_6_7_AUTO!C75,"")</f>
        <v/>
      </c>
      <c r="D98" s="410" t="str">
        <f aca="false">IF(MBYLLJA_6_7_AUTO!H75&gt;0,MBYLLJA_6_7_AUTO!F75,"")</f>
        <v/>
      </c>
      <c r="E98" s="410" t="str">
        <f aca="false">IF(MBYLLJA_6_7_AUTO!H75&gt;0,MBYLLJA_6_7_AUTO!G75,"")</f>
        <v/>
      </c>
      <c r="F98" s="409" t="n">
        <f aca="false">IF(MBYLLJA_6_7_AUTO!H75&gt;0,MBYLLJA_6_7_AUTO!H75,0)</f>
        <v>0</v>
      </c>
      <c r="G98" s="410" t="str">
        <f aca="false">MBYLLJA_6_7_AUTO!$B$8</f>
        <v>JO</v>
      </c>
      <c r="H98" s="410" t="str">
        <f aca="false">IF(F98=0,"Pa saldo",IF(G98="PO","GATI PËR POSTIM","NË PRITJE"))</f>
        <v>Pa saldo</v>
      </c>
    </row>
    <row r="99" customFormat="false" ht="15" hidden="false" customHeight="true" outlineLevel="0" collapsed="false">
      <c r="A99" s="407" t="n">
        <v>56</v>
      </c>
      <c r="B99" s="407" t="s">
        <v>1294</v>
      </c>
      <c r="C99" s="410" t="str">
        <f aca="false">IF(MBYLLJA_6_7_AUTO!H76&gt;0,"Mbyllje "&amp;MBYLLJA_6_7_AUTO!B76&amp;" - "&amp;MBYLLJA_6_7_AUTO!C76,"")</f>
        <v/>
      </c>
      <c r="D99" s="410" t="str">
        <f aca="false">IF(MBYLLJA_6_7_AUTO!H76&gt;0,MBYLLJA_6_7_AUTO!F76,"")</f>
        <v/>
      </c>
      <c r="E99" s="410" t="str">
        <f aca="false">IF(MBYLLJA_6_7_AUTO!H76&gt;0,MBYLLJA_6_7_AUTO!G76,"")</f>
        <v/>
      </c>
      <c r="F99" s="409" t="n">
        <f aca="false">IF(MBYLLJA_6_7_AUTO!H76&gt;0,MBYLLJA_6_7_AUTO!H76,0)</f>
        <v>0</v>
      </c>
      <c r="G99" s="410" t="str">
        <f aca="false">MBYLLJA_6_7_AUTO!$B$8</f>
        <v>JO</v>
      </c>
      <c r="H99" s="410" t="str">
        <f aca="false">IF(F99=0,"Pa saldo",IF(G99="PO","GATI PËR POSTIM","NË PRITJE"))</f>
        <v>Pa saldo</v>
      </c>
    </row>
    <row r="100" customFormat="false" ht="15" hidden="false" customHeight="true" outlineLevel="0" collapsed="false">
      <c r="A100" s="407" t="n">
        <v>57</v>
      </c>
      <c r="B100" s="407" t="s">
        <v>1294</v>
      </c>
      <c r="C100" s="410" t="str">
        <f aca="false">IF(MBYLLJA_6_7_AUTO!H77&gt;0,"Mbyllje "&amp;MBYLLJA_6_7_AUTO!B77&amp;" - "&amp;MBYLLJA_6_7_AUTO!C77,"")</f>
        <v/>
      </c>
      <c r="D100" s="410" t="str">
        <f aca="false">IF(MBYLLJA_6_7_AUTO!H77&gt;0,MBYLLJA_6_7_AUTO!F77,"")</f>
        <v/>
      </c>
      <c r="E100" s="410" t="str">
        <f aca="false">IF(MBYLLJA_6_7_AUTO!H77&gt;0,MBYLLJA_6_7_AUTO!G77,"")</f>
        <v/>
      </c>
      <c r="F100" s="409" t="n">
        <f aca="false">IF(MBYLLJA_6_7_AUTO!H77&gt;0,MBYLLJA_6_7_AUTO!H77,0)</f>
        <v>0</v>
      </c>
      <c r="G100" s="410" t="str">
        <f aca="false">MBYLLJA_6_7_AUTO!$B$8</f>
        <v>JO</v>
      </c>
      <c r="H100" s="410" t="str">
        <f aca="false">IF(F100=0,"Pa saldo",IF(G100="PO","GATI PËR POSTIM","NË PRITJE"))</f>
        <v>Pa saldo</v>
      </c>
    </row>
    <row r="101" customFormat="false" ht="15" hidden="false" customHeight="true" outlineLevel="0" collapsed="false">
      <c r="A101" s="407" t="n">
        <v>58</v>
      </c>
      <c r="B101" s="407" t="s">
        <v>1294</v>
      </c>
      <c r="C101" s="410" t="str">
        <f aca="false">IF(MBYLLJA_6_7_AUTO!H78&gt;0,"Mbyllje "&amp;MBYLLJA_6_7_AUTO!B78&amp;" - "&amp;MBYLLJA_6_7_AUTO!C78,"")</f>
        <v/>
      </c>
      <c r="D101" s="410" t="str">
        <f aca="false">IF(MBYLLJA_6_7_AUTO!H78&gt;0,MBYLLJA_6_7_AUTO!F78,"")</f>
        <v/>
      </c>
      <c r="E101" s="410" t="str">
        <f aca="false">IF(MBYLLJA_6_7_AUTO!H78&gt;0,MBYLLJA_6_7_AUTO!G78,"")</f>
        <v/>
      </c>
      <c r="F101" s="409" t="n">
        <f aca="false">IF(MBYLLJA_6_7_AUTO!H78&gt;0,MBYLLJA_6_7_AUTO!H78,0)</f>
        <v>0</v>
      </c>
      <c r="G101" s="410" t="str">
        <f aca="false">MBYLLJA_6_7_AUTO!$B$8</f>
        <v>JO</v>
      </c>
      <c r="H101" s="410" t="str">
        <f aca="false">IF(F101=0,"Pa saldo",IF(G101="PO","GATI PËR POSTIM","NË PRITJE"))</f>
        <v>Pa saldo</v>
      </c>
    </row>
    <row r="102" customFormat="false" ht="15" hidden="false" customHeight="true" outlineLevel="0" collapsed="false">
      <c r="A102" s="407" t="n">
        <v>59</v>
      </c>
      <c r="B102" s="407" t="s">
        <v>1294</v>
      </c>
      <c r="C102" s="410" t="str">
        <f aca="false">IF(MBYLLJA_6_7_AUTO!H79&gt;0,"Mbyllje "&amp;MBYLLJA_6_7_AUTO!B79&amp;" - "&amp;MBYLLJA_6_7_AUTO!C79,"")</f>
        <v/>
      </c>
      <c r="D102" s="410" t="str">
        <f aca="false">IF(MBYLLJA_6_7_AUTO!H79&gt;0,MBYLLJA_6_7_AUTO!F79,"")</f>
        <v/>
      </c>
      <c r="E102" s="410" t="str">
        <f aca="false">IF(MBYLLJA_6_7_AUTO!H79&gt;0,MBYLLJA_6_7_AUTO!G79,"")</f>
        <v/>
      </c>
      <c r="F102" s="409" t="n">
        <f aca="false">IF(MBYLLJA_6_7_AUTO!H79&gt;0,MBYLLJA_6_7_AUTO!H79,0)</f>
        <v>0</v>
      </c>
      <c r="G102" s="410" t="str">
        <f aca="false">MBYLLJA_6_7_AUTO!$B$8</f>
        <v>JO</v>
      </c>
      <c r="H102" s="410" t="str">
        <f aca="false">IF(F102=0,"Pa saldo",IF(G102="PO","GATI PËR POSTIM","NË PRITJE"))</f>
        <v>Pa saldo</v>
      </c>
    </row>
    <row r="103" customFormat="false" ht="15" hidden="false" customHeight="true" outlineLevel="0" collapsed="false">
      <c r="A103" s="407" t="n">
        <v>60</v>
      </c>
      <c r="B103" s="407" t="s">
        <v>1294</v>
      </c>
      <c r="C103" s="410" t="str">
        <f aca="false">IF(MBYLLJA_6_7_AUTO!H80&gt;0,"Mbyllje "&amp;MBYLLJA_6_7_AUTO!B80&amp;" - "&amp;MBYLLJA_6_7_AUTO!C80,"")</f>
        <v/>
      </c>
      <c r="D103" s="410" t="str">
        <f aca="false">IF(MBYLLJA_6_7_AUTO!H80&gt;0,MBYLLJA_6_7_AUTO!F80,"")</f>
        <v/>
      </c>
      <c r="E103" s="410" t="str">
        <f aca="false">IF(MBYLLJA_6_7_AUTO!H80&gt;0,MBYLLJA_6_7_AUTO!G80,"")</f>
        <v/>
      </c>
      <c r="F103" s="409" t="n">
        <f aca="false">IF(MBYLLJA_6_7_AUTO!H80&gt;0,MBYLLJA_6_7_AUTO!H80,0)</f>
        <v>0</v>
      </c>
      <c r="G103" s="410" t="str">
        <f aca="false">MBYLLJA_6_7_AUTO!$B$8</f>
        <v>JO</v>
      </c>
      <c r="H103" s="410" t="str">
        <f aca="false">IF(F103=0,"Pa saldo",IF(G103="PO","GATI PËR POSTIM","NË PRITJE"))</f>
        <v>Pa saldo</v>
      </c>
    </row>
    <row r="104" customFormat="false" ht="15" hidden="false" customHeight="true" outlineLevel="0" collapsed="false">
      <c r="A104" s="407" t="n">
        <v>61</v>
      </c>
      <c r="B104" s="407" t="s">
        <v>1294</v>
      </c>
      <c r="C104" s="410" t="str">
        <f aca="false">IF(MBYLLJA_6_7_AUTO!H81&gt;0,"Mbyllje "&amp;MBYLLJA_6_7_AUTO!B81&amp;" - "&amp;MBYLLJA_6_7_AUTO!C81,"")</f>
        <v/>
      </c>
      <c r="D104" s="410" t="str">
        <f aca="false">IF(MBYLLJA_6_7_AUTO!H81&gt;0,MBYLLJA_6_7_AUTO!F81,"")</f>
        <v/>
      </c>
      <c r="E104" s="410" t="str">
        <f aca="false">IF(MBYLLJA_6_7_AUTO!H81&gt;0,MBYLLJA_6_7_AUTO!G81,"")</f>
        <v/>
      </c>
      <c r="F104" s="409" t="n">
        <f aca="false">IF(MBYLLJA_6_7_AUTO!H81&gt;0,MBYLLJA_6_7_AUTO!H81,0)</f>
        <v>0</v>
      </c>
      <c r="G104" s="410" t="str">
        <f aca="false">MBYLLJA_6_7_AUTO!$B$8</f>
        <v>JO</v>
      </c>
      <c r="H104" s="410" t="str">
        <f aca="false">IF(F104=0,"Pa saldo",IF(G104="PO","GATI PËR POSTIM","NË PRITJE"))</f>
        <v>Pa saldo</v>
      </c>
    </row>
    <row r="105" customFormat="false" ht="15" hidden="false" customHeight="true" outlineLevel="0" collapsed="false">
      <c r="A105" s="407" t="n">
        <v>62</v>
      </c>
      <c r="B105" s="407" t="s">
        <v>1294</v>
      </c>
      <c r="C105" s="410" t="str">
        <f aca="false">IF(MBYLLJA_6_7_AUTO!H82&gt;0,"Mbyllje "&amp;MBYLLJA_6_7_AUTO!B82&amp;" - "&amp;MBYLLJA_6_7_AUTO!C82,"")</f>
        <v/>
      </c>
      <c r="D105" s="410" t="str">
        <f aca="false">IF(MBYLLJA_6_7_AUTO!H82&gt;0,MBYLLJA_6_7_AUTO!F82,"")</f>
        <v/>
      </c>
      <c r="E105" s="410" t="str">
        <f aca="false">IF(MBYLLJA_6_7_AUTO!H82&gt;0,MBYLLJA_6_7_AUTO!G82,"")</f>
        <v/>
      </c>
      <c r="F105" s="409" t="n">
        <f aca="false">IF(MBYLLJA_6_7_AUTO!H82&gt;0,MBYLLJA_6_7_AUTO!H82,0)</f>
        <v>0</v>
      </c>
      <c r="G105" s="410" t="str">
        <f aca="false">MBYLLJA_6_7_AUTO!$B$8</f>
        <v>JO</v>
      </c>
      <c r="H105" s="410" t="str">
        <f aca="false">IF(F105=0,"Pa saldo",IF(G105="PO","GATI PËR POSTIM","NË PRITJE"))</f>
        <v>Pa saldo</v>
      </c>
    </row>
    <row r="106" customFormat="false" ht="15" hidden="false" customHeight="true" outlineLevel="0" collapsed="false">
      <c r="A106" s="407" t="n">
        <v>63</v>
      </c>
      <c r="B106" s="407" t="s">
        <v>1294</v>
      </c>
      <c r="C106" s="410" t="str">
        <f aca="false">IF(MBYLLJA_6_7_AUTO!H83&gt;0,"Mbyllje "&amp;MBYLLJA_6_7_AUTO!B83&amp;" - "&amp;MBYLLJA_6_7_AUTO!C83,"")</f>
        <v/>
      </c>
      <c r="D106" s="410" t="str">
        <f aca="false">IF(MBYLLJA_6_7_AUTO!H83&gt;0,MBYLLJA_6_7_AUTO!F83,"")</f>
        <v/>
      </c>
      <c r="E106" s="410" t="str">
        <f aca="false">IF(MBYLLJA_6_7_AUTO!H83&gt;0,MBYLLJA_6_7_AUTO!G83,"")</f>
        <v/>
      </c>
      <c r="F106" s="409" t="n">
        <f aca="false">IF(MBYLLJA_6_7_AUTO!H83&gt;0,MBYLLJA_6_7_AUTO!H83,0)</f>
        <v>0</v>
      </c>
      <c r="G106" s="410" t="str">
        <f aca="false">MBYLLJA_6_7_AUTO!$B$8</f>
        <v>JO</v>
      </c>
      <c r="H106" s="410" t="str">
        <f aca="false">IF(F106=0,"Pa saldo",IF(G106="PO","GATI PËR POSTIM","NË PRITJE"))</f>
        <v>Pa saldo</v>
      </c>
    </row>
    <row r="107" customFormat="false" ht="15" hidden="false" customHeight="true" outlineLevel="0" collapsed="false">
      <c r="A107" s="407" t="n">
        <v>64</v>
      </c>
      <c r="B107" s="407" t="s">
        <v>1294</v>
      </c>
      <c r="C107" s="410" t="str">
        <f aca="false">IF(MBYLLJA_6_7_AUTO!H84&gt;0,"Mbyllje "&amp;MBYLLJA_6_7_AUTO!B84&amp;" - "&amp;MBYLLJA_6_7_AUTO!C84,"")</f>
        <v/>
      </c>
      <c r="D107" s="410" t="str">
        <f aca="false">IF(MBYLLJA_6_7_AUTO!H84&gt;0,MBYLLJA_6_7_AUTO!F84,"")</f>
        <v/>
      </c>
      <c r="E107" s="410" t="str">
        <f aca="false">IF(MBYLLJA_6_7_AUTO!H84&gt;0,MBYLLJA_6_7_AUTO!G84,"")</f>
        <v/>
      </c>
      <c r="F107" s="409" t="n">
        <f aca="false">IF(MBYLLJA_6_7_AUTO!H84&gt;0,MBYLLJA_6_7_AUTO!H84,0)</f>
        <v>0</v>
      </c>
      <c r="G107" s="410" t="str">
        <f aca="false">MBYLLJA_6_7_AUTO!$B$8</f>
        <v>JO</v>
      </c>
      <c r="H107" s="410" t="str">
        <f aca="false">IF(F107=0,"Pa saldo",IF(G107="PO","GATI PËR POSTIM","NË PRITJE"))</f>
        <v>Pa saldo</v>
      </c>
    </row>
    <row r="108" customFormat="false" ht="15" hidden="false" customHeight="true" outlineLevel="0" collapsed="false">
      <c r="A108" s="407" t="n">
        <v>65</v>
      </c>
      <c r="B108" s="407" t="s">
        <v>1294</v>
      </c>
      <c r="C108" s="410" t="str">
        <f aca="false">IF(MBYLLJA_6_7_AUTO!H85&gt;0,"Mbyllje "&amp;MBYLLJA_6_7_AUTO!B85&amp;" - "&amp;MBYLLJA_6_7_AUTO!C85,"")</f>
        <v/>
      </c>
      <c r="D108" s="410" t="str">
        <f aca="false">IF(MBYLLJA_6_7_AUTO!H85&gt;0,MBYLLJA_6_7_AUTO!F85,"")</f>
        <v/>
      </c>
      <c r="E108" s="410" t="str">
        <f aca="false">IF(MBYLLJA_6_7_AUTO!H85&gt;0,MBYLLJA_6_7_AUTO!G85,"")</f>
        <v/>
      </c>
      <c r="F108" s="409" t="n">
        <f aca="false">IF(MBYLLJA_6_7_AUTO!H85&gt;0,MBYLLJA_6_7_AUTO!H85,0)</f>
        <v>0</v>
      </c>
      <c r="G108" s="410" t="str">
        <f aca="false">MBYLLJA_6_7_AUTO!$B$8</f>
        <v>JO</v>
      </c>
      <c r="H108" s="410" t="str">
        <f aca="false">IF(F108=0,"Pa saldo",IF(G108="PO","GATI PËR POSTIM","NË PRITJE"))</f>
        <v>Pa saldo</v>
      </c>
    </row>
    <row r="109" customFormat="false" ht="15" hidden="false" customHeight="true" outlineLevel="0" collapsed="false">
      <c r="A109" s="407" t="n">
        <v>66</v>
      </c>
      <c r="B109" s="407" t="s">
        <v>1294</v>
      </c>
      <c r="C109" s="410" t="str">
        <f aca="false">IF(MBYLLJA_6_7_AUTO!H86&gt;0,"Mbyllje "&amp;MBYLLJA_6_7_AUTO!B86&amp;" - "&amp;MBYLLJA_6_7_AUTO!C86,"")</f>
        <v/>
      </c>
      <c r="D109" s="410" t="str">
        <f aca="false">IF(MBYLLJA_6_7_AUTO!H86&gt;0,MBYLLJA_6_7_AUTO!F86,"")</f>
        <v/>
      </c>
      <c r="E109" s="410" t="str">
        <f aca="false">IF(MBYLLJA_6_7_AUTO!H86&gt;0,MBYLLJA_6_7_AUTO!G86,"")</f>
        <v/>
      </c>
      <c r="F109" s="409" t="n">
        <f aca="false">IF(MBYLLJA_6_7_AUTO!H86&gt;0,MBYLLJA_6_7_AUTO!H86,0)</f>
        <v>0</v>
      </c>
      <c r="G109" s="410" t="str">
        <f aca="false">MBYLLJA_6_7_AUTO!$B$8</f>
        <v>JO</v>
      </c>
      <c r="H109" s="410" t="str">
        <f aca="false">IF(F109=0,"Pa saldo",IF(G109="PO","GATI PËR POSTIM","NË PRITJE"))</f>
        <v>Pa saldo</v>
      </c>
    </row>
    <row r="110" customFormat="false" ht="15" hidden="false" customHeight="true" outlineLevel="0" collapsed="false">
      <c r="A110" s="407" t="n">
        <v>67</v>
      </c>
      <c r="B110" s="407" t="s">
        <v>1294</v>
      </c>
      <c r="C110" s="410" t="str">
        <f aca="false">IF(MBYLLJA_6_7_AUTO!H87&gt;0,"Mbyllje "&amp;MBYLLJA_6_7_AUTO!B87&amp;" - "&amp;MBYLLJA_6_7_AUTO!C87,"")</f>
        <v/>
      </c>
      <c r="D110" s="410" t="str">
        <f aca="false">IF(MBYLLJA_6_7_AUTO!H87&gt;0,MBYLLJA_6_7_AUTO!F87,"")</f>
        <v/>
      </c>
      <c r="E110" s="410" t="str">
        <f aca="false">IF(MBYLLJA_6_7_AUTO!H87&gt;0,MBYLLJA_6_7_AUTO!G87,"")</f>
        <v/>
      </c>
      <c r="F110" s="409" t="n">
        <f aca="false">IF(MBYLLJA_6_7_AUTO!H87&gt;0,MBYLLJA_6_7_AUTO!H87,0)</f>
        <v>0</v>
      </c>
      <c r="G110" s="410" t="str">
        <f aca="false">MBYLLJA_6_7_AUTO!$B$8</f>
        <v>JO</v>
      </c>
      <c r="H110" s="410" t="str">
        <f aca="false">IF(F110=0,"Pa saldo",IF(G110="PO","GATI PËR POSTIM","NË PRITJE"))</f>
        <v>Pa saldo</v>
      </c>
    </row>
    <row r="111" customFormat="false" ht="15" hidden="false" customHeight="true" outlineLevel="0" collapsed="false">
      <c r="A111" s="407" t="n">
        <v>68</v>
      </c>
      <c r="B111" s="407" t="s">
        <v>1294</v>
      </c>
      <c r="C111" s="410" t="str">
        <f aca="false">IF(MBYLLJA_6_7_AUTO!H88&gt;0,"Mbyllje "&amp;MBYLLJA_6_7_AUTO!B88&amp;" - "&amp;MBYLLJA_6_7_AUTO!C88,"")</f>
        <v/>
      </c>
      <c r="D111" s="410" t="str">
        <f aca="false">IF(MBYLLJA_6_7_AUTO!H88&gt;0,MBYLLJA_6_7_AUTO!F88,"")</f>
        <v/>
      </c>
      <c r="E111" s="410" t="str">
        <f aca="false">IF(MBYLLJA_6_7_AUTO!H88&gt;0,MBYLLJA_6_7_AUTO!G88,"")</f>
        <v/>
      </c>
      <c r="F111" s="409" t="n">
        <f aca="false">IF(MBYLLJA_6_7_AUTO!H88&gt;0,MBYLLJA_6_7_AUTO!H88,0)</f>
        <v>0</v>
      </c>
      <c r="G111" s="410" t="str">
        <f aca="false">MBYLLJA_6_7_AUTO!$B$8</f>
        <v>JO</v>
      </c>
      <c r="H111" s="410" t="str">
        <f aca="false">IF(F111=0,"Pa saldo",IF(G111="PO","GATI PËR POSTIM","NË PRITJE"))</f>
        <v>Pa saldo</v>
      </c>
    </row>
    <row r="112" customFormat="false" ht="15" hidden="false" customHeight="true" outlineLevel="0" collapsed="false">
      <c r="A112" s="407" t="n">
        <v>69</v>
      </c>
      <c r="B112" s="407" t="s">
        <v>1294</v>
      </c>
      <c r="C112" s="410" t="str">
        <f aca="false">IF(MBYLLJA_6_7_AUTO!H89&gt;0,"Mbyllje "&amp;MBYLLJA_6_7_AUTO!B89&amp;" - "&amp;MBYLLJA_6_7_AUTO!C89,"")</f>
        <v/>
      </c>
      <c r="D112" s="410" t="str">
        <f aca="false">IF(MBYLLJA_6_7_AUTO!H89&gt;0,MBYLLJA_6_7_AUTO!F89,"")</f>
        <v/>
      </c>
      <c r="E112" s="410" t="str">
        <f aca="false">IF(MBYLLJA_6_7_AUTO!H89&gt;0,MBYLLJA_6_7_AUTO!G89,"")</f>
        <v/>
      </c>
      <c r="F112" s="409" t="n">
        <f aca="false">IF(MBYLLJA_6_7_AUTO!H89&gt;0,MBYLLJA_6_7_AUTO!H89,0)</f>
        <v>0</v>
      </c>
      <c r="G112" s="410" t="str">
        <f aca="false">MBYLLJA_6_7_AUTO!$B$8</f>
        <v>JO</v>
      </c>
      <c r="H112" s="410" t="str">
        <f aca="false">IF(F112=0,"Pa saldo",IF(G112="PO","GATI PËR POSTIM","NË PRITJE"))</f>
        <v>Pa saldo</v>
      </c>
    </row>
    <row r="113" customFormat="false" ht="15" hidden="false" customHeight="true" outlineLevel="0" collapsed="false">
      <c r="A113" s="407" t="n">
        <v>70</v>
      </c>
      <c r="B113" s="407" t="s">
        <v>1294</v>
      </c>
      <c r="C113" s="410" t="str">
        <f aca="false">IF(MBYLLJA_6_7_AUTO!H90&gt;0,"Mbyllje "&amp;MBYLLJA_6_7_AUTO!B90&amp;" - "&amp;MBYLLJA_6_7_AUTO!C90,"")</f>
        <v/>
      </c>
      <c r="D113" s="410" t="str">
        <f aca="false">IF(MBYLLJA_6_7_AUTO!H90&gt;0,MBYLLJA_6_7_AUTO!F90,"")</f>
        <v/>
      </c>
      <c r="E113" s="410" t="str">
        <f aca="false">IF(MBYLLJA_6_7_AUTO!H90&gt;0,MBYLLJA_6_7_AUTO!G90,"")</f>
        <v/>
      </c>
      <c r="F113" s="409" t="n">
        <f aca="false">IF(MBYLLJA_6_7_AUTO!H90&gt;0,MBYLLJA_6_7_AUTO!H90,0)</f>
        <v>0</v>
      </c>
      <c r="G113" s="410" t="str">
        <f aca="false">MBYLLJA_6_7_AUTO!$B$8</f>
        <v>JO</v>
      </c>
      <c r="H113" s="410" t="str">
        <f aca="false">IF(F113=0,"Pa saldo",IF(G113="PO","GATI PËR POSTIM","NË PRITJE"))</f>
        <v>Pa saldo</v>
      </c>
    </row>
    <row r="114" customFormat="false" ht="15" hidden="false" customHeight="true" outlineLevel="0" collapsed="false">
      <c r="A114" s="407" t="n">
        <v>71</v>
      </c>
      <c r="B114" s="407" t="s">
        <v>1294</v>
      </c>
      <c r="C114" s="410" t="str">
        <f aca="false">IF(MBYLLJA_6_7_AUTO!H91&gt;0,"Mbyllje "&amp;MBYLLJA_6_7_AUTO!B91&amp;" - "&amp;MBYLLJA_6_7_AUTO!C91,"")</f>
        <v/>
      </c>
      <c r="D114" s="410" t="str">
        <f aca="false">IF(MBYLLJA_6_7_AUTO!H91&gt;0,MBYLLJA_6_7_AUTO!F91,"")</f>
        <v/>
      </c>
      <c r="E114" s="410" t="str">
        <f aca="false">IF(MBYLLJA_6_7_AUTO!H91&gt;0,MBYLLJA_6_7_AUTO!G91,"")</f>
        <v/>
      </c>
      <c r="F114" s="409" t="n">
        <f aca="false">IF(MBYLLJA_6_7_AUTO!H91&gt;0,MBYLLJA_6_7_AUTO!H91,0)</f>
        <v>0</v>
      </c>
      <c r="G114" s="410" t="str">
        <f aca="false">MBYLLJA_6_7_AUTO!$B$8</f>
        <v>JO</v>
      </c>
      <c r="H114" s="410" t="str">
        <f aca="false">IF(F114=0,"Pa saldo",IF(G114="PO","GATI PËR POSTIM","NË PRITJE"))</f>
        <v>Pa saldo</v>
      </c>
    </row>
    <row r="115" customFormat="false" ht="15" hidden="false" customHeight="true" outlineLevel="0" collapsed="false">
      <c r="A115" s="407" t="n">
        <v>72</v>
      </c>
      <c r="B115" s="407" t="s">
        <v>1294</v>
      </c>
      <c r="C115" s="410" t="str">
        <f aca="false">IF(MBYLLJA_6_7_AUTO!H92&gt;0,"Mbyllje "&amp;MBYLLJA_6_7_AUTO!B92&amp;" - "&amp;MBYLLJA_6_7_AUTO!C92,"")</f>
        <v/>
      </c>
      <c r="D115" s="410" t="str">
        <f aca="false">IF(MBYLLJA_6_7_AUTO!H92&gt;0,MBYLLJA_6_7_AUTO!F92,"")</f>
        <v/>
      </c>
      <c r="E115" s="410" t="str">
        <f aca="false">IF(MBYLLJA_6_7_AUTO!H92&gt;0,MBYLLJA_6_7_AUTO!G92,"")</f>
        <v/>
      </c>
      <c r="F115" s="409" t="n">
        <f aca="false">IF(MBYLLJA_6_7_AUTO!H92&gt;0,MBYLLJA_6_7_AUTO!H92,0)</f>
        <v>0</v>
      </c>
      <c r="G115" s="410" t="str">
        <f aca="false">MBYLLJA_6_7_AUTO!$B$8</f>
        <v>JO</v>
      </c>
      <c r="H115" s="410" t="str">
        <f aca="false">IF(F115=0,"Pa saldo",IF(G115="PO","GATI PËR POSTIM","NË PRITJE"))</f>
        <v>Pa saldo</v>
      </c>
    </row>
    <row r="116" customFormat="false" ht="15" hidden="false" customHeight="true" outlineLevel="0" collapsed="false">
      <c r="A116" s="407" t="n">
        <v>73</v>
      </c>
      <c r="B116" s="407" t="s">
        <v>1294</v>
      </c>
      <c r="C116" s="410" t="str">
        <f aca="false">IF(MBYLLJA_6_7_AUTO!H93&gt;0,"Mbyllje "&amp;MBYLLJA_6_7_AUTO!B93&amp;" - "&amp;MBYLLJA_6_7_AUTO!C93,"")</f>
        <v/>
      </c>
      <c r="D116" s="410" t="str">
        <f aca="false">IF(MBYLLJA_6_7_AUTO!H93&gt;0,MBYLLJA_6_7_AUTO!F93,"")</f>
        <v/>
      </c>
      <c r="E116" s="410" t="str">
        <f aca="false">IF(MBYLLJA_6_7_AUTO!H93&gt;0,MBYLLJA_6_7_AUTO!G93,"")</f>
        <v/>
      </c>
      <c r="F116" s="409" t="n">
        <f aca="false">IF(MBYLLJA_6_7_AUTO!H93&gt;0,MBYLLJA_6_7_AUTO!H93,0)</f>
        <v>0</v>
      </c>
      <c r="G116" s="410" t="str">
        <f aca="false">MBYLLJA_6_7_AUTO!$B$8</f>
        <v>JO</v>
      </c>
      <c r="H116" s="410" t="str">
        <f aca="false">IF(F116=0,"Pa saldo",IF(G116="PO","GATI PËR POSTIM","NË PRITJE"))</f>
        <v>Pa saldo</v>
      </c>
    </row>
    <row r="117" customFormat="false" ht="15" hidden="false" customHeight="true" outlineLevel="0" collapsed="false">
      <c r="A117" s="407" t="n">
        <v>74</v>
      </c>
      <c r="B117" s="407" t="s">
        <v>1294</v>
      </c>
      <c r="C117" s="410" t="str">
        <f aca="false">IF(MBYLLJA_6_7_AUTO!H94&gt;0,"Mbyllje "&amp;MBYLLJA_6_7_AUTO!B94&amp;" - "&amp;MBYLLJA_6_7_AUTO!C94,"")</f>
        <v/>
      </c>
      <c r="D117" s="410" t="str">
        <f aca="false">IF(MBYLLJA_6_7_AUTO!H94&gt;0,MBYLLJA_6_7_AUTO!F94,"")</f>
        <v/>
      </c>
      <c r="E117" s="410" t="str">
        <f aca="false">IF(MBYLLJA_6_7_AUTO!H94&gt;0,MBYLLJA_6_7_AUTO!G94,"")</f>
        <v/>
      </c>
      <c r="F117" s="409" t="n">
        <f aca="false">IF(MBYLLJA_6_7_AUTO!H94&gt;0,MBYLLJA_6_7_AUTO!H94,0)</f>
        <v>0</v>
      </c>
      <c r="G117" s="410" t="str">
        <f aca="false">MBYLLJA_6_7_AUTO!$B$8</f>
        <v>JO</v>
      </c>
      <c r="H117" s="410" t="str">
        <f aca="false">IF(F117=0,"Pa saldo",IF(G117="PO","GATI PËR POSTIM","NË PRITJE"))</f>
        <v>Pa saldo</v>
      </c>
    </row>
    <row r="118" customFormat="false" ht="15" hidden="false" customHeight="true" outlineLevel="0" collapsed="false">
      <c r="A118" s="407" t="n">
        <v>75</v>
      </c>
      <c r="B118" s="407" t="s">
        <v>1294</v>
      </c>
      <c r="C118" s="410" t="str">
        <f aca="false">IF(MBYLLJA_6_7_AUTO!H95&gt;0,"Mbyllje "&amp;MBYLLJA_6_7_AUTO!B95&amp;" - "&amp;MBYLLJA_6_7_AUTO!C95,"")</f>
        <v/>
      </c>
      <c r="D118" s="410" t="str">
        <f aca="false">IF(MBYLLJA_6_7_AUTO!H95&gt;0,MBYLLJA_6_7_AUTO!F95,"")</f>
        <v/>
      </c>
      <c r="E118" s="410" t="str">
        <f aca="false">IF(MBYLLJA_6_7_AUTO!H95&gt;0,MBYLLJA_6_7_AUTO!G95,"")</f>
        <v/>
      </c>
      <c r="F118" s="409" t="n">
        <f aca="false">IF(MBYLLJA_6_7_AUTO!H95&gt;0,MBYLLJA_6_7_AUTO!H95,0)</f>
        <v>0</v>
      </c>
      <c r="G118" s="410" t="str">
        <f aca="false">MBYLLJA_6_7_AUTO!$B$8</f>
        <v>JO</v>
      </c>
      <c r="H118" s="410" t="str">
        <f aca="false">IF(F118=0,"Pa saldo",IF(G118="PO","GATI PËR POSTIM","NË PRITJE"))</f>
        <v>Pa saldo</v>
      </c>
    </row>
    <row r="119" customFormat="false" ht="15" hidden="false" customHeight="true" outlineLevel="0" collapsed="false">
      <c r="A119" s="407" t="n">
        <v>76</v>
      </c>
      <c r="B119" s="407" t="s">
        <v>1294</v>
      </c>
      <c r="C119" s="410" t="str">
        <f aca="false">IF(MBYLLJA_6_7_AUTO!H96&gt;0,"Mbyllje "&amp;MBYLLJA_6_7_AUTO!B96&amp;" - "&amp;MBYLLJA_6_7_AUTO!C96,"")</f>
        <v/>
      </c>
      <c r="D119" s="410" t="str">
        <f aca="false">IF(MBYLLJA_6_7_AUTO!H96&gt;0,MBYLLJA_6_7_AUTO!F96,"")</f>
        <v/>
      </c>
      <c r="E119" s="410" t="str">
        <f aca="false">IF(MBYLLJA_6_7_AUTO!H96&gt;0,MBYLLJA_6_7_AUTO!G96,"")</f>
        <v/>
      </c>
      <c r="F119" s="409" t="n">
        <f aca="false">IF(MBYLLJA_6_7_AUTO!H96&gt;0,MBYLLJA_6_7_AUTO!H96,0)</f>
        <v>0</v>
      </c>
      <c r="G119" s="410" t="str">
        <f aca="false">MBYLLJA_6_7_AUTO!$B$8</f>
        <v>JO</v>
      </c>
      <c r="H119" s="410" t="str">
        <f aca="false">IF(F119=0,"Pa saldo",IF(G119="PO","GATI PËR POSTIM","NË PRITJE"))</f>
        <v>Pa saldo</v>
      </c>
    </row>
    <row r="120" customFormat="false" ht="15" hidden="false" customHeight="true" outlineLevel="0" collapsed="false">
      <c r="A120" s="407" t="n">
        <v>77</v>
      </c>
      <c r="B120" s="407" t="s">
        <v>1294</v>
      </c>
      <c r="C120" s="410" t="str">
        <f aca="false">IF(MBYLLJA_6_7_AUTO!H97&gt;0,"Mbyllje "&amp;MBYLLJA_6_7_AUTO!B97&amp;" - "&amp;MBYLLJA_6_7_AUTO!C97,"")</f>
        <v/>
      </c>
      <c r="D120" s="410" t="str">
        <f aca="false">IF(MBYLLJA_6_7_AUTO!H97&gt;0,MBYLLJA_6_7_AUTO!F97,"")</f>
        <v/>
      </c>
      <c r="E120" s="410" t="str">
        <f aca="false">IF(MBYLLJA_6_7_AUTO!H97&gt;0,MBYLLJA_6_7_AUTO!G97,"")</f>
        <v/>
      </c>
      <c r="F120" s="409" t="n">
        <f aca="false">IF(MBYLLJA_6_7_AUTO!H97&gt;0,MBYLLJA_6_7_AUTO!H97,0)</f>
        <v>0</v>
      </c>
      <c r="G120" s="410" t="str">
        <f aca="false">MBYLLJA_6_7_AUTO!$B$8</f>
        <v>JO</v>
      </c>
      <c r="H120" s="410" t="str">
        <f aca="false">IF(F120=0,"Pa saldo",IF(G120="PO","GATI PËR POSTIM","NË PRITJE"))</f>
        <v>Pa saldo</v>
      </c>
    </row>
    <row r="121" customFormat="false" ht="15" hidden="false" customHeight="true" outlineLevel="0" collapsed="false">
      <c r="A121" s="407" t="n">
        <v>78</v>
      </c>
      <c r="B121" s="407" t="s">
        <v>1294</v>
      </c>
      <c r="C121" s="410" t="str">
        <f aca="false">IF(MBYLLJA_6_7_AUTO!H98&gt;0,"Mbyllje "&amp;MBYLLJA_6_7_AUTO!B98&amp;" - "&amp;MBYLLJA_6_7_AUTO!C98,"")</f>
        <v/>
      </c>
      <c r="D121" s="410" t="str">
        <f aca="false">IF(MBYLLJA_6_7_AUTO!H98&gt;0,MBYLLJA_6_7_AUTO!F98,"")</f>
        <v/>
      </c>
      <c r="E121" s="410" t="str">
        <f aca="false">IF(MBYLLJA_6_7_AUTO!H98&gt;0,MBYLLJA_6_7_AUTO!G98,"")</f>
        <v/>
      </c>
      <c r="F121" s="409" t="n">
        <f aca="false">IF(MBYLLJA_6_7_AUTO!H98&gt;0,MBYLLJA_6_7_AUTO!H98,0)</f>
        <v>0</v>
      </c>
      <c r="G121" s="410" t="str">
        <f aca="false">MBYLLJA_6_7_AUTO!$B$8</f>
        <v>JO</v>
      </c>
      <c r="H121" s="410" t="str">
        <f aca="false">IF(F121=0,"Pa saldo",IF(G121="PO","GATI PËR POSTIM","NË PRITJE"))</f>
        <v>Pa saldo</v>
      </c>
    </row>
    <row r="122" customFormat="false" ht="15" hidden="false" customHeight="true" outlineLevel="0" collapsed="false">
      <c r="A122" s="407" t="n">
        <v>79</v>
      </c>
      <c r="B122" s="407" t="s">
        <v>1294</v>
      </c>
      <c r="C122" s="410" t="str">
        <f aca="false">IF(MBYLLJA_6_7_AUTO!H99&gt;0,"Mbyllje "&amp;MBYLLJA_6_7_AUTO!B99&amp;" - "&amp;MBYLLJA_6_7_AUTO!C99,"")</f>
        <v/>
      </c>
      <c r="D122" s="410" t="str">
        <f aca="false">IF(MBYLLJA_6_7_AUTO!H99&gt;0,MBYLLJA_6_7_AUTO!F99,"")</f>
        <v/>
      </c>
      <c r="E122" s="410" t="str">
        <f aca="false">IF(MBYLLJA_6_7_AUTO!H99&gt;0,MBYLLJA_6_7_AUTO!G99,"")</f>
        <v/>
      </c>
      <c r="F122" s="409" t="n">
        <f aca="false">IF(MBYLLJA_6_7_AUTO!H99&gt;0,MBYLLJA_6_7_AUTO!H99,0)</f>
        <v>0</v>
      </c>
      <c r="G122" s="410" t="str">
        <f aca="false">MBYLLJA_6_7_AUTO!$B$8</f>
        <v>JO</v>
      </c>
      <c r="H122" s="410" t="str">
        <f aca="false">IF(F122=0,"Pa saldo",IF(G122="PO","GATI PËR POSTIM","NË PRITJE"))</f>
        <v>Pa saldo</v>
      </c>
    </row>
    <row r="123" customFormat="false" ht="15" hidden="false" customHeight="true" outlineLevel="0" collapsed="false">
      <c r="A123" s="407" t="n">
        <v>80</v>
      </c>
      <c r="B123" s="407" t="s">
        <v>1294</v>
      </c>
      <c r="C123" s="410" t="str">
        <f aca="false">IF(MBYLLJA_6_7_AUTO!H100&gt;0,"Mbyllje "&amp;MBYLLJA_6_7_AUTO!B100&amp;" - "&amp;MBYLLJA_6_7_AUTO!C100,"")</f>
        <v/>
      </c>
      <c r="D123" s="410" t="str">
        <f aca="false">IF(MBYLLJA_6_7_AUTO!H100&gt;0,MBYLLJA_6_7_AUTO!F100,"")</f>
        <v/>
      </c>
      <c r="E123" s="410" t="str">
        <f aca="false">IF(MBYLLJA_6_7_AUTO!H100&gt;0,MBYLLJA_6_7_AUTO!G100,"")</f>
        <v/>
      </c>
      <c r="F123" s="409" t="n">
        <f aca="false">IF(MBYLLJA_6_7_AUTO!H100&gt;0,MBYLLJA_6_7_AUTO!H100,0)</f>
        <v>0</v>
      </c>
      <c r="G123" s="410" t="str">
        <f aca="false">MBYLLJA_6_7_AUTO!$B$8</f>
        <v>JO</v>
      </c>
      <c r="H123" s="410" t="str">
        <f aca="false">IF(F123=0,"Pa saldo",IF(G123="PO","GATI PËR POSTIM","NË PRITJE"))</f>
        <v>Pa saldo</v>
      </c>
    </row>
    <row r="124" customFormat="false" ht="15" hidden="false" customHeight="true" outlineLevel="0" collapsed="false">
      <c r="A124" s="407" t="n">
        <v>81</v>
      </c>
      <c r="B124" s="407" t="s">
        <v>1294</v>
      </c>
      <c r="C124" s="410" t="str">
        <f aca="false">IF(MBYLLJA_6_7_AUTO!H101&gt;0,"Mbyllje "&amp;MBYLLJA_6_7_AUTO!B101&amp;" - "&amp;MBYLLJA_6_7_AUTO!C101,"")</f>
        <v/>
      </c>
      <c r="D124" s="410" t="str">
        <f aca="false">IF(MBYLLJA_6_7_AUTO!H101&gt;0,MBYLLJA_6_7_AUTO!F101,"")</f>
        <v/>
      </c>
      <c r="E124" s="410" t="str">
        <f aca="false">IF(MBYLLJA_6_7_AUTO!H101&gt;0,MBYLLJA_6_7_AUTO!G101,"")</f>
        <v/>
      </c>
      <c r="F124" s="409" t="n">
        <f aca="false">IF(MBYLLJA_6_7_AUTO!H101&gt;0,MBYLLJA_6_7_AUTO!H101,0)</f>
        <v>0</v>
      </c>
      <c r="G124" s="410" t="str">
        <f aca="false">MBYLLJA_6_7_AUTO!$B$8</f>
        <v>JO</v>
      </c>
      <c r="H124" s="410" t="str">
        <f aca="false">IF(F124=0,"Pa saldo",IF(G124="PO","GATI PËR POSTIM","NË PRITJE"))</f>
        <v>Pa saldo</v>
      </c>
    </row>
    <row r="125" customFormat="false" ht="15" hidden="false" customHeight="true" outlineLevel="0" collapsed="false">
      <c r="A125" s="407" t="n">
        <v>82</v>
      </c>
      <c r="B125" s="407" t="s">
        <v>1294</v>
      </c>
      <c r="C125" s="410" t="str">
        <f aca="false">IF(MBYLLJA_6_7_AUTO!H102&gt;0,"Mbyllje "&amp;MBYLLJA_6_7_AUTO!B102&amp;" - "&amp;MBYLLJA_6_7_AUTO!C102,"")</f>
        <v/>
      </c>
      <c r="D125" s="410" t="str">
        <f aca="false">IF(MBYLLJA_6_7_AUTO!H102&gt;0,MBYLLJA_6_7_AUTO!F102,"")</f>
        <v/>
      </c>
      <c r="E125" s="410" t="str">
        <f aca="false">IF(MBYLLJA_6_7_AUTO!H102&gt;0,MBYLLJA_6_7_AUTO!G102,"")</f>
        <v/>
      </c>
      <c r="F125" s="409" t="n">
        <f aca="false">IF(MBYLLJA_6_7_AUTO!H102&gt;0,MBYLLJA_6_7_AUTO!H102,0)</f>
        <v>0</v>
      </c>
      <c r="G125" s="410" t="str">
        <f aca="false">MBYLLJA_6_7_AUTO!$B$8</f>
        <v>JO</v>
      </c>
      <c r="H125" s="410" t="str">
        <f aca="false">IF(F125=0,"Pa saldo",IF(G125="PO","GATI PËR POSTIM","NË PRITJE"))</f>
        <v>Pa saldo</v>
      </c>
    </row>
    <row r="126" customFormat="false" ht="15" hidden="false" customHeight="true" outlineLevel="0" collapsed="false">
      <c r="A126" s="407" t="n">
        <v>83</v>
      </c>
      <c r="B126" s="407" t="s">
        <v>1295</v>
      </c>
      <c r="C126" s="410" t="str">
        <f aca="false">IF(MBYLLJA_6_7_AUTO!$D$107&gt;0,"Transferim rezultati 121 → 108","")</f>
        <v/>
      </c>
      <c r="D126" s="410" t="str">
        <f aca="false">MBYLLJA_6_7_AUTO!$B$107</f>
        <v/>
      </c>
      <c r="E126" s="410" t="str">
        <f aca="false">MBYLLJA_6_7_AUTO!$C$107</f>
        <v/>
      </c>
      <c r="F126" s="409" t="n">
        <f aca="false">MBYLLJA_6_7_AUTO!$D$107</f>
        <v>0</v>
      </c>
      <c r="G126" s="410" t="str">
        <f aca="false">MBYLLJA_6_7_AUTO!$J$107</f>
        <v>JO</v>
      </c>
      <c r="H126" s="410" t="str">
        <f aca="false">IF(F126=0,"JO POSTIM",IF(G126="PO","GATI PËR POSTIM","NË PRITJE"))</f>
        <v>JO POSTIM</v>
      </c>
    </row>
  </sheetData>
  <sheetProtection sheet="true" password="91db" formatCells="false" formatColumns="false" formatRows="false" sort="false" autoFilter="false"/>
  <mergeCells count="3">
    <mergeCell ref="J1:M1"/>
    <mergeCell ref="J2:L2"/>
    <mergeCell ref="A42:H42"/>
  </mergeCells>
  <dataValidations count="2">
    <dataValidation allowBlank="false" errorStyle="stop" operator="between" showDropDown="false" showErrorMessage="false" showInputMessage="false" sqref="G4:G30" type="list">
      <formula1>"PO,JO"</formula1>
      <formula2>0</formula2>
    </dataValidation>
    <dataValidation allowBlank="false" errorStyle="stop" operator="between" showDropDown="false" showErrorMessage="false" showInputMessage="false" sqref="M2" type="list">
      <formula1>"JO,PO"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42"/>
    <col collapsed="false" customWidth="true" hidden="false" outlineLevel="0" max="3" min="3" style="1" width="28"/>
    <col collapsed="false" customWidth="true" hidden="false" outlineLevel="0" max="4" min="4" style="1" width="20"/>
    <col collapsed="false" customWidth="true" hidden="false" outlineLevel="0" max="5" min="5" style="1" width="70"/>
  </cols>
  <sheetData>
    <row r="1" customFormat="false" ht="15" hidden="false" customHeight="true" outlineLevel="0" collapsed="false">
      <c r="A1" s="147" t="s">
        <v>106</v>
      </c>
      <c r="B1" s="147" t="s">
        <v>1296</v>
      </c>
      <c r="C1" s="147" t="s">
        <v>1297</v>
      </c>
      <c r="D1" s="147" t="s">
        <v>1298</v>
      </c>
      <c r="E1" s="147" t="s">
        <v>871</v>
      </c>
    </row>
    <row r="2" customFormat="false" ht="23.25" hidden="false" customHeight="true" outlineLevel="0" collapsed="false">
      <c r="A2" s="281" t="n">
        <v>1</v>
      </c>
      <c r="B2" s="281" t="s">
        <v>1022</v>
      </c>
      <c r="C2" s="281" t="s">
        <v>1299</v>
      </c>
      <c r="D2" s="281" t="s">
        <v>1300</v>
      </c>
      <c r="E2" s="281" t="s">
        <v>1301</v>
      </c>
    </row>
    <row r="3" customFormat="false" ht="15" hidden="false" customHeight="true" outlineLevel="0" collapsed="false">
      <c r="A3" s="281" t="n">
        <v>2</v>
      </c>
      <c r="B3" s="281" t="s">
        <v>1024</v>
      </c>
      <c r="C3" s="281" t="s">
        <v>1302</v>
      </c>
      <c r="D3" s="281" t="s">
        <v>1300</v>
      </c>
      <c r="E3" s="281" t="s">
        <v>1303</v>
      </c>
    </row>
    <row r="4" customFormat="false" ht="15" hidden="false" customHeight="true" outlineLevel="0" collapsed="false">
      <c r="A4" s="281" t="n">
        <v>3</v>
      </c>
      <c r="B4" s="281" t="s">
        <v>1304</v>
      </c>
      <c r="C4" s="281" t="s">
        <v>1305</v>
      </c>
      <c r="D4" s="281" t="s">
        <v>1306</v>
      </c>
      <c r="E4" s="281" t="s">
        <v>1307</v>
      </c>
    </row>
    <row r="5" customFormat="false" ht="15" hidden="false" customHeight="true" outlineLevel="0" collapsed="false">
      <c r="A5" s="281" t="n">
        <v>4</v>
      </c>
      <c r="B5" s="281" t="s">
        <v>1308</v>
      </c>
      <c r="C5" s="281" t="s">
        <v>1309</v>
      </c>
      <c r="D5" s="281" t="s">
        <v>1300</v>
      </c>
      <c r="E5" s="281" t="s">
        <v>1310</v>
      </c>
    </row>
    <row r="6" customFormat="false" ht="15" hidden="false" customHeight="true" outlineLevel="0" collapsed="false">
      <c r="A6" s="281" t="n">
        <v>5</v>
      </c>
      <c r="B6" s="281" t="s">
        <v>1030</v>
      </c>
      <c r="C6" s="281" t="s">
        <v>1311</v>
      </c>
      <c r="D6" s="281" t="s">
        <v>1306</v>
      </c>
      <c r="E6" s="281" t="s">
        <v>1312</v>
      </c>
    </row>
    <row r="7" customFormat="false" ht="15" hidden="false" customHeight="true" outlineLevel="0" collapsed="false">
      <c r="A7" s="281" t="n">
        <v>6</v>
      </c>
      <c r="B7" s="281" t="s">
        <v>1313</v>
      </c>
      <c r="C7" s="281" t="s">
        <v>1314</v>
      </c>
      <c r="D7" s="281" t="s">
        <v>1306</v>
      </c>
      <c r="E7" s="281" t="s">
        <v>1315</v>
      </c>
    </row>
    <row r="8" customFormat="false" ht="15" hidden="false" customHeight="true" outlineLevel="0" collapsed="false">
      <c r="A8" s="281" t="n">
        <v>7</v>
      </c>
      <c r="B8" s="281" t="s">
        <v>1316</v>
      </c>
      <c r="C8" s="281" t="s">
        <v>1317</v>
      </c>
      <c r="D8" s="281" t="s">
        <v>1306</v>
      </c>
      <c r="E8" s="281" t="s">
        <v>1318</v>
      </c>
    </row>
    <row r="9" customFormat="false" ht="15" hidden="false" customHeight="true" outlineLevel="0" collapsed="false">
      <c r="A9" s="281" t="n">
        <v>8</v>
      </c>
      <c r="B9" s="281" t="s">
        <v>364</v>
      </c>
      <c r="C9" s="281" t="s">
        <v>1319</v>
      </c>
      <c r="D9" s="281" t="s">
        <v>1306</v>
      </c>
      <c r="E9" s="281" t="s">
        <v>1320</v>
      </c>
    </row>
    <row r="10" customFormat="false" ht="15" hidden="false" customHeight="true" outlineLevel="0" collapsed="false">
      <c r="A10" s="281" t="n">
        <v>9</v>
      </c>
      <c r="B10" s="281" t="s">
        <v>86</v>
      </c>
      <c r="C10" s="281" t="s">
        <v>1321</v>
      </c>
      <c r="D10" s="281" t="s">
        <v>1306</v>
      </c>
      <c r="E10" s="281" t="s">
        <v>1322</v>
      </c>
    </row>
    <row r="11" customFormat="false" ht="15" hidden="false" customHeight="true" outlineLevel="0" collapsed="false">
      <c r="A11" s="281" t="n">
        <v>10</v>
      </c>
      <c r="B11" s="281" t="s">
        <v>1323</v>
      </c>
      <c r="C11" s="281" t="s">
        <v>1324</v>
      </c>
      <c r="D11" s="281" t="s">
        <v>1325</v>
      </c>
      <c r="E11" s="281" t="s">
        <v>1326</v>
      </c>
    </row>
    <row r="12" customFormat="false" ht="15" hidden="false" customHeight="true" outlineLevel="0" collapsed="false">
      <c r="A12" s="281" t="n">
        <v>11</v>
      </c>
      <c r="B12" s="281" t="s">
        <v>1327</v>
      </c>
      <c r="C12" s="281" t="s">
        <v>1328</v>
      </c>
      <c r="D12" s="281" t="s">
        <v>1325</v>
      </c>
      <c r="E12" s="281" t="s">
        <v>1326</v>
      </c>
    </row>
    <row r="13" customFormat="false" ht="15" hidden="false" customHeight="true" outlineLevel="0" collapsed="false">
      <c r="A13" s="281" t="n">
        <v>12</v>
      </c>
      <c r="B13" s="281" t="s">
        <v>93</v>
      </c>
      <c r="C13" s="281" t="s">
        <v>1329</v>
      </c>
      <c r="D13" s="281" t="s">
        <v>1306</v>
      </c>
      <c r="E13" s="281" t="s">
        <v>1330</v>
      </c>
    </row>
  </sheetData>
  <sheetProtection sheet="true" password="91db" formatCells="false" formatColumns="false" formatRows="false" sort="false" autoFilter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7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120"/>
    <col collapsed="false" customWidth="true" hidden="false" outlineLevel="0" max="3" min="3" style="1" width="32"/>
    <col collapsed="false" customWidth="true" hidden="false" outlineLevel="0" max="4" min="4" style="1" width="42"/>
    <col collapsed="false" customWidth="true" hidden="false" outlineLevel="0" max="5" min="5" style="1" width="34"/>
    <col collapsed="false" customWidth="true" hidden="false" outlineLevel="0" max="9" min="6" style="1" width="20"/>
    <col collapsed="false" customWidth="true" hidden="false" outlineLevel="0" max="12" min="10" style="1" width="18"/>
    <col collapsed="false" customWidth="true" hidden="false" outlineLevel="0" max="14" min="14" style="1" width="16"/>
  </cols>
  <sheetData>
    <row r="1" customFormat="false" ht="33.75" hidden="false" customHeight="true" outlineLevel="0" collapsed="false">
      <c r="A1" s="28" t="s">
        <v>39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N1" s="29" t="s">
        <v>19</v>
      </c>
    </row>
    <row r="2" customFormat="false" ht="18" hidden="false" customHeight="true" outlineLevel="0" collapsed="false">
      <c r="A2" s="30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customFormat="false" ht="18" hidden="false" customHeight="true" outlineLevel="0" collapsed="false"/>
    <row r="4" customFormat="false" ht="21.75" hidden="false" customHeight="true" outlineLevel="0" collapsed="false">
      <c r="A4" s="31" t="s">
        <v>41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customFormat="false" ht="24" hidden="false" customHeight="true" outlineLevel="0" collapsed="false">
      <c r="A5" s="32" t="s">
        <v>42</v>
      </c>
      <c r="B5" s="32" t="s">
        <v>43</v>
      </c>
      <c r="C5" s="32" t="s">
        <v>44</v>
      </c>
      <c r="D5" s="32" t="s">
        <v>45</v>
      </c>
      <c r="E5" s="32" t="s">
        <v>46</v>
      </c>
    </row>
    <row r="6" customFormat="false" ht="36" hidden="false" customHeight="true" outlineLevel="0" collapsed="false">
      <c r="A6" s="33" t="s">
        <v>47</v>
      </c>
      <c r="B6" s="33" t="s">
        <v>48</v>
      </c>
      <c r="C6" s="33" t="s">
        <v>49</v>
      </c>
      <c r="D6" s="33" t="s">
        <v>50</v>
      </c>
      <c r="E6" s="33" t="s">
        <v>51</v>
      </c>
    </row>
    <row r="7" customFormat="false" ht="36" hidden="false" customHeight="true" outlineLevel="0" collapsed="false">
      <c r="A7" s="34" t="s">
        <v>52</v>
      </c>
      <c r="B7" s="34" t="s">
        <v>53</v>
      </c>
      <c r="C7" s="34" t="s">
        <v>54</v>
      </c>
      <c r="D7" s="34" t="s">
        <v>55</v>
      </c>
      <c r="E7" s="34" t="s">
        <v>56</v>
      </c>
    </row>
    <row r="8" customFormat="false" ht="36" hidden="false" customHeight="true" outlineLevel="0" collapsed="false">
      <c r="A8" s="33" t="s">
        <v>57</v>
      </c>
      <c r="B8" s="33" t="s">
        <v>58</v>
      </c>
      <c r="C8" s="33" t="s">
        <v>59</v>
      </c>
      <c r="D8" s="33" t="s">
        <v>60</v>
      </c>
      <c r="E8" s="33" t="s">
        <v>61</v>
      </c>
    </row>
    <row r="9" customFormat="false" ht="36" hidden="false" customHeight="true" outlineLevel="0" collapsed="false">
      <c r="A9" s="34" t="s">
        <v>62</v>
      </c>
      <c r="B9" s="34" t="s">
        <v>63</v>
      </c>
      <c r="C9" s="34" t="s">
        <v>64</v>
      </c>
      <c r="D9" s="34" t="s">
        <v>65</v>
      </c>
      <c r="E9" s="34" t="s">
        <v>66</v>
      </c>
    </row>
    <row r="10" customFormat="false" ht="36" hidden="false" customHeight="true" outlineLevel="0" collapsed="false">
      <c r="A10" s="33" t="s">
        <v>67</v>
      </c>
      <c r="B10" s="33" t="s">
        <v>68</v>
      </c>
      <c r="C10" s="33" t="s">
        <v>69</v>
      </c>
      <c r="D10" s="33" t="s">
        <v>70</v>
      </c>
      <c r="E10" s="33" t="s">
        <v>71</v>
      </c>
    </row>
    <row r="11" customFormat="false" ht="36" hidden="false" customHeight="true" outlineLevel="0" collapsed="false">
      <c r="A11" s="34" t="s">
        <v>72</v>
      </c>
      <c r="B11" s="34" t="s">
        <v>73</v>
      </c>
      <c r="C11" s="34" t="s">
        <v>74</v>
      </c>
      <c r="D11" s="34" t="s">
        <v>75</v>
      </c>
      <c r="E11" s="34" t="s">
        <v>76</v>
      </c>
    </row>
    <row r="12" customFormat="false" ht="18" hidden="false" customHeight="true" outlineLevel="0" collapsed="false"/>
    <row r="13" customFormat="false" ht="18" hidden="false" customHeight="true" outlineLevel="0" collapsed="false"/>
    <row r="14" customFormat="false" ht="21.75" hidden="false" customHeight="true" outlineLevel="0" collapsed="false">
      <c r="A14" s="35" t="s">
        <v>77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customFormat="false" ht="24" hidden="false" customHeight="true" outlineLevel="0" collapsed="false">
      <c r="A15" s="32" t="s">
        <v>78</v>
      </c>
      <c r="B15" s="32" t="s">
        <v>79</v>
      </c>
      <c r="C15" s="32" t="s">
        <v>80</v>
      </c>
      <c r="D15" s="32" t="s">
        <v>81</v>
      </c>
    </row>
    <row r="16" customFormat="false" ht="57.75" hidden="false" customHeight="true" outlineLevel="0" collapsed="false">
      <c r="A16" s="33" t="s">
        <v>82</v>
      </c>
      <c r="B16" s="33" t="s">
        <v>83</v>
      </c>
      <c r="C16" s="33" t="s">
        <v>84</v>
      </c>
      <c r="D16" s="33" t="s">
        <v>85</v>
      </c>
    </row>
    <row r="17" customFormat="false" ht="57.75" hidden="false" customHeight="true" outlineLevel="0" collapsed="false">
      <c r="A17" s="34" t="s">
        <v>86</v>
      </c>
      <c r="B17" s="34" t="s">
        <v>87</v>
      </c>
      <c r="C17" s="34" t="s">
        <v>88</v>
      </c>
      <c r="D17" s="34" t="s">
        <v>75</v>
      </c>
    </row>
    <row r="18" customFormat="false" ht="57.75" hidden="false" customHeight="true" outlineLevel="0" collapsed="false">
      <c r="A18" s="33" t="s">
        <v>89</v>
      </c>
      <c r="B18" s="33" t="s">
        <v>90</v>
      </c>
      <c r="C18" s="33" t="s">
        <v>91</v>
      </c>
      <c r="D18" s="33" t="s">
        <v>92</v>
      </c>
    </row>
    <row r="19" customFormat="false" ht="57.75" hidden="false" customHeight="true" outlineLevel="0" collapsed="false">
      <c r="A19" s="34" t="s">
        <v>93</v>
      </c>
      <c r="B19" s="34" t="s">
        <v>94</v>
      </c>
      <c r="C19" s="34" t="s">
        <v>95</v>
      </c>
      <c r="D19" s="34" t="s">
        <v>96</v>
      </c>
    </row>
    <row r="20" customFormat="false" ht="57.75" hidden="false" customHeight="true" outlineLevel="0" collapsed="false">
      <c r="A20" s="33" t="s">
        <v>97</v>
      </c>
      <c r="B20" s="33" t="s">
        <v>98</v>
      </c>
      <c r="C20" s="33" t="s">
        <v>99</v>
      </c>
      <c r="D20" s="33" t="s">
        <v>100</v>
      </c>
    </row>
    <row r="21" customFormat="false" ht="57.75" hidden="false" customHeight="true" outlineLevel="0" collapsed="false">
      <c r="A21" s="34" t="s">
        <v>101</v>
      </c>
      <c r="B21" s="34" t="s">
        <v>102</v>
      </c>
      <c r="C21" s="34" t="s">
        <v>103</v>
      </c>
      <c r="D21" s="34" t="s">
        <v>104</v>
      </c>
    </row>
    <row r="22" customFormat="false" ht="18" hidden="false" customHeight="true" outlineLevel="0" collapsed="false"/>
    <row r="23" customFormat="false" ht="18" hidden="false" customHeight="true" outlineLevel="0" collapsed="false"/>
    <row r="24" customFormat="false" ht="21.75" hidden="false" customHeight="true" outlineLevel="0" collapsed="false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customFormat="false" ht="24" hidden="false" customHeight="true" outlineLevel="0" collapsed="false">
      <c r="A25" s="32" t="s">
        <v>106</v>
      </c>
      <c r="B25" s="32" t="s">
        <v>107</v>
      </c>
    </row>
    <row r="26" customFormat="false" ht="25.5" hidden="false" customHeight="true" outlineLevel="0" collapsed="false">
      <c r="A26" s="33" t="s">
        <v>47</v>
      </c>
      <c r="B26" s="33" t="s">
        <v>108</v>
      </c>
    </row>
    <row r="27" customFormat="false" ht="25.5" hidden="false" customHeight="true" outlineLevel="0" collapsed="false">
      <c r="A27" s="34" t="s">
        <v>52</v>
      </c>
      <c r="B27" s="34" t="s">
        <v>109</v>
      </c>
    </row>
    <row r="28" customFormat="false" ht="25.5" hidden="false" customHeight="true" outlineLevel="0" collapsed="false">
      <c r="A28" s="33" t="s">
        <v>57</v>
      </c>
      <c r="B28" s="33" t="s">
        <v>110</v>
      </c>
    </row>
    <row r="29" customFormat="false" ht="25.5" hidden="false" customHeight="true" outlineLevel="0" collapsed="false">
      <c r="A29" s="34" t="s">
        <v>62</v>
      </c>
      <c r="B29" s="34" t="s">
        <v>111</v>
      </c>
    </row>
    <row r="30" customFormat="false" ht="25.5" hidden="false" customHeight="true" outlineLevel="0" collapsed="false">
      <c r="A30" s="33" t="s">
        <v>67</v>
      </c>
      <c r="B30" s="33" t="s">
        <v>112</v>
      </c>
    </row>
    <row r="31" customFormat="false" ht="33.75" hidden="false" customHeight="true" outlineLevel="0" collapsed="false">
      <c r="A31" s="36" t="s">
        <v>113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customFormat="false" ht="18" hidden="false" customHeight="true" outlineLevel="0" collapsed="false"/>
    <row r="33" customFormat="false" ht="18" hidden="false" customHeight="true" outlineLevel="0" collapsed="false"/>
    <row r="34" customFormat="false" ht="18" hidden="false" customHeight="true" outlineLevel="0" collapsed="false">
      <c r="A34" s="37" t="s">
        <v>114</v>
      </c>
      <c r="B34" s="37"/>
      <c r="C34" s="37"/>
      <c r="D34" s="37"/>
      <c r="E34" s="37"/>
      <c r="F34" s="37"/>
      <c r="G34" s="38" t="s">
        <v>115</v>
      </c>
      <c r="H34" s="38"/>
      <c r="I34" s="38"/>
      <c r="J34" s="38"/>
      <c r="K34" s="38"/>
      <c r="L34" s="38"/>
    </row>
    <row r="35" customFormat="false" ht="18" hidden="false" customHeight="true" outlineLevel="0" collapsed="false">
      <c r="A35" s="37"/>
      <c r="B35" s="37"/>
      <c r="C35" s="37"/>
      <c r="D35" s="37"/>
      <c r="E35" s="37"/>
      <c r="F35" s="37"/>
      <c r="G35" s="38"/>
      <c r="H35" s="38"/>
      <c r="I35" s="38"/>
      <c r="J35" s="38"/>
      <c r="K35" s="38"/>
      <c r="L35" s="38"/>
    </row>
    <row r="36" customFormat="false" ht="18" hidden="false" customHeight="true" outlineLevel="0" collapsed="false">
      <c r="A36" s="37"/>
      <c r="B36" s="37"/>
      <c r="C36" s="37"/>
      <c r="D36" s="37"/>
      <c r="E36" s="37"/>
      <c r="F36" s="37"/>
      <c r="G36" s="38"/>
      <c r="H36" s="38"/>
      <c r="I36" s="38"/>
      <c r="J36" s="38"/>
      <c r="K36" s="38"/>
      <c r="L36" s="38"/>
    </row>
    <row r="37" customFormat="false" ht="18" hidden="false" customHeight="true" outlineLevel="0" collapsed="false">
      <c r="A37" s="37"/>
      <c r="B37" s="37"/>
      <c r="C37" s="37"/>
      <c r="D37" s="37"/>
      <c r="E37" s="37"/>
      <c r="F37" s="37"/>
      <c r="G37" s="38"/>
      <c r="H37" s="38"/>
      <c r="I37" s="38"/>
      <c r="J37" s="38"/>
      <c r="K37" s="38"/>
      <c r="L37" s="38"/>
    </row>
    <row r="38" customFormat="false" ht="18" hidden="false" customHeight="true" outlineLevel="0" collapsed="false">
      <c r="A38" s="37"/>
      <c r="B38" s="37"/>
      <c r="C38" s="37"/>
      <c r="D38" s="37"/>
      <c r="E38" s="37"/>
      <c r="F38" s="37"/>
      <c r="G38" s="38"/>
      <c r="H38" s="38"/>
      <c r="I38" s="38"/>
      <c r="J38" s="38"/>
      <c r="K38" s="38"/>
      <c r="L38" s="38"/>
    </row>
    <row r="39" customFormat="false" ht="18" hidden="false" customHeight="true" outlineLevel="0" collapsed="false">
      <c r="A39" s="37"/>
      <c r="B39" s="37"/>
      <c r="C39" s="37"/>
      <c r="D39" s="37"/>
      <c r="E39" s="37"/>
      <c r="F39" s="37"/>
      <c r="G39" s="38"/>
      <c r="H39" s="38"/>
      <c r="I39" s="38"/>
      <c r="J39" s="38"/>
      <c r="K39" s="38"/>
      <c r="L39" s="38"/>
    </row>
    <row r="40" customFormat="false" ht="18" hidden="false" customHeight="true" outlineLevel="0" collapsed="false"/>
    <row r="41" customFormat="false" ht="18" hidden="false" customHeight="true" outlineLevel="0" collapsed="false"/>
    <row r="42" customFormat="false" ht="18" hidden="false" customHeight="true" outlineLevel="0" collapsed="false"/>
    <row r="43" customFormat="false" ht="18" hidden="false" customHeight="true" outlineLevel="0" collapsed="false"/>
    <row r="44" customFormat="false" ht="18" hidden="false" customHeight="true" outlineLevel="0" collapsed="false"/>
    <row r="45" customFormat="false" ht="18" hidden="false" customHeight="true" outlineLevel="0" collapsed="false"/>
    <row r="46" customFormat="false" ht="18" hidden="false" customHeight="true" outlineLevel="0" collapsed="false"/>
    <row r="47" customFormat="false" ht="18" hidden="false" customHeight="true" outlineLevel="0" collapsed="false"/>
    <row r="48" customFormat="false" ht="18" hidden="false" customHeight="true" outlineLevel="0" collapsed="false"/>
    <row r="49" customFormat="false" ht="18" hidden="false" customHeight="true" outlineLevel="0" collapsed="false"/>
    <row r="50" customFormat="false" ht="18" hidden="false" customHeight="true" outlineLevel="0" collapsed="false"/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  <row r="60" customFormat="false" ht="18" hidden="false" customHeight="true" outlineLevel="0" collapsed="false"/>
    <row r="61" customFormat="false" ht="18" hidden="false" customHeight="true" outlineLevel="0" collapsed="false"/>
    <row r="62" customFormat="false" ht="18" hidden="false" customHeight="true" outlineLevel="0" collapsed="false"/>
    <row r="63" customFormat="false" ht="18" hidden="false" customHeight="true" outlineLevel="0" collapsed="false"/>
    <row r="64" customFormat="false" ht="18" hidden="false" customHeight="true" outlineLevel="0" collapsed="false"/>
    <row r="65" customFormat="false" ht="18" hidden="false" customHeight="true" outlineLevel="0" collapsed="false"/>
    <row r="66" customFormat="false" ht="18" hidden="false" customHeight="true" outlineLevel="0" collapsed="false"/>
    <row r="67" customFormat="false" ht="18" hidden="false" customHeight="true" outlineLevel="0" collapsed="false"/>
    <row r="68" customFormat="false" ht="18" hidden="false" customHeight="true" outlineLevel="0" collapsed="false"/>
    <row r="69" customFormat="false" ht="18" hidden="false" customHeight="true" outlineLevel="0" collapsed="false"/>
    <row r="70" customFormat="false" ht="18" hidden="false" customHeight="true" outlineLevel="0" collapsed="false"/>
    <row r="71" customFormat="false" ht="18" hidden="false" customHeight="true" outlineLevel="0" collapsed="false"/>
    <row r="72" customFormat="false" ht="18" hidden="false" customHeight="true" outlineLevel="0" collapsed="false"/>
    <row r="73" customFormat="false" ht="18" hidden="false" customHeight="true" outlineLevel="0" collapsed="false"/>
    <row r="74" customFormat="false" ht="18" hidden="false" customHeight="true" outlineLevel="0" collapsed="false"/>
    <row r="75" customFormat="false" ht="18" hidden="false" customHeight="true" outlineLevel="0" collapsed="false"/>
    <row r="76" customFormat="false" ht="18" hidden="false" customHeight="true" outlineLevel="0" collapsed="false"/>
    <row r="77" customFormat="false" ht="18" hidden="false" customHeight="true" outlineLevel="0" collapsed="false"/>
    <row r="78" customFormat="false" ht="18" hidden="false" customHeight="true" outlineLevel="0" collapsed="false"/>
    <row r="79" customFormat="false" ht="18" hidden="false" customHeight="true" outlineLevel="0" collapsed="false"/>
  </sheetData>
  <sheetProtection sheet="true" password="91db" formatCells="false" formatColumns="false" formatRows="false" sort="false" autoFilter="false"/>
  <mergeCells count="8">
    <mergeCell ref="A1:L1"/>
    <mergeCell ref="A2:L2"/>
    <mergeCell ref="A4:L4"/>
    <mergeCell ref="A14:L14"/>
    <mergeCell ref="A24:L24"/>
    <mergeCell ref="A31:N31"/>
    <mergeCell ref="A34:F39"/>
    <mergeCell ref="G34:L39"/>
  </mergeCells>
  <hyperlinks>
    <hyperlink ref="N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51" width="14"/>
    <col collapsed="false" customWidth="true" hidden="false" outlineLevel="0" max="2" min="2" style="51" width="12"/>
    <col collapsed="false" customWidth="true" hidden="false" outlineLevel="0" max="4" min="3" style="51" width="14"/>
    <col collapsed="false" customWidth="true" hidden="false" outlineLevel="0" max="6" min="5" style="51" width="12"/>
    <col collapsed="false" customWidth="true" hidden="false" outlineLevel="0" max="7" min="7" style="51" width="14"/>
    <col collapsed="false" customWidth="true" hidden="false" outlineLevel="0" max="9" min="9" style="51" width="22"/>
    <col collapsed="false" customWidth="true" hidden="false" outlineLevel="0" max="10" min="10" style="51" width="14"/>
    <col collapsed="false" customWidth="true" hidden="false" outlineLevel="0" max="12" min="12" style="1" width="16"/>
  </cols>
  <sheetData>
    <row r="1" s="51" customFormat="true" ht="19.5" hidden="false" customHeight="true" outlineLevel="0" collapsed="false">
      <c r="A1" s="463" t="s">
        <v>1331</v>
      </c>
      <c r="B1" s="464"/>
      <c r="C1" s="464"/>
      <c r="D1" s="464"/>
      <c r="E1" s="464"/>
      <c r="F1" s="464"/>
      <c r="I1" s="306"/>
      <c r="L1" s="29" t="s">
        <v>19</v>
      </c>
    </row>
    <row r="3" customFormat="false" ht="14.25" hidden="false" customHeight="true" outlineLevel="0" collapsed="false">
      <c r="A3" s="465" t="s">
        <v>742</v>
      </c>
      <c r="B3" s="466" t="s">
        <v>748</v>
      </c>
      <c r="C3" s="466" t="s">
        <v>790</v>
      </c>
      <c r="D3" s="466" t="s">
        <v>791</v>
      </c>
      <c r="E3" s="466" t="s">
        <v>1110</v>
      </c>
      <c r="F3" s="466" t="s">
        <v>1332</v>
      </c>
      <c r="H3" s="467" t="s">
        <v>1333</v>
      </c>
      <c r="I3" s="467" t="s">
        <v>1178</v>
      </c>
      <c r="J3" s="467" t="s">
        <v>1177</v>
      </c>
    </row>
    <row r="4" customFormat="false" ht="14.25" hidden="false" customHeight="true" outlineLevel="0" collapsed="false">
      <c r="A4" s="468" t="str">
        <f aca="false">IF(COUNTIF(DITARI!$C$6:C6,DITARI!C6)=1,DITARI!C6,"")</f>
        <v/>
      </c>
      <c r="B4" s="468" t="str">
        <f aca="false">IF(A4="","",IF(ABS(SUMIF(DITARI!$C:$C,A4,DITARI!$F:$F)-SUMIF(DITARI!$C:$C,A4,DITARI!$G:$G))&lt;0.005,"OK","ERROR"))</f>
        <v/>
      </c>
      <c r="C4" s="469" t="str">
        <f aca="false">IF(A4="","",SUMIF(DITARI!$C:$C,A4,DITARI!$F:$F))</f>
        <v/>
      </c>
      <c r="D4" s="469" t="str">
        <f aca="false">IF(A4="","",SUMIF(DITARI!$C:$C,A4,DITARI!$G:$G))</f>
        <v/>
      </c>
      <c r="E4" s="469" t="str">
        <f aca="false">IF(A4="","",C4-D4)</f>
        <v/>
      </c>
      <c r="F4" s="468" t="str">
        <f aca="false">IF(A4="","",COUNTIF(DITARI!$C:$C,A4))</f>
        <v/>
      </c>
      <c r="G4" s="81"/>
      <c r="H4" s="101" t="n">
        <f aca="false">COUNTIF(B4:B500,"ERROR")</f>
        <v>0</v>
      </c>
      <c r="I4" s="468" t="n">
        <f aca="false">COUNTIF(B4:B500,"OK")</f>
        <v>0</v>
      </c>
      <c r="J4" s="363" t="n">
        <f aca="false">COUNTBLANK(DITARI!C6:C400)</f>
        <v>395</v>
      </c>
    </row>
    <row r="5" customFormat="false" ht="14.25" hidden="false" customHeight="true" outlineLevel="0" collapsed="false">
      <c r="A5" s="470" t="str">
        <f aca="false">IF(COUNTIF(DITARI!$C$6:C7,DITARI!C7)=1,DITARI!C7,"")</f>
        <v/>
      </c>
      <c r="B5" s="100" t="str">
        <f aca="false">IF(A5="","",IF(ABS(SUMIF(DITARI!$C:$C,A5,DITARI!$F:$F)-SUMIF(DITARI!$C:$C,A5,DITARI!$G:$G))&lt;0.005,"OK","ERROR"))</f>
        <v/>
      </c>
      <c r="C5" s="471" t="str">
        <f aca="false">IF(A5="","",SUMIF(DITARI!$C:$C,A5,DITARI!$F:$F))</f>
        <v/>
      </c>
      <c r="D5" s="471" t="str">
        <f aca="false">IF(A5="","",SUMIF(DITARI!$C:$C,A5,DITARI!$G:$G))</f>
        <v/>
      </c>
      <c r="E5" s="472" t="str">
        <f aca="false">IF(A5="","",C5-D5)</f>
        <v/>
      </c>
      <c r="F5" s="100" t="str">
        <f aca="false">IF(A5="","",COUNTIF(DITARI!$C:$C,A5))</f>
        <v/>
      </c>
      <c r="G5" s="473"/>
      <c r="I5" s="81"/>
      <c r="J5" s="317"/>
    </row>
    <row r="6" customFormat="false" ht="14.25" hidden="false" customHeight="true" outlineLevel="0" collapsed="false">
      <c r="A6" s="470" t="str">
        <f aca="false">IF(COUNTIF(DITARI!$C$6:C8,DITARI!C8)=1,DITARI!C8,"")</f>
        <v/>
      </c>
      <c r="B6" s="100" t="str">
        <f aca="false">IF(A6="","",IF(ABS(SUMIF(DITARI!$C:$C,A6,DITARI!$F:$F)-SUMIF(DITARI!$C:$C,A6,DITARI!$G:$G))&lt;0.005,"OK","ERROR"))</f>
        <v/>
      </c>
      <c r="C6" s="471" t="str">
        <f aca="false">IF(A6="","",SUMIF(DITARI!$C:$C,A6,DITARI!$F:$F))</f>
        <v/>
      </c>
      <c r="D6" s="471" t="str">
        <f aca="false">IF(A6="","",SUMIF(DITARI!$C:$C,A6,DITARI!$G:$G))</f>
        <v/>
      </c>
      <c r="E6" s="472" t="str">
        <f aca="false">IF(A6="","",C6-D6)</f>
        <v/>
      </c>
      <c r="F6" s="100" t="str">
        <f aca="false">IF(A6="","",COUNTIF(DITARI!$C:$C,A6))</f>
        <v/>
      </c>
      <c r="G6" s="473"/>
      <c r="I6" s="81"/>
      <c r="J6" s="317"/>
    </row>
    <row r="7" customFormat="false" ht="14.25" hidden="false" customHeight="true" outlineLevel="0" collapsed="false">
      <c r="A7" s="470" t="str">
        <f aca="false">IF(COUNTIF(DITARI!$C$6:C9,DITARI!C9)=1,DITARI!C9,"")</f>
        <v/>
      </c>
      <c r="B7" s="100" t="str">
        <f aca="false">IF(A7="","",IF(ABS(SUMIF(DITARI!$C:$C,A7,DITARI!$F:$F)-SUMIF(DITARI!$C:$C,A7,DITARI!$G:$G))&lt;0.005,"OK","ERROR"))</f>
        <v/>
      </c>
      <c r="C7" s="471" t="str">
        <f aca="false">IF(A7="","",SUMIF(DITARI!$C:$C,A7,DITARI!$F:$F))</f>
        <v/>
      </c>
      <c r="D7" s="471" t="str">
        <f aca="false">IF(A7="","",SUMIF(DITARI!$C:$C,A7,DITARI!$G:$G))</f>
        <v/>
      </c>
      <c r="E7" s="472" t="str">
        <f aca="false">IF(A7="","",C7-D7)</f>
        <v/>
      </c>
      <c r="F7" s="100" t="str">
        <f aca="false">IF(A7="","",COUNTIF(DITARI!$C:$C,A7))</f>
        <v/>
      </c>
      <c r="G7" s="473"/>
      <c r="I7" s="81"/>
      <c r="J7" s="317"/>
    </row>
    <row r="8" customFormat="false" ht="14.25" hidden="false" customHeight="true" outlineLevel="0" collapsed="false">
      <c r="A8" s="470" t="str">
        <f aca="false">IF(COUNTIF(DITARI!$C$6:C10,DITARI!C10)=1,DITARI!C10,"")</f>
        <v/>
      </c>
      <c r="B8" s="100" t="str">
        <f aca="false">IF(A8="","",IF(ABS(SUMIF(DITARI!$C:$C,A8,DITARI!$F:$F)-SUMIF(DITARI!$C:$C,A8,DITARI!$G:$G))&lt;0.005,"OK","ERROR"))</f>
        <v/>
      </c>
      <c r="C8" s="471" t="str">
        <f aca="false">IF(A8="","",SUMIF(DITARI!$C:$C,A8,DITARI!$F:$F))</f>
        <v/>
      </c>
      <c r="D8" s="471" t="str">
        <f aca="false">IF(A8="","",SUMIF(DITARI!$C:$C,A8,DITARI!$G:$G))</f>
        <v/>
      </c>
      <c r="E8" s="472" t="str">
        <f aca="false">IF(A8="","",C8-D8)</f>
        <v/>
      </c>
      <c r="F8" s="100" t="str">
        <f aca="false">IF(A8="","",COUNTIF(DITARI!$C:$C,A8))</f>
        <v/>
      </c>
      <c r="G8" s="473"/>
      <c r="I8" s="81"/>
      <c r="J8" s="317"/>
    </row>
    <row r="9" customFormat="false" ht="14.25" hidden="false" customHeight="true" outlineLevel="0" collapsed="false">
      <c r="A9" s="470" t="str">
        <f aca="false">IF(COUNTIF(DITARI!$C$6:C11,DITARI!C11)=1,DITARI!C11,"")</f>
        <v/>
      </c>
      <c r="B9" s="100" t="str">
        <f aca="false">IF(A9="","",IF(ABS(SUMIF(DITARI!$C:$C,A9,DITARI!$F:$F)-SUMIF(DITARI!$C:$C,A9,DITARI!$G:$G))&lt;0.005,"OK","ERROR"))</f>
        <v/>
      </c>
      <c r="C9" s="471" t="str">
        <f aca="false">IF(A9="","",SUMIF(DITARI!$C:$C,A9,DITARI!$F:$F))</f>
        <v/>
      </c>
      <c r="D9" s="471" t="str">
        <f aca="false">IF(A9="","",SUMIF(DITARI!$C:$C,A9,DITARI!$G:$G))</f>
        <v/>
      </c>
      <c r="E9" s="472" t="str">
        <f aca="false">IF(A9="","",C9-D9)</f>
        <v/>
      </c>
      <c r="F9" s="100" t="str">
        <f aca="false">IF(A9="","",COUNTIF(DITARI!$C:$C,A9))</f>
        <v/>
      </c>
      <c r="G9" s="473"/>
    </row>
    <row r="10" customFormat="false" ht="14.25" hidden="false" customHeight="true" outlineLevel="0" collapsed="false">
      <c r="A10" s="470" t="str">
        <f aca="false">IF(COUNTIF(DITARI!$C$6:C12,DITARI!C12)=1,DITARI!C12,"")</f>
        <v/>
      </c>
      <c r="B10" s="100" t="str">
        <f aca="false">IF(A10="","",IF(ABS(SUMIF(DITARI!$C:$C,A10,DITARI!$F:$F)-SUMIF(DITARI!$C:$C,A10,DITARI!$G:$G))&lt;0.005,"OK","ERROR"))</f>
        <v/>
      </c>
      <c r="C10" s="471" t="str">
        <f aca="false">IF(A10="","",SUMIF(DITARI!$C:$C,A10,DITARI!$F:$F))</f>
        <v/>
      </c>
      <c r="D10" s="471" t="str">
        <f aca="false">IF(A10="","",SUMIF(DITARI!$C:$C,A10,DITARI!$G:$G))</f>
        <v/>
      </c>
      <c r="E10" s="472" t="str">
        <f aca="false">IF(A10="","",C10-D10)</f>
        <v/>
      </c>
      <c r="F10" s="100" t="str">
        <f aca="false">IF(A10="","",COUNTIF(DITARI!$C:$C,A10))</f>
        <v/>
      </c>
      <c r="G10" s="473"/>
    </row>
    <row r="11" customFormat="false" ht="14.25" hidden="false" customHeight="true" outlineLevel="0" collapsed="false">
      <c r="A11" s="470" t="str">
        <f aca="false">IF(COUNTIF(DITARI!$C$6:C13,DITARI!C13)=1,DITARI!C13,"")</f>
        <v/>
      </c>
      <c r="B11" s="100" t="str">
        <f aca="false">IF(A11="","",IF(ABS(SUMIF(DITARI!$C:$C,A11,DITARI!$F:$F)-SUMIF(DITARI!$C:$C,A11,DITARI!$G:$G))&lt;0.005,"OK","ERROR"))</f>
        <v/>
      </c>
      <c r="C11" s="471" t="str">
        <f aca="false">IF(A11="","",SUMIF(DITARI!$C:$C,A11,DITARI!$F:$F))</f>
        <v/>
      </c>
      <c r="D11" s="471" t="str">
        <f aca="false">IF(A11="","",SUMIF(DITARI!$C:$C,A11,DITARI!$G:$G))</f>
        <v/>
      </c>
      <c r="E11" s="472" t="str">
        <f aca="false">IF(A11="","",C11-D11)</f>
        <v/>
      </c>
      <c r="F11" s="100" t="str">
        <f aca="false">IF(A11="","",COUNTIF(DITARI!$C:$C,A11))</f>
        <v/>
      </c>
      <c r="G11" s="473"/>
    </row>
    <row r="12" customFormat="false" ht="14.25" hidden="false" customHeight="true" outlineLevel="0" collapsed="false">
      <c r="A12" s="470" t="str">
        <f aca="false">IF(COUNTIF(DITARI!$C$6:C14,DITARI!C14)=1,DITARI!C14,"")</f>
        <v/>
      </c>
      <c r="B12" s="100" t="str">
        <f aca="false">IF(A12="","",IF(ABS(SUMIF(DITARI!$C:$C,A12,DITARI!$F:$F)-SUMIF(DITARI!$C:$C,A12,DITARI!$G:$G))&lt;0.005,"OK","ERROR"))</f>
        <v/>
      </c>
      <c r="C12" s="471" t="str">
        <f aca="false">IF(A12="","",SUMIF(DITARI!$C:$C,A12,DITARI!$F:$F))</f>
        <v/>
      </c>
      <c r="D12" s="471" t="str">
        <f aca="false">IF(A12="","",SUMIF(DITARI!$C:$C,A12,DITARI!$G:$G))</f>
        <v/>
      </c>
      <c r="E12" s="472" t="str">
        <f aca="false">IF(A12="","",C12-D12)</f>
        <v/>
      </c>
      <c r="F12" s="100" t="str">
        <f aca="false">IF(A12="","",COUNTIF(DITARI!$C:$C,A12))</f>
        <v/>
      </c>
      <c r="G12" s="473"/>
    </row>
    <row r="13" customFormat="false" ht="14.25" hidden="false" customHeight="true" outlineLevel="0" collapsed="false">
      <c r="A13" s="470" t="str">
        <f aca="false">IF(COUNTIF(DITARI!$C$6:C15,DITARI!C15)=1,DITARI!C15,"")</f>
        <v/>
      </c>
      <c r="B13" s="100" t="str">
        <f aca="false">IF(A13="","",IF(ABS(SUMIF(DITARI!$C:$C,A13,DITARI!$F:$F)-SUMIF(DITARI!$C:$C,A13,DITARI!$G:$G))&lt;0.005,"OK","ERROR"))</f>
        <v/>
      </c>
      <c r="C13" s="471" t="str">
        <f aca="false">IF(A13="","",SUMIF(DITARI!$C:$C,A13,DITARI!$F:$F))</f>
        <v/>
      </c>
      <c r="D13" s="471" t="str">
        <f aca="false">IF(A13="","",SUMIF(DITARI!$C:$C,A13,DITARI!$G:$G))</f>
        <v/>
      </c>
      <c r="E13" s="472" t="str">
        <f aca="false">IF(A13="","",C13-D13)</f>
        <v/>
      </c>
      <c r="F13" s="100" t="str">
        <f aca="false">IF(A13="","",COUNTIF(DITARI!$C:$C,A13))</f>
        <v/>
      </c>
      <c r="G13" s="473"/>
    </row>
    <row r="14" customFormat="false" ht="14.25" hidden="false" customHeight="true" outlineLevel="0" collapsed="false">
      <c r="A14" s="470" t="str">
        <f aca="false">IF(COUNTIF(DITARI!$C$6:C16,DITARI!C16)=1,DITARI!C16,"")</f>
        <v/>
      </c>
      <c r="B14" s="100" t="str">
        <f aca="false">IF(A14="","",IF(ABS(SUMIF(DITARI!$C:$C,A14,DITARI!$F:$F)-SUMIF(DITARI!$C:$C,A14,DITARI!$G:$G))&lt;0.005,"OK","ERROR"))</f>
        <v/>
      </c>
      <c r="C14" s="471" t="str">
        <f aca="false">IF(A14="","",SUMIF(DITARI!$C:$C,A14,DITARI!$F:$F))</f>
        <v/>
      </c>
      <c r="D14" s="471" t="str">
        <f aca="false">IF(A14="","",SUMIF(DITARI!$C:$C,A14,DITARI!$G:$G))</f>
        <v/>
      </c>
      <c r="E14" s="472" t="str">
        <f aca="false">IF(A14="","",C14-D14)</f>
        <v/>
      </c>
      <c r="F14" s="100" t="str">
        <f aca="false">IF(A14="","",COUNTIF(DITARI!$C:$C,A14))</f>
        <v/>
      </c>
      <c r="G14" s="473"/>
    </row>
    <row r="15" customFormat="false" ht="14.25" hidden="false" customHeight="true" outlineLevel="0" collapsed="false">
      <c r="A15" s="470" t="str">
        <f aca="false">IF(COUNTIF(DITARI!$C$6:C17,DITARI!C17)=1,DITARI!C17,"")</f>
        <v/>
      </c>
      <c r="B15" s="100" t="str">
        <f aca="false">IF(A15="","",IF(ABS(SUMIF(DITARI!$C:$C,A15,DITARI!$F:$F)-SUMIF(DITARI!$C:$C,A15,DITARI!$G:$G))&lt;0.005,"OK","ERROR"))</f>
        <v/>
      </c>
      <c r="C15" s="471" t="str">
        <f aca="false">IF(A15="","",SUMIF(DITARI!$C:$C,A15,DITARI!$F:$F))</f>
        <v/>
      </c>
      <c r="D15" s="471" t="str">
        <f aca="false">IF(A15="","",SUMIF(DITARI!$C:$C,A15,DITARI!$G:$G))</f>
        <v/>
      </c>
      <c r="E15" s="472" t="str">
        <f aca="false">IF(A15="","",C15-D15)</f>
        <v/>
      </c>
      <c r="F15" s="100" t="str">
        <f aca="false">IF(A15="","",COUNTIF(DITARI!$C:$C,A15))</f>
        <v/>
      </c>
      <c r="G15" s="473"/>
    </row>
    <row r="16" customFormat="false" ht="14.25" hidden="false" customHeight="true" outlineLevel="0" collapsed="false">
      <c r="A16" s="470" t="str">
        <f aca="false">IF(COUNTIF(DITARI!$C$6:C18,DITARI!C18)=1,DITARI!C18,"")</f>
        <v/>
      </c>
      <c r="B16" s="100" t="str">
        <f aca="false">IF(A16="","",IF(ABS(SUMIF(DITARI!$C:$C,A16,DITARI!$F:$F)-SUMIF(DITARI!$C:$C,A16,DITARI!$G:$G))&lt;0.005,"OK","ERROR"))</f>
        <v/>
      </c>
      <c r="C16" s="471" t="str">
        <f aca="false">IF(A16="","",SUMIF(DITARI!$C:$C,A16,DITARI!$F:$F))</f>
        <v/>
      </c>
      <c r="D16" s="471" t="str">
        <f aca="false">IF(A16="","",SUMIF(DITARI!$C:$C,A16,DITARI!$G:$G))</f>
        <v/>
      </c>
      <c r="E16" s="472" t="str">
        <f aca="false">IF(A16="","",C16-D16)</f>
        <v/>
      </c>
      <c r="F16" s="100" t="str">
        <f aca="false">IF(A16="","",COUNTIF(DITARI!$C:$C,A16))</f>
        <v/>
      </c>
      <c r="G16" s="473"/>
    </row>
    <row r="17" customFormat="false" ht="14.25" hidden="false" customHeight="true" outlineLevel="0" collapsed="false">
      <c r="A17" s="470" t="str">
        <f aca="false">IF(COUNTIF(DITARI!$C$6:C19,DITARI!C19)=1,DITARI!C19,"")</f>
        <v/>
      </c>
      <c r="B17" s="100" t="str">
        <f aca="false">IF(A17="","",IF(ABS(SUMIF(DITARI!$C:$C,A17,DITARI!$F:$F)-SUMIF(DITARI!$C:$C,A17,DITARI!$G:$G))&lt;0.005,"OK","ERROR"))</f>
        <v/>
      </c>
      <c r="C17" s="471" t="str">
        <f aca="false">IF(A17="","",SUMIF(DITARI!$C:$C,A17,DITARI!$F:$F))</f>
        <v/>
      </c>
      <c r="D17" s="471" t="str">
        <f aca="false">IF(A17="","",SUMIF(DITARI!$C:$C,A17,DITARI!$G:$G))</f>
        <v/>
      </c>
      <c r="E17" s="472" t="str">
        <f aca="false">IF(A17="","",C17-D17)</f>
        <v/>
      </c>
      <c r="F17" s="100" t="str">
        <f aca="false">IF(A17="","",COUNTIF(DITARI!$C:$C,A17))</f>
        <v/>
      </c>
      <c r="G17" s="473"/>
    </row>
    <row r="18" customFormat="false" ht="14.25" hidden="false" customHeight="true" outlineLevel="0" collapsed="false">
      <c r="A18" s="470" t="str">
        <f aca="false">IF(COUNTIF(DITARI!$C$6:C20,DITARI!C20)=1,DITARI!C20,"")</f>
        <v/>
      </c>
      <c r="B18" s="100" t="str">
        <f aca="false">IF(A18="","",IF(ABS(SUMIF(DITARI!$C:$C,A18,DITARI!$F:$F)-SUMIF(DITARI!$C:$C,A18,DITARI!$G:$G))&lt;0.005,"OK","ERROR"))</f>
        <v/>
      </c>
      <c r="C18" s="471" t="str">
        <f aca="false">IF(A18="","",SUMIF(DITARI!$C:$C,A18,DITARI!$F:$F))</f>
        <v/>
      </c>
      <c r="D18" s="471" t="str">
        <f aca="false">IF(A18="","",SUMIF(DITARI!$C:$C,A18,DITARI!$G:$G))</f>
        <v/>
      </c>
      <c r="E18" s="472" t="str">
        <f aca="false">IF(A18="","",C18-D18)</f>
        <v/>
      </c>
      <c r="F18" s="100" t="str">
        <f aca="false">IF(A18="","",COUNTIF(DITARI!$C:$C,A18))</f>
        <v/>
      </c>
      <c r="G18" s="473"/>
    </row>
    <row r="19" customFormat="false" ht="14.25" hidden="false" customHeight="true" outlineLevel="0" collapsed="false">
      <c r="A19" s="470" t="str">
        <f aca="false">IF(COUNTIF(DITARI!$C$6:C21,DITARI!C21)=1,DITARI!C21,"")</f>
        <v/>
      </c>
      <c r="B19" s="100" t="str">
        <f aca="false">IF(A19="","",IF(ABS(SUMIF(DITARI!$C:$C,A19,DITARI!$F:$F)-SUMIF(DITARI!$C:$C,A19,DITARI!$G:$G))&lt;0.005,"OK","ERROR"))</f>
        <v/>
      </c>
      <c r="C19" s="471" t="str">
        <f aca="false">IF(A19="","",SUMIF(DITARI!$C:$C,A19,DITARI!$F:$F))</f>
        <v/>
      </c>
      <c r="D19" s="471" t="str">
        <f aca="false">IF(A19="","",SUMIF(DITARI!$C:$C,A19,DITARI!$G:$G))</f>
        <v/>
      </c>
      <c r="E19" s="472" t="str">
        <f aca="false">IF(A19="","",C19-D19)</f>
        <v/>
      </c>
      <c r="F19" s="100" t="str">
        <f aca="false">IF(A19="","",COUNTIF(DITARI!$C:$C,A19))</f>
        <v/>
      </c>
      <c r="G19" s="473"/>
    </row>
    <row r="20" customFormat="false" ht="14.25" hidden="false" customHeight="true" outlineLevel="0" collapsed="false">
      <c r="A20" s="470" t="str">
        <f aca="false">IF(COUNTIF(DITARI!$C$6:C22,DITARI!C22)=1,DITARI!C22,"")</f>
        <v/>
      </c>
      <c r="B20" s="100" t="str">
        <f aca="false">IF(A20="","",IF(ABS(SUMIF(DITARI!$C:$C,A20,DITARI!$F:$F)-SUMIF(DITARI!$C:$C,A20,DITARI!$G:$G))&lt;0.005,"OK","ERROR"))</f>
        <v/>
      </c>
      <c r="C20" s="471" t="str">
        <f aca="false">IF(A20="","",SUMIF(DITARI!$C:$C,A20,DITARI!$F:$F))</f>
        <v/>
      </c>
      <c r="D20" s="471" t="str">
        <f aca="false">IF(A20="","",SUMIF(DITARI!$C:$C,A20,DITARI!$G:$G))</f>
        <v/>
      </c>
      <c r="E20" s="472" t="str">
        <f aca="false">IF(A20="","",C20-D20)</f>
        <v/>
      </c>
      <c r="F20" s="100" t="str">
        <f aca="false">IF(A20="","",COUNTIF(DITARI!$C:$C,A20))</f>
        <v/>
      </c>
      <c r="G20" s="473"/>
    </row>
    <row r="21" customFormat="false" ht="14.25" hidden="false" customHeight="true" outlineLevel="0" collapsed="false">
      <c r="A21" s="470" t="str">
        <f aca="false">IF(COUNTIF(DITARI!$C$6:C23,DITARI!C23)=1,DITARI!C23,"")</f>
        <v/>
      </c>
      <c r="B21" s="100" t="str">
        <f aca="false">IF(A21="","",IF(ABS(SUMIF(DITARI!$C:$C,A21,DITARI!$F:$F)-SUMIF(DITARI!$C:$C,A21,DITARI!$G:$G))&lt;0.005,"OK","ERROR"))</f>
        <v/>
      </c>
      <c r="C21" s="471" t="str">
        <f aca="false">IF(A21="","",SUMIF(DITARI!$C:$C,A21,DITARI!$F:$F))</f>
        <v/>
      </c>
      <c r="D21" s="471" t="str">
        <f aca="false">IF(A21="","",SUMIF(DITARI!$C:$C,A21,DITARI!$G:$G))</f>
        <v/>
      </c>
      <c r="E21" s="472" t="str">
        <f aca="false">IF(A21="","",C21-D21)</f>
        <v/>
      </c>
      <c r="F21" s="100" t="str">
        <f aca="false">IF(A21="","",COUNTIF(DITARI!$C:$C,A21))</f>
        <v/>
      </c>
      <c r="G21" s="473"/>
    </row>
    <row r="22" customFormat="false" ht="14.25" hidden="false" customHeight="true" outlineLevel="0" collapsed="false">
      <c r="A22" s="470" t="str">
        <f aca="false">IF(COUNTIF(DITARI!$C$6:C24,DITARI!C24)=1,DITARI!C24,"")</f>
        <v/>
      </c>
      <c r="B22" s="100" t="str">
        <f aca="false">IF(A22="","",IF(ABS(SUMIF(DITARI!$C:$C,A22,DITARI!$F:$F)-SUMIF(DITARI!$C:$C,A22,DITARI!$G:$G))&lt;0.005,"OK","ERROR"))</f>
        <v/>
      </c>
      <c r="C22" s="471" t="str">
        <f aca="false">IF(A22="","",SUMIF(DITARI!$C:$C,A22,DITARI!$F:$F))</f>
        <v/>
      </c>
      <c r="D22" s="471" t="str">
        <f aca="false">IF(A22="","",SUMIF(DITARI!$C:$C,A22,DITARI!$G:$G))</f>
        <v/>
      </c>
      <c r="E22" s="472" t="str">
        <f aca="false">IF(A22="","",C22-D22)</f>
        <v/>
      </c>
      <c r="F22" s="100" t="str">
        <f aca="false">IF(A22="","",COUNTIF(DITARI!$C:$C,A22))</f>
        <v/>
      </c>
      <c r="G22" s="473"/>
    </row>
    <row r="23" customFormat="false" ht="14.25" hidden="false" customHeight="true" outlineLevel="0" collapsed="false">
      <c r="A23" s="470" t="str">
        <f aca="false">IF(COUNTIF(DITARI!$C$6:C25,DITARI!C25)=1,DITARI!C25,"")</f>
        <v/>
      </c>
      <c r="B23" s="100" t="str">
        <f aca="false">IF(A23="","",IF(ABS(SUMIF(DITARI!$C:$C,A23,DITARI!$F:$F)-SUMIF(DITARI!$C:$C,A23,DITARI!$G:$G))&lt;0.005,"OK","ERROR"))</f>
        <v/>
      </c>
      <c r="C23" s="471" t="str">
        <f aca="false">IF(A23="","",SUMIF(DITARI!$C:$C,A23,DITARI!$F:$F))</f>
        <v/>
      </c>
      <c r="D23" s="471" t="str">
        <f aca="false">IF(A23="","",SUMIF(DITARI!$C:$C,A23,DITARI!$G:$G))</f>
        <v/>
      </c>
      <c r="E23" s="472" t="str">
        <f aca="false">IF(A23="","",C23-D23)</f>
        <v/>
      </c>
      <c r="F23" s="100" t="str">
        <f aca="false">IF(A23="","",COUNTIF(DITARI!$C:$C,A23))</f>
        <v/>
      </c>
      <c r="G23" s="473"/>
    </row>
    <row r="24" customFormat="false" ht="14.25" hidden="false" customHeight="true" outlineLevel="0" collapsed="false">
      <c r="A24" s="470" t="str">
        <f aca="false">IF(COUNTIF(DITARI!$C$6:C26,DITARI!C26)=1,DITARI!C26,"")</f>
        <v/>
      </c>
      <c r="B24" s="100" t="str">
        <f aca="false">IF(A24="","",IF(ABS(SUMIF(DITARI!$C:$C,A24,DITARI!$F:$F)-SUMIF(DITARI!$C:$C,A24,DITARI!$G:$G))&lt;0.005,"OK","ERROR"))</f>
        <v/>
      </c>
      <c r="C24" s="471" t="str">
        <f aca="false">IF(A24="","",SUMIF(DITARI!$C:$C,A24,DITARI!$F:$F))</f>
        <v/>
      </c>
      <c r="D24" s="471" t="str">
        <f aca="false">IF(A24="","",SUMIF(DITARI!$C:$C,A24,DITARI!$G:$G))</f>
        <v/>
      </c>
      <c r="E24" s="472" t="str">
        <f aca="false">IF(A24="","",C24-D24)</f>
        <v/>
      </c>
      <c r="F24" s="100" t="str">
        <f aca="false">IF(A24="","",COUNTIF(DITARI!$C:$C,A24))</f>
        <v/>
      </c>
      <c r="G24" s="473"/>
    </row>
    <row r="25" customFormat="false" ht="14.25" hidden="false" customHeight="true" outlineLevel="0" collapsed="false">
      <c r="A25" s="470" t="str">
        <f aca="false">IF(COUNTIF(DITARI!$C$6:C27,DITARI!C27)=1,DITARI!C27,"")</f>
        <v/>
      </c>
      <c r="B25" s="100" t="str">
        <f aca="false">IF(A25="","",IF(ABS(SUMIF(DITARI!$C:$C,A25,DITARI!$F:$F)-SUMIF(DITARI!$C:$C,A25,DITARI!$G:$G))&lt;0.005,"OK","ERROR"))</f>
        <v/>
      </c>
      <c r="C25" s="471" t="str">
        <f aca="false">IF(A25="","",SUMIF(DITARI!$C:$C,A25,DITARI!$F:$F))</f>
        <v/>
      </c>
      <c r="D25" s="471" t="str">
        <f aca="false">IF(A25="","",SUMIF(DITARI!$C:$C,A25,DITARI!$G:$G))</f>
        <v/>
      </c>
      <c r="E25" s="472" t="str">
        <f aca="false">IF(A25="","",C25-D25)</f>
        <v/>
      </c>
      <c r="F25" s="100" t="str">
        <f aca="false">IF(A25="","",COUNTIF(DITARI!$C:$C,A25))</f>
        <v/>
      </c>
      <c r="G25" s="473"/>
    </row>
    <row r="26" customFormat="false" ht="14.25" hidden="false" customHeight="true" outlineLevel="0" collapsed="false">
      <c r="A26" s="470" t="str">
        <f aca="false">IF(COUNTIF(DITARI!$C$6:C28,DITARI!C28)=1,DITARI!C28,"")</f>
        <v/>
      </c>
      <c r="B26" s="100" t="str">
        <f aca="false">IF(A26="","",IF(ABS(SUMIF(DITARI!$C:$C,A26,DITARI!$F:$F)-SUMIF(DITARI!$C:$C,A26,DITARI!$G:$G))&lt;0.005,"OK","ERROR"))</f>
        <v/>
      </c>
      <c r="C26" s="471" t="str">
        <f aca="false">IF(A26="","",SUMIF(DITARI!$C:$C,A26,DITARI!$F:$F))</f>
        <v/>
      </c>
      <c r="D26" s="471" t="str">
        <f aca="false">IF(A26="","",SUMIF(DITARI!$C:$C,A26,DITARI!$G:$G))</f>
        <v/>
      </c>
      <c r="E26" s="472" t="str">
        <f aca="false">IF(A26="","",C26-D26)</f>
        <v/>
      </c>
      <c r="F26" s="100" t="str">
        <f aca="false">IF(A26="","",COUNTIF(DITARI!$C:$C,A26))</f>
        <v/>
      </c>
      <c r="G26" s="473"/>
    </row>
    <row r="27" customFormat="false" ht="14.25" hidden="false" customHeight="true" outlineLevel="0" collapsed="false">
      <c r="A27" s="470" t="str">
        <f aca="false">IF(COUNTIF(DITARI!$C$6:C29,DITARI!C29)=1,DITARI!C29,"")</f>
        <v/>
      </c>
      <c r="B27" s="100" t="str">
        <f aca="false">IF(A27="","",IF(ABS(SUMIF(DITARI!$C:$C,A27,DITARI!$F:$F)-SUMIF(DITARI!$C:$C,A27,DITARI!$G:$G))&lt;0.005,"OK","ERROR"))</f>
        <v/>
      </c>
      <c r="C27" s="471" t="str">
        <f aca="false">IF(A27="","",SUMIF(DITARI!$C:$C,A27,DITARI!$F:$F))</f>
        <v/>
      </c>
      <c r="D27" s="471" t="str">
        <f aca="false">IF(A27="","",SUMIF(DITARI!$C:$C,A27,DITARI!$G:$G))</f>
        <v/>
      </c>
      <c r="E27" s="472" t="str">
        <f aca="false">IF(A27="","",C27-D27)</f>
        <v/>
      </c>
      <c r="F27" s="100" t="str">
        <f aca="false">IF(A27="","",COUNTIF(DITARI!$C:$C,A27))</f>
        <v/>
      </c>
      <c r="G27" s="473"/>
    </row>
    <row r="28" customFormat="false" ht="14.25" hidden="false" customHeight="true" outlineLevel="0" collapsed="false">
      <c r="A28" s="470" t="str">
        <f aca="false">IF(COUNTIF(DITARI!$C$6:C30,DITARI!C30)=1,DITARI!C30,"")</f>
        <v/>
      </c>
      <c r="B28" s="100" t="str">
        <f aca="false">IF(A28="","",IF(ABS(SUMIF(DITARI!$C:$C,A28,DITARI!$F:$F)-SUMIF(DITARI!$C:$C,A28,DITARI!$G:$G))&lt;0.005,"OK","ERROR"))</f>
        <v/>
      </c>
      <c r="C28" s="471" t="str">
        <f aca="false">IF(A28="","",SUMIF(DITARI!$C:$C,A28,DITARI!$F:$F))</f>
        <v/>
      </c>
      <c r="D28" s="471" t="str">
        <f aca="false">IF(A28="","",SUMIF(DITARI!$C:$C,A28,DITARI!$G:$G))</f>
        <v/>
      </c>
      <c r="E28" s="472" t="str">
        <f aca="false">IF(A28="","",C28-D28)</f>
        <v/>
      </c>
      <c r="F28" s="100" t="str">
        <f aca="false">IF(A28="","",COUNTIF(DITARI!$C:$C,A28))</f>
        <v/>
      </c>
      <c r="G28" s="473"/>
    </row>
    <row r="29" customFormat="false" ht="14.25" hidden="false" customHeight="true" outlineLevel="0" collapsed="false">
      <c r="A29" s="470" t="str">
        <f aca="false">IF(COUNTIF(DITARI!$C$6:C31,DITARI!C31)=1,DITARI!C31,"")</f>
        <v/>
      </c>
      <c r="B29" s="100" t="str">
        <f aca="false">IF(A29="","",IF(ABS(SUMIF(DITARI!$C:$C,A29,DITARI!$F:$F)-SUMIF(DITARI!$C:$C,A29,DITARI!$G:$G))&lt;0.005,"OK","ERROR"))</f>
        <v/>
      </c>
      <c r="C29" s="471" t="str">
        <f aca="false">IF(A29="","",SUMIF(DITARI!$C:$C,A29,DITARI!$F:$F))</f>
        <v/>
      </c>
      <c r="D29" s="471" t="str">
        <f aca="false">IF(A29="","",SUMIF(DITARI!$C:$C,A29,DITARI!$G:$G))</f>
        <v/>
      </c>
      <c r="E29" s="472" t="str">
        <f aca="false">IF(A29="","",C29-D29)</f>
        <v/>
      </c>
      <c r="F29" s="100" t="str">
        <f aca="false">IF(A29="","",COUNTIF(DITARI!$C:$C,A29))</f>
        <v/>
      </c>
      <c r="G29" s="473"/>
    </row>
    <row r="30" customFormat="false" ht="14.25" hidden="false" customHeight="true" outlineLevel="0" collapsed="false">
      <c r="A30" s="470" t="str">
        <f aca="false">IF(COUNTIF(DITARI!$C$6:C32,DITARI!C32)=1,DITARI!C32,"")</f>
        <v/>
      </c>
      <c r="B30" s="100" t="str">
        <f aca="false">IF(A30="","",IF(ABS(SUMIF(DITARI!$C:$C,A30,DITARI!$F:$F)-SUMIF(DITARI!$C:$C,A30,DITARI!$G:$G))&lt;0.005,"OK","ERROR"))</f>
        <v/>
      </c>
      <c r="C30" s="471" t="str">
        <f aca="false">IF(A30="","",SUMIF(DITARI!$C:$C,A30,DITARI!$F:$F))</f>
        <v/>
      </c>
      <c r="D30" s="471" t="str">
        <f aca="false">IF(A30="","",SUMIF(DITARI!$C:$C,A30,DITARI!$G:$G))</f>
        <v/>
      </c>
      <c r="E30" s="472" t="str">
        <f aca="false">IF(A30="","",C30-D30)</f>
        <v/>
      </c>
      <c r="F30" s="100" t="str">
        <f aca="false">IF(A30="","",COUNTIF(DITARI!$C:$C,A30))</f>
        <v/>
      </c>
      <c r="G30" s="473"/>
    </row>
    <row r="31" customFormat="false" ht="14.25" hidden="false" customHeight="true" outlineLevel="0" collapsed="false">
      <c r="A31" s="470" t="str">
        <f aca="false">IF(COUNTIF(DITARI!$C$6:C33,DITARI!C33)=1,DITARI!C33,"")</f>
        <v/>
      </c>
      <c r="B31" s="100" t="str">
        <f aca="false">IF(A31="","",IF(ABS(SUMIF(DITARI!$C:$C,A31,DITARI!$F:$F)-SUMIF(DITARI!$C:$C,A31,DITARI!$G:$G))&lt;0.005,"OK","ERROR"))</f>
        <v/>
      </c>
      <c r="C31" s="471" t="str">
        <f aca="false">IF(A31="","",SUMIF(DITARI!$C:$C,A31,DITARI!$F:$F))</f>
        <v/>
      </c>
      <c r="D31" s="471" t="str">
        <f aca="false">IF(A31="","",SUMIF(DITARI!$C:$C,A31,DITARI!$G:$G))</f>
        <v/>
      </c>
      <c r="E31" s="472" t="str">
        <f aca="false">IF(A31="","",C31-D31)</f>
        <v/>
      </c>
      <c r="F31" s="100" t="str">
        <f aca="false">IF(A31="","",COUNTIF(DITARI!$C:$C,A31))</f>
        <v/>
      </c>
      <c r="G31" s="473"/>
    </row>
    <row r="32" customFormat="false" ht="14.25" hidden="false" customHeight="true" outlineLevel="0" collapsed="false">
      <c r="A32" s="470" t="str">
        <f aca="false">IF(COUNTIF(DITARI!$C$6:C34,DITARI!C34)=1,DITARI!C34,"")</f>
        <v/>
      </c>
      <c r="B32" s="100" t="str">
        <f aca="false">IF(A32="","",IF(ABS(SUMIF(DITARI!$C:$C,A32,DITARI!$F:$F)-SUMIF(DITARI!$C:$C,A32,DITARI!$G:$G))&lt;0.005,"OK","ERROR"))</f>
        <v/>
      </c>
      <c r="C32" s="471" t="str">
        <f aca="false">IF(A32="","",SUMIF(DITARI!$C:$C,A32,DITARI!$F:$F))</f>
        <v/>
      </c>
      <c r="D32" s="471" t="str">
        <f aca="false">IF(A32="","",SUMIF(DITARI!$C:$C,A32,DITARI!$G:$G))</f>
        <v/>
      </c>
      <c r="E32" s="472" t="str">
        <f aca="false">IF(A32="","",C32-D32)</f>
        <v/>
      </c>
      <c r="F32" s="100" t="str">
        <f aca="false">IF(A32="","",COUNTIF(DITARI!$C:$C,A32))</f>
        <v/>
      </c>
      <c r="G32" s="473"/>
    </row>
    <row r="33" customFormat="false" ht="14.25" hidden="false" customHeight="true" outlineLevel="0" collapsed="false">
      <c r="A33" s="470" t="str">
        <f aca="false">IF(COUNTIF(DITARI!$C$6:C35,DITARI!C35)=1,DITARI!C35,"")</f>
        <v/>
      </c>
      <c r="B33" s="100" t="str">
        <f aca="false">IF(A33="","",IF(ABS(SUMIF(DITARI!$C:$C,A33,DITARI!$F:$F)-SUMIF(DITARI!$C:$C,A33,DITARI!$G:$G))&lt;0.005,"OK","ERROR"))</f>
        <v/>
      </c>
      <c r="C33" s="471" t="str">
        <f aca="false">IF(A33="","",SUMIF(DITARI!$C:$C,A33,DITARI!$F:$F))</f>
        <v/>
      </c>
      <c r="D33" s="471" t="str">
        <f aca="false">IF(A33="","",SUMIF(DITARI!$C:$C,A33,DITARI!$G:$G))</f>
        <v/>
      </c>
      <c r="E33" s="472" t="str">
        <f aca="false">IF(A33="","",C33-D33)</f>
        <v/>
      </c>
      <c r="F33" s="100" t="str">
        <f aca="false">IF(A33="","",COUNTIF(DITARI!$C:$C,A33))</f>
        <v/>
      </c>
      <c r="G33" s="473"/>
    </row>
    <row r="34" customFormat="false" ht="14.25" hidden="false" customHeight="true" outlineLevel="0" collapsed="false">
      <c r="A34" s="470" t="str">
        <f aca="false">IF(COUNTIF(DITARI!$C$6:C36,DITARI!C36)=1,DITARI!C36,"")</f>
        <v/>
      </c>
      <c r="B34" s="100" t="str">
        <f aca="false">IF(A34="","",IF(ABS(SUMIF(DITARI!$C:$C,A34,DITARI!$F:$F)-SUMIF(DITARI!$C:$C,A34,DITARI!$G:$G))&lt;0.005,"OK","ERROR"))</f>
        <v/>
      </c>
      <c r="C34" s="471" t="str">
        <f aca="false">IF(A34="","",SUMIF(DITARI!$C:$C,A34,DITARI!$F:$F))</f>
        <v/>
      </c>
      <c r="D34" s="471" t="str">
        <f aca="false">IF(A34="","",SUMIF(DITARI!$C:$C,A34,DITARI!$G:$G))</f>
        <v/>
      </c>
      <c r="E34" s="472" t="str">
        <f aca="false">IF(A34="","",C34-D34)</f>
        <v/>
      </c>
      <c r="F34" s="100" t="str">
        <f aca="false">IF(A34="","",COUNTIF(DITARI!$C:$C,A34))</f>
        <v/>
      </c>
      <c r="G34" s="473"/>
    </row>
    <row r="35" customFormat="false" ht="14.25" hidden="false" customHeight="true" outlineLevel="0" collapsed="false">
      <c r="A35" s="470" t="str">
        <f aca="false">IF(COUNTIF(DITARI!$C$6:C37,DITARI!C37)=1,DITARI!C37,"")</f>
        <v/>
      </c>
      <c r="B35" s="100" t="str">
        <f aca="false">IF(A35="","",IF(ABS(SUMIF(DITARI!$C:$C,A35,DITARI!$F:$F)-SUMIF(DITARI!$C:$C,A35,DITARI!$G:$G))&lt;0.005,"OK","ERROR"))</f>
        <v/>
      </c>
      <c r="C35" s="471" t="str">
        <f aca="false">IF(A35="","",SUMIF(DITARI!$C:$C,A35,DITARI!$F:$F))</f>
        <v/>
      </c>
      <c r="D35" s="471" t="str">
        <f aca="false">IF(A35="","",SUMIF(DITARI!$C:$C,A35,DITARI!$G:$G))</f>
        <v/>
      </c>
      <c r="E35" s="472" t="str">
        <f aca="false">IF(A35="","",C35-D35)</f>
        <v/>
      </c>
      <c r="F35" s="100" t="str">
        <f aca="false">IF(A35="","",COUNTIF(DITARI!$C:$C,A35))</f>
        <v/>
      </c>
      <c r="G35" s="473"/>
    </row>
    <row r="36" customFormat="false" ht="14.25" hidden="false" customHeight="true" outlineLevel="0" collapsed="false">
      <c r="A36" s="470" t="str">
        <f aca="false">IF(COUNTIF(DITARI!$C$6:C38,DITARI!C38)=1,DITARI!C38,"")</f>
        <v/>
      </c>
      <c r="B36" s="100" t="str">
        <f aca="false">IF(A36="","",IF(ABS(SUMIF(DITARI!$C:$C,A36,DITARI!$F:$F)-SUMIF(DITARI!$C:$C,A36,DITARI!$G:$G))&lt;0.005,"OK","ERROR"))</f>
        <v/>
      </c>
      <c r="C36" s="471" t="str">
        <f aca="false">IF(A36="","",SUMIF(DITARI!$C:$C,A36,DITARI!$F:$F))</f>
        <v/>
      </c>
      <c r="D36" s="471" t="str">
        <f aca="false">IF(A36="","",SUMIF(DITARI!$C:$C,A36,DITARI!$G:$G))</f>
        <v/>
      </c>
      <c r="E36" s="472" t="str">
        <f aca="false">IF(A36="","",C36-D36)</f>
        <v/>
      </c>
      <c r="F36" s="100" t="str">
        <f aca="false">IF(A36="","",COUNTIF(DITARI!$C:$C,A36))</f>
        <v/>
      </c>
      <c r="G36" s="473"/>
    </row>
    <row r="37" customFormat="false" ht="14.25" hidden="false" customHeight="true" outlineLevel="0" collapsed="false">
      <c r="A37" s="470" t="str">
        <f aca="false">IF(COUNTIF(DITARI!$C$6:C39,DITARI!C39)=1,DITARI!C39,"")</f>
        <v/>
      </c>
      <c r="B37" s="100" t="str">
        <f aca="false">IF(A37="","",IF(ABS(SUMIF(DITARI!$C:$C,A37,DITARI!$F:$F)-SUMIF(DITARI!$C:$C,A37,DITARI!$G:$G))&lt;0.005,"OK","ERROR"))</f>
        <v/>
      </c>
      <c r="C37" s="471" t="str">
        <f aca="false">IF(A37="","",SUMIF(DITARI!$C:$C,A37,DITARI!$F:$F))</f>
        <v/>
      </c>
      <c r="D37" s="471" t="str">
        <f aca="false">IF(A37="","",SUMIF(DITARI!$C:$C,A37,DITARI!$G:$G))</f>
        <v/>
      </c>
      <c r="E37" s="472" t="str">
        <f aca="false">IF(A37="","",C37-D37)</f>
        <v/>
      </c>
      <c r="F37" s="100" t="str">
        <f aca="false">IF(A37="","",COUNTIF(DITARI!$C:$C,A37))</f>
        <v/>
      </c>
      <c r="G37" s="473"/>
    </row>
    <row r="38" customFormat="false" ht="14.25" hidden="false" customHeight="true" outlineLevel="0" collapsed="false">
      <c r="A38" s="470" t="str">
        <f aca="false">IF(COUNTIF(DITARI!$C$6:C40,DITARI!C40)=1,DITARI!C40,"")</f>
        <v/>
      </c>
      <c r="B38" s="100" t="str">
        <f aca="false">IF(A38="","",IF(ABS(SUMIF(DITARI!$C:$C,A38,DITARI!$F:$F)-SUMIF(DITARI!$C:$C,A38,DITARI!$G:$G))&lt;0.005,"OK","ERROR"))</f>
        <v/>
      </c>
      <c r="C38" s="471" t="str">
        <f aca="false">IF(A38="","",SUMIF(DITARI!$C:$C,A38,DITARI!$F:$F))</f>
        <v/>
      </c>
      <c r="D38" s="471" t="str">
        <f aca="false">IF(A38="","",SUMIF(DITARI!$C:$C,A38,DITARI!$G:$G))</f>
        <v/>
      </c>
      <c r="E38" s="472" t="str">
        <f aca="false">IF(A38="","",C38-D38)</f>
        <v/>
      </c>
      <c r="F38" s="100" t="str">
        <f aca="false">IF(A38="","",COUNTIF(DITARI!$C:$C,A38))</f>
        <v/>
      </c>
      <c r="G38" s="473"/>
    </row>
    <row r="39" customFormat="false" ht="14.25" hidden="false" customHeight="true" outlineLevel="0" collapsed="false">
      <c r="A39" s="470" t="str">
        <f aca="false">IF(COUNTIF(DITARI!$C$6:C41,DITARI!C41)=1,DITARI!C41,"")</f>
        <v/>
      </c>
      <c r="B39" s="100" t="str">
        <f aca="false">IF(A39="","",IF(ABS(SUMIF(DITARI!$C:$C,A39,DITARI!$F:$F)-SUMIF(DITARI!$C:$C,A39,DITARI!$G:$G))&lt;0.005,"OK","ERROR"))</f>
        <v/>
      </c>
      <c r="C39" s="471" t="str">
        <f aca="false">IF(A39="","",SUMIF(DITARI!$C:$C,A39,DITARI!$F:$F))</f>
        <v/>
      </c>
      <c r="D39" s="471" t="str">
        <f aca="false">IF(A39="","",SUMIF(DITARI!$C:$C,A39,DITARI!$G:$G))</f>
        <v/>
      </c>
      <c r="E39" s="472" t="str">
        <f aca="false">IF(A39="","",C39-D39)</f>
        <v/>
      </c>
      <c r="F39" s="100" t="str">
        <f aca="false">IF(A39="","",COUNTIF(DITARI!$C:$C,A39))</f>
        <v/>
      </c>
      <c r="G39" s="473"/>
    </row>
    <row r="40" customFormat="false" ht="14.25" hidden="false" customHeight="true" outlineLevel="0" collapsed="false">
      <c r="A40" s="470" t="str">
        <f aca="false">IF(COUNTIF(DITARI!$C$6:C42,DITARI!C42)=1,DITARI!C42,"")</f>
        <v/>
      </c>
      <c r="B40" s="100" t="str">
        <f aca="false">IF(A40="","",IF(ABS(SUMIF(DITARI!$C:$C,A40,DITARI!$F:$F)-SUMIF(DITARI!$C:$C,A40,DITARI!$G:$G))&lt;0.005,"OK","ERROR"))</f>
        <v/>
      </c>
      <c r="C40" s="471" t="str">
        <f aca="false">IF(A40="","",SUMIF(DITARI!$C:$C,A40,DITARI!$F:$F))</f>
        <v/>
      </c>
      <c r="D40" s="471" t="str">
        <f aca="false">IF(A40="","",SUMIF(DITARI!$C:$C,A40,DITARI!$G:$G))</f>
        <v/>
      </c>
      <c r="E40" s="472" t="str">
        <f aca="false">IF(A40="","",C40-D40)</f>
        <v/>
      </c>
      <c r="F40" s="100" t="str">
        <f aca="false">IF(A40="","",COUNTIF(DITARI!$C:$C,A40))</f>
        <v/>
      </c>
      <c r="G40" s="473"/>
    </row>
    <row r="41" customFormat="false" ht="14.25" hidden="false" customHeight="true" outlineLevel="0" collapsed="false">
      <c r="A41" s="470" t="str">
        <f aca="false">IF(COUNTIF(DITARI!$C$6:C43,DITARI!C43)=1,DITARI!C43,"")</f>
        <v/>
      </c>
      <c r="B41" s="100" t="str">
        <f aca="false">IF(A41="","",IF(ABS(SUMIF(DITARI!$C:$C,A41,DITARI!$F:$F)-SUMIF(DITARI!$C:$C,A41,DITARI!$G:$G))&lt;0.005,"OK","ERROR"))</f>
        <v/>
      </c>
      <c r="C41" s="471" t="str">
        <f aca="false">IF(A41="","",SUMIF(DITARI!$C:$C,A41,DITARI!$F:$F))</f>
        <v/>
      </c>
      <c r="D41" s="471" t="str">
        <f aca="false">IF(A41="","",SUMIF(DITARI!$C:$C,A41,DITARI!$G:$G))</f>
        <v/>
      </c>
      <c r="E41" s="472" t="str">
        <f aca="false">IF(A41="","",C41-D41)</f>
        <v/>
      </c>
      <c r="F41" s="100" t="str">
        <f aca="false">IF(A41="","",COUNTIF(DITARI!$C:$C,A41))</f>
        <v/>
      </c>
      <c r="G41" s="473"/>
    </row>
    <row r="42" customFormat="false" ht="14.25" hidden="false" customHeight="true" outlineLevel="0" collapsed="false">
      <c r="A42" s="470" t="str">
        <f aca="false">IF(COUNTIF(DITARI!$C$6:C44,DITARI!C44)=1,DITARI!C44,"")</f>
        <v/>
      </c>
      <c r="B42" s="100" t="str">
        <f aca="false">IF(A42="","",IF(ABS(SUMIF(DITARI!$C:$C,A42,DITARI!$F:$F)-SUMIF(DITARI!$C:$C,A42,DITARI!$G:$G))&lt;0.005,"OK","ERROR"))</f>
        <v/>
      </c>
      <c r="C42" s="471" t="str">
        <f aca="false">IF(A42="","",SUMIF(DITARI!$C:$C,A42,DITARI!$F:$F))</f>
        <v/>
      </c>
      <c r="D42" s="471" t="str">
        <f aca="false">IF(A42="","",SUMIF(DITARI!$C:$C,A42,DITARI!$G:$G))</f>
        <v/>
      </c>
      <c r="E42" s="472" t="str">
        <f aca="false">IF(A42="","",C42-D42)</f>
        <v/>
      </c>
      <c r="F42" s="100" t="str">
        <f aca="false">IF(A42="","",COUNTIF(DITARI!$C:$C,A42))</f>
        <v/>
      </c>
      <c r="G42" s="473"/>
    </row>
    <row r="43" customFormat="false" ht="14.25" hidden="false" customHeight="true" outlineLevel="0" collapsed="false">
      <c r="A43" s="470" t="str">
        <f aca="false">IF(COUNTIF(DITARI!$C$6:C45,DITARI!C45)=1,DITARI!C45,"")</f>
        <v/>
      </c>
      <c r="B43" s="100" t="str">
        <f aca="false">IF(A43="","",IF(ABS(SUMIF(DITARI!$C:$C,A43,DITARI!$F:$F)-SUMIF(DITARI!$C:$C,A43,DITARI!$G:$G))&lt;0.005,"OK","ERROR"))</f>
        <v/>
      </c>
      <c r="C43" s="471" t="str">
        <f aca="false">IF(A43="","",SUMIF(DITARI!$C:$C,A43,DITARI!$F:$F))</f>
        <v/>
      </c>
      <c r="D43" s="471" t="str">
        <f aca="false">IF(A43="","",SUMIF(DITARI!$C:$C,A43,DITARI!$G:$G))</f>
        <v/>
      </c>
      <c r="E43" s="472" t="str">
        <f aca="false">IF(A43="","",C43-D43)</f>
        <v/>
      </c>
      <c r="F43" s="100" t="str">
        <f aca="false">IF(A43="","",COUNTIF(DITARI!$C:$C,A43))</f>
        <v/>
      </c>
      <c r="G43" s="473"/>
    </row>
    <row r="44" customFormat="false" ht="14.25" hidden="false" customHeight="true" outlineLevel="0" collapsed="false">
      <c r="A44" s="470" t="str">
        <f aca="false">IF(COUNTIF(DITARI!$C$6:C46,DITARI!C46)=1,DITARI!C46,"")</f>
        <v/>
      </c>
      <c r="B44" s="100" t="str">
        <f aca="false">IF(A44="","",IF(ABS(SUMIF(DITARI!$C:$C,A44,DITARI!$F:$F)-SUMIF(DITARI!$C:$C,A44,DITARI!$G:$G))&lt;0.005,"OK","ERROR"))</f>
        <v/>
      </c>
      <c r="C44" s="471" t="str">
        <f aca="false">IF(A44="","",SUMIF(DITARI!$C:$C,A44,DITARI!$F:$F))</f>
        <v/>
      </c>
      <c r="D44" s="471" t="str">
        <f aca="false">IF(A44="","",SUMIF(DITARI!$C:$C,A44,DITARI!$G:$G))</f>
        <v/>
      </c>
      <c r="E44" s="472" t="str">
        <f aca="false">IF(A44="","",C44-D44)</f>
        <v/>
      </c>
      <c r="F44" s="100" t="str">
        <f aca="false">IF(A44="","",COUNTIF(DITARI!$C:$C,A44))</f>
        <v/>
      </c>
      <c r="G44" s="473"/>
    </row>
    <row r="45" customFormat="false" ht="14.25" hidden="false" customHeight="true" outlineLevel="0" collapsed="false">
      <c r="A45" s="470" t="str">
        <f aca="false">IF(COUNTIF(DITARI!$C$6:C47,DITARI!C47)=1,DITARI!C47,"")</f>
        <v/>
      </c>
      <c r="B45" s="100" t="str">
        <f aca="false">IF(A45="","",IF(ABS(SUMIF(DITARI!$C:$C,A45,DITARI!$F:$F)-SUMIF(DITARI!$C:$C,A45,DITARI!$G:$G))&lt;0.005,"OK","ERROR"))</f>
        <v/>
      </c>
      <c r="C45" s="471" t="str">
        <f aca="false">IF(A45="","",SUMIF(DITARI!$C:$C,A45,DITARI!$F:$F))</f>
        <v/>
      </c>
      <c r="D45" s="471" t="str">
        <f aca="false">IF(A45="","",SUMIF(DITARI!$C:$C,A45,DITARI!$G:$G))</f>
        <v/>
      </c>
      <c r="E45" s="472" t="str">
        <f aca="false">IF(A45="","",C45-D45)</f>
        <v/>
      </c>
      <c r="F45" s="100" t="str">
        <f aca="false">IF(A45="","",COUNTIF(DITARI!$C:$C,A45))</f>
        <v/>
      </c>
      <c r="G45" s="473"/>
    </row>
    <row r="46" customFormat="false" ht="14.25" hidden="false" customHeight="true" outlineLevel="0" collapsed="false">
      <c r="A46" s="470" t="str">
        <f aca="false">IF(COUNTIF(DITARI!$C$6:C48,DITARI!C48)=1,DITARI!C48,"")</f>
        <v/>
      </c>
      <c r="B46" s="100" t="str">
        <f aca="false">IF(A46="","",IF(ABS(SUMIF(DITARI!$C:$C,A46,DITARI!$F:$F)-SUMIF(DITARI!$C:$C,A46,DITARI!$G:$G))&lt;0.005,"OK","ERROR"))</f>
        <v/>
      </c>
      <c r="C46" s="471" t="str">
        <f aca="false">IF(A46="","",SUMIF(DITARI!$C:$C,A46,DITARI!$F:$F))</f>
        <v/>
      </c>
      <c r="D46" s="471" t="str">
        <f aca="false">IF(A46="","",SUMIF(DITARI!$C:$C,A46,DITARI!$G:$G))</f>
        <v/>
      </c>
      <c r="E46" s="472" t="str">
        <f aca="false">IF(A46="","",C46-D46)</f>
        <v/>
      </c>
      <c r="F46" s="100" t="str">
        <f aca="false">IF(A46="","",COUNTIF(DITARI!$C:$C,A46))</f>
        <v/>
      </c>
      <c r="G46" s="473"/>
    </row>
    <row r="47" customFormat="false" ht="14.25" hidden="false" customHeight="true" outlineLevel="0" collapsed="false">
      <c r="A47" s="470" t="str">
        <f aca="false">IF(COUNTIF(DITARI!$C$6:C49,DITARI!C49)=1,DITARI!C49,"")</f>
        <v/>
      </c>
      <c r="B47" s="100" t="str">
        <f aca="false">IF(A47="","",IF(ABS(SUMIF(DITARI!$C:$C,A47,DITARI!$F:$F)-SUMIF(DITARI!$C:$C,A47,DITARI!$G:$G))&lt;0.005,"OK","ERROR"))</f>
        <v/>
      </c>
      <c r="C47" s="471" t="str">
        <f aca="false">IF(A47="","",SUMIF(DITARI!$C:$C,A47,DITARI!$F:$F))</f>
        <v/>
      </c>
      <c r="D47" s="471" t="str">
        <f aca="false">IF(A47="","",SUMIF(DITARI!$C:$C,A47,DITARI!$G:$G))</f>
        <v/>
      </c>
      <c r="E47" s="472" t="str">
        <f aca="false">IF(A47="","",C47-D47)</f>
        <v/>
      </c>
      <c r="F47" s="100" t="str">
        <f aca="false">IF(A47="","",COUNTIF(DITARI!$C:$C,A47))</f>
        <v/>
      </c>
      <c r="G47" s="473"/>
    </row>
    <row r="48" customFormat="false" ht="14.25" hidden="false" customHeight="true" outlineLevel="0" collapsed="false">
      <c r="A48" s="470" t="str">
        <f aca="false">IF(COUNTIF(DITARI!$C$6:C50,DITARI!C50)=1,DITARI!C50,"")</f>
        <v/>
      </c>
      <c r="B48" s="100" t="str">
        <f aca="false">IF(A48="","",IF(ABS(SUMIF(DITARI!$C:$C,A48,DITARI!$F:$F)-SUMIF(DITARI!$C:$C,A48,DITARI!$G:$G))&lt;0.005,"OK","ERROR"))</f>
        <v/>
      </c>
      <c r="C48" s="471" t="str">
        <f aca="false">IF(A48="","",SUMIF(DITARI!$C:$C,A48,DITARI!$F:$F))</f>
        <v/>
      </c>
      <c r="D48" s="471" t="str">
        <f aca="false">IF(A48="","",SUMIF(DITARI!$C:$C,A48,DITARI!$G:$G))</f>
        <v/>
      </c>
      <c r="E48" s="472" t="str">
        <f aca="false">IF(A48="","",C48-D48)</f>
        <v/>
      </c>
      <c r="F48" s="100" t="str">
        <f aca="false">IF(A48="","",COUNTIF(DITARI!$C:$C,A48))</f>
        <v/>
      </c>
      <c r="G48" s="473"/>
    </row>
    <row r="49" customFormat="false" ht="14.25" hidden="false" customHeight="true" outlineLevel="0" collapsed="false">
      <c r="A49" s="470" t="str">
        <f aca="false">IF(COUNTIF(DITARI!$C$6:C51,DITARI!C51)=1,DITARI!C51,"")</f>
        <v/>
      </c>
      <c r="B49" s="100" t="str">
        <f aca="false">IF(A49="","",IF(ABS(SUMIF(DITARI!$C:$C,A49,DITARI!$F:$F)-SUMIF(DITARI!$C:$C,A49,DITARI!$G:$G))&lt;0.005,"OK","ERROR"))</f>
        <v/>
      </c>
      <c r="C49" s="471" t="str">
        <f aca="false">IF(A49="","",SUMIF(DITARI!$C:$C,A49,DITARI!$F:$F))</f>
        <v/>
      </c>
      <c r="D49" s="471" t="str">
        <f aca="false">IF(A49="","",SUMIF(DITARI!$C:$C,A49,DITARI!$G:$G))</f>
        <v/>
      </c>
      <c r="E49" s="472" t="str">
        <f aca="false">IF(A49="","",C49-D49)</f>
        <v/>
      </c>
      <c r="F49" s="100" t="str">
        <f aca="false">IF(A49="","",COUNTIF(DITARI!$C:$C,A49))</f>
        <v/>
      </c>
      <c r="G49" s="473"/>
    </row>
    <row r="50" customFormat="false" ht="14.25" hidden="false" customHeight="true" outlineLevel="0" collapsed="false">
      <c r="A50" s="470" t="str">
        <f aca="false">IF(COUNTIF(DITARI!$C$6:C52,DITARI!C52)=1,DITARI!C52,"")</f>
        <v/>
      </c>
      <c r="B50" s="100" t="str">
        <f aca="false">IF(A50="","",IF(ABS(SUMIF(DITARI!$C:$C,A50,DITARI!$F:$F)-SUMIF(DITARI!$C:$C,A50,DITARI!$G:$G))&lt;0.005,"OK","ERROR"))</f>
        <v/>
      </c>
      <c r="C50" s="471" t="str">
        <f aca="false">IF(A50="","",SUMIF(DITARI!$C:$C,A50,DITARI!$F:$F))</f>
        <v/>
      </c>
      <c r="D50" s="471" t="str">
        <f aca="false">IF(A50="","",SUMIF(DITARI!$C:$C,A50,DITARI!$G:$G))</f>
        <v/>
      </c>
      <c r="E50" s="472" t="str">
        <f aca="false">IF(A50="","",C50-D50)</f>
        <v/>
      </c>
      <c r="F50" s="100" t="str">
        <f aca="false">IF(A50="","",COUNTIF(DITARI!$C:$C,A50))</f>
        <v/>
      </c>
      <c r="G50" s="473"/>
    </row>
    <row r="51" customFormat="false" ht="14.25" hidden="false" customHeight="true" outlineLevel="0" collapsed="false">
      <c r="A51" s="470" t="str">
        <f aca="false">IF(COUNTIF(DITARI!$C$6:C53,DITARI!C53)=1,DITARI!C53,"")</f>
        <v/>
      </c>
      <c r="B51" s="100" t="str">
        <f aca="false">IF(A51="","",IF(ABS(SUMIF(DITARI!$C:$C,A51,DITARI!$F:$F)-SUMIF(DITARI!$C:$C,A51,DITARI!$G:$G))&lt;0.005,"OK","ERROR"))</f>
        <v/>
      </c>
      <c r="C51" s="471" t="str">
        <f aca="false">IF(A51="","",SUMIF(DITARI!$C:$C,A51,DITARI!$F:$F))</f>
        <v/>
      </c>
      <c r="D51" s="471" t="str">
        <f aca="false">IF(A51="","",SUMIF(DITARI!$C:$C,A51,DITARI!$G:$G))</f>
        <v/>
      </c>
      <c r="E51" s="472" t="str">
        <f aca="false">IF(A51="","",C51-D51)</f>
        <v/>
      </c>
      <c r="F51" s="100" t="str">
        <f aca="false">IF(A51="","",COUNTIF(DITARI!$C:$C,A51))</f>
        <v/>
      </c>
      <c r="G51" s="473"/>
    </row>
    <row r="52" customFormat="false" ht="14.25" hidden="false" customHeight="true" outlineLevel="0" collapsed="false">
      <c r="A52" s="470" t="str">
        <f aca="false">IF(COUNTIF(DITARI!$C$6:C54,DITARI!C54)=1,DITARI!C54,"")</f>
        <v/>
      </c>
      <c r="B52" s="100" t="str">
        <f aca="false">IF(A52="","",IF(ABS(SUMIF(DITARI!$C:$C,A52,DITARI!$F:$F)-SUMIF(DITARI!$C:$C,A52,DITARI!$G:$G))&lt;0.005,"OK","ERROR"))</f>
        <v/>
      </c>
      <c r="C52" s="471" t="str">
        <f aca="false">IF(A52="","",SUMIF(DITARI!$C:$C,A52,DITARI!$F:$F))</f>
        <v/>
      </c>
      <c r="D52" s="471" t="str">
        <f aca="false">IF(A52="","",SUMIF(DITARI!$C:$C,A52,DITARI!$G:$G))</f>
        <v/>
      </c>
      <c r="E52" s="472" t="str">
        <f aca="false">IF(A52="","",C52-D52)</f>
        <v/>
      </c>
      <c r="F52" s="100" t="str">
        <f aca="false">IF(A52="","",COUNTIF(DITARI!$C:$C,A52))</f>
        <v/>
      </c>
      <c r="G52" s="473"/>
    </row>
    <row r="53" customFormat="false" ht="14.25" hidden="false" customHeight="true" outlineLevel="0" collapsed="false">
      <c r="A53" s="470" t="str">
        <f aca="false">IF(COUNTIF(DITARI!$C$6:C55,DITARI!C55)=1,DITARI!C55,"")</f>
        <v/>
      </c>
      <c r="B53" s="100" t="str">
        <f aca="false">IF(A53="","",IF(ABS(SUMIF(DITARI!$C:$C,A53,DITARI!$F:$F)-SUMIF(DITARI!$C:$C,A53,DITARI!$G:$G))&lt;0.005,"OK","ERROR"))</f>
        <v/>
      </c>
      <c r="C53" s="471" t="str">
        <f aca="false">IF(A53="","",SUMIF(DITARI!$C:$C,A53,DITARI!$F:$F))</f>
        <v/>
      </c>
      <c r="D53" s="471" t="str">
        <f aca="false">IF(A53="","",SUMIF(DITARI!$C:$C,A53,DITARI!$G:$G))</f>
        <v/>
      </c>
      <c r="E53" s="472" t="str">
        <f aca="false">IF(A53="","",C53-D53)</f>
        <v/>
      </c>
      <c r="F53" s="100" t="str">
        <f aca="false">IF(A53="","",COUNTIF(DITARI!$C:$C,A53))</f>
        <v/>
      </c>
      <c r="G53" s="473"/>
    </row>
    <row r="54" customFormat="false" ht="14.25" hidden="false" customHeight="true" outlineLevel="0" collapsed="false">
      <c r="A54" s="470" t="str">
        <f aca="false">IF(COUNTIF(DITARI!$C$6:C56,DITARI!C56)=1,DITARI!C56,"")</f>
        <v/>
      </c>
      <c r="B54" s="100" t="str">
        <f aca="false">IF(A54="","",IF(ABS(SUMIF(DITARI!$C:$C,A54,DITARI!$F:$F)-SUMIF(DITARI!$C:$C,A54,DITARI!$G:$G))&lt;0.005,"OK","ERROR"))</f>
        <v/>
      </c>
      <c r="C54" s="471" t="str">
        <f aca="false">IF(A54="","",SUMIF(DITARI!$C:$C,A54,DITARI!$F:$F))</f>
        <v/>
      </c>
      <c r="D54" s="471" t="str">
        <f aca="false">IF(A54="","",SUMIF(DITARI!$C:$C,A54,DITARI!$G:$G))</f>
        <v/>
      </c>
      <c r="E54" s="472" t="str">
        <f aca="false">IF(A54="","",C54-D54)</f>
        <v/>
      </c>
      <c r="F54" s="100" t="str">
        <f aca="false">IF(A54="","",COUNTIF(DITARI!$C:$C,A54))</f>
        <v/>
      </c>
      <c r="G54" s="473"/>
    </row>
    <row r="55" customFormat="false" ht="14.25" hidden="false" customHeight="true" outlineLevel="0" collapsed="false">
      <c r="A55" s="470" t="str">
        <f aca="false">IF(COUNTIF(DITARI!$C$6:C57,DITARI!C57)=1,DITARI!C57,"")</f>
        <v/>
      </c>
      <c r="B55" s="100" t="str">
        <f aca="false">IF(A55="","",IF(ABS(SUMIF(DITARI!$C:$C,A55,DITARI!$F:$F)-SUMIF(DITARI!$C:$C,A55,DITARI!$G:$G))&lt;0.005,"OK","ERROR"))</f>
        <v/>
      </c>
      <c r="C55" s="471" t="str">
        <f aca="false">IF(A55="","",SUMIF(DITARI!$C:$C,A55,DITARI!$F:$F))</f>
        <v/>
      </c>
      <c r="D55" s="471" t="str">
        <f aca="false">IF(A55="","",SUMIF(DITARI!$C:$C,A55,DITARI!$G:$G))</f>
        <v/>
      </c>
      <c r="E55" s="472" t="str">
        <f aca="false">IF(A55="","",C55-D55)</f>
        <v/>
      </c>
      <c r="F55" s="100" t="str">
        <f aca="false">IF(A55="","",COUNTIF(DITARI!$C:$C,A55))</f>
        <v/>
      </c>
      <c r="G55" s="473"/>
    </row>
    <row r="56" customFormat="false" ht="14.25" hidden="false" customHeight="true" outlineLevel="0" collapsed="false">
      <c r="A56" s="470" t="str">
        <f aca="false">IF(COUNTIF(DITARI!$C$6:C58,DITARI!C58)=1,DITARI!C58,"")</f>
        <v/>
      </c>
      <c r="B56" s="100" t="str">
        <f aca="false">IF(A56="","",IF(ABS(SUMIF(DITARI!$C:$C,A56,DITARI!$F:$F)-SUMIF(DITARI!$C:$C,A56,DITARI!$G:$G))&lt;0.005,"OK","ERROR"))</f>
        <v/>
      </c>
      <c r="C56" s="471" t="str">
        <f aca="false">IF(A56="","",SUMIF(DITARI!$C:$C,A56,DITARI!$F:$F))</f>
        <v/>
      </c>
      <c r="D56" s="471" t="str">
        <f aca="false">IF(A56="","",SUMIF(DITARI!$C:$C,A56,DITARI!$G:$G))</f>
        <v/>
      </c>
      <c r="E56" s="472" t="str">
        <f aca="false">IF(A56="","",C56-D56)</f>
        <v/>
      </c>
      <c r="F56" s="100" t="str">
        <f aca="false">IF(A56="","",COUNTIF(DITARI!$C:$C,A56))</f>
        <v/>
      </c>
      <c r="G56" s="473"/>
    </row>
    <row r="57" customFormat="false" ht="14.25" hidden="false" customHeight="true" outlineLevel="0" collapsed="false">
      <c r="A57" s="470" t="str">
        <f aca="false">IF(COUNTIF(DITARI!$C$6:C59,DITARI!C59)=1,DITARI!C59,"")</f>
        <v/>
      </c>
      <c r="B57" s="100" t="str">
        <f aca="false">IF(A57="","",IF(ABS(SUMIF(DITARI!$C:$C,A57,DITARI!$F:$F)-SUMIF(DITARI!$C:$C,A57,DITARI!$G:$G))&lt;0.005,"OK","ERROR"))</f>
        <v/>
      </c>
      <c r="C57" s="471" t="str">
        <f aca="false">IF(A57="","",SUMIF(DITARI!$C:$C,A57,DITARI!$F:$F))</f>
        <v/>
      </c>
      <c r="D57" s="471" t="str">
        <f aca="false">IF(A57="","",SUMIF(DITARI!$C:$C,A57,DITARI!$G:$G))</f>
        <v/>
      </c>
      <c r="E57" s="472" t="str">
        <f aca="false">IF(A57="","",C57-D57)</f>
        <v/>
      </c>
      <c r="F57" s="100" t="str">
        <f aca="false">IF(A57="","",COUNTIF(DITARI!$C:$C,A57))</f>
        <v/>
      </c>
      <c r="G57" s="473"/>
    </row>
    <row r="58" customFormat="false" ht="14.25" hidden="false" customHeight="true" outlineLevel="0" collapsed="false">
      <c r="A58" s="470" t="str">
        <f aca="false">IF(COUNTIF(DITARI!$C$6:C60,DITARI!C60)=1,DITARI!C60,"")</f>
        <v/>
      </c>
      <c r="B58" s="100" t="str">
        <f aca="false">IF(A58="","",IF(ABS(SUMIF(DITARI!$C:$C,A58,DITARI!$F:$F)-SUMIF(DITARI!$C:$C,A58,DITARI!$G:$G))&lt;0.005,"OK","ERROR"))</f>
        <v/>
      </c>
      <c r="C58" s="471" t="str">
        <f aca="false">IF(A58="","",SUMIF(DITARI!$C:$C,A58,DITARI!$F:$F))</f>
        <v/>
      </c>
      <c r="D58" s="471" t="str">
        <f aca="false">IF(A58="","",SUMIF(DITARI!$C:$C,A58,DITARI!$G:$G))</f>
        <v/>
      </c>
      <c r="E58" s="472" t="str">
        <f aca="false">IF(A58="","",C58-D58)</f>
        <v/>
      </c>
      <c r="F58" s="100" t="str">
        <f aca="false">IF(A58="","",COUNTIF(DITARI!$C:$C,A58))</f>
        <v/>
      </c>
      <c r="G58" s="473"/>
    </row>
    <row r="59" customFormat="false" ht="14.25" hidden="false" customHeight="true" outlineLevel="0" collapsed="false">
      <c r="A59" s="470" t="str">
        <f aca="false">IF(COUNTIF(DITARI!$C$6:C61,DITARI!C61)=1,DITARI!C61,"")</f>
        <v/>
      </c>
      <c r="B59" s="100" t="str">
        <f aca="false">IF(A59="","",IF(ABS(SUMIF(DITARI!$C:$C,A59,DITARI!$F:$F)-SUMIF(DITARI!$C:$C,A59,DITARI!$G:$G))&lt;0.005,"OK","ERROR"))</f>
        <v/>
      </c>
      <c r="C59" s="471" t="str">
        <f aca="false">IF(A59="","",SUMIF(DITARI!$C:$C,A59,DITARI!$F:$F))</f>
        <v/>
      </c>
      <c r="D59" s="471" t="str">
        <f aca="false">IF(A59="","",SUMIF(DITARI!$C:$C,A59,DITARI!$G:$G))</f>
        <v/>
      </c>
      <c r="E59" s="472" t="str">
        <f aca="false">IF(A59="","",C59-D59)</f>
        <v/>
      </c>
      <c r="F59" s="100" t="str">
        <f aca="false">IF(A59="","",COUNTIF(DITARI!$C:$C,A59))</f>
        <v/>
      </c>
      <c r="G59" s="473"/>
    </row>
    <row r="60" customFormat="false" ht="14.25" hidden="false" customHeight="true" outlineLevel="0" collapsed="false">
      <c r="A60" s="470" t="str">
        <f aca="false">IF(COUNTIF(DITARI!$C$6:C62,DITARI!C62)=1,DITARI!C62,"")</f>
        <v/>
      </c>
      <c r="B60" s="100" t="str">
        <f aca="false">IF(A60="","",IF(ABS(SUMIF(DITARI!$C:$C,A60,DITARI!$F:$F)-SUMIF(DITARI!$C:$C,A60,DITARI!$G:$G))&lt;0.005,"OK","ERROR"))</f>
        <v/>
      </c>
      <c r="C60" s="471" t="str">
        <f aca="false">IF(A60="","",SUMIF(DITARI!$C:$C,A60,DITARI!$F:$F))</f>
        <v/>
      </c>
      <c r="D60" s="471" t="str">
        <f aca="false">IF(A60="","",SUMIF(DITARI!$C:$C,A60,DITARI!$G:$G))</f>
        <v/>
      </c>
      <c r="E60" s="472" t="str">
        <f aca="false">IF(A60="","",C60-D60)</f>
        <v/>
      </c>
      <c r="F60" s="100" t="str">
        <f aca="false">IF(A60="","",COUNTIF(DITARI!$C:$C,A60))</f>
        <v/>
      </c>
      <c r="G60" s="473"/>
    </row>
    <row r="61" customFormat="false" ht="14.25" hidden="false" customHeight="true" outlineLevel="0" collapsed="false">
      <c r="A61" s="470" t="str">
        <f aca="false">IF(COUNTIF(DITARI!$C$6:C63,DITARI!C63)=1,DITARI!C63,"")</f>
        <v/>
      </c>
      <c r="B61" s="100" t="str">
        <f aca="false">IF(A61="","",IF(ABS(SUMIF(DITARI!$C:$C,A61,DITARI!$F:$F)-SUMIF(DITARI!$C:$C,A61,DITARI!$G:$G))&lt;0.005,"OK","ERROR"))</f>
        <v/>
      </c>
      <c r="C61" s="471" t="str">
        <f aca="false">IF(A61="","",SUMIF(DITARI!$C:$C,A61,DITARI!$F:$F))</f>
        <v/>
      </c>
      <c r="D61" s="471" t="str">
        <f aca="false">IF(A61="","",SUMIF(DITARI!$C:$C,A61,DITARI!$G:$G))</f>
        <v/>
      </c>
      <c r="E61" s="472" t="str">
        <f aca="false">IF(A61="","",C61-D61)</f>
        <v/>
      </c>
      <c r="F61" s="100" t="str">
        <f aca="false">IF(A61="","",COUNTIF(DITARI!$C:$C,A61))</f>
        <v/>
      </c>
      <c r="G61" s="473"/>
    </row>
    <row r="62" customFormat="false" ht="14.25" hidden="false" customHeight="true" outlineLevel="0" collapsed="false">
      <c r="A62" s="470" t="str">
        <f aca="false">IF(COUNTIF(DITARI!$C$6:C64,DITARI!C64)=1,DITARI!C64,"")</f>
        <v/>
      </c>
      <c r="B62" s="100" t="str">
        <f aca="false">IF(A62="","",IF(ABS(SUMIF(DITARI!$C:$C,A62,DITARI!$F:$F)-SUMIF(DITARI!$C:$C,A62,DITARI!$G:$G))&lt;0.005,"OK","ERROR"))</f>
        <v/>
      </c>
      <c r="C62" s="471" t="str">
        <f aca="false">IF(A62="","",SUMIF(DITARI!$C:$C,A62,DITARI!$F:$F))</f>
        <v/>
      </c>
      <c r="D62" s="471" t="str">
        <f aca="false">IF(A62="","",SUMIF(DITARI!$C:$C,A62,DITARI!$G:$G))</f>
        <v/>
      </c>
      <c r="E62" s="472" t="str">
        <f aca="false">IF(A62="","",C62-D62)</f>
        <v/>
      </c>
      <c r="F62" s="100" t="str">
        <f aca="false">IF(A62="","",COUNTIF(DITARI!$C:$C,A62))</f>
        <v/>
      </c>
      <c r="G62" s="473"/>
    </row>
    <row r="63" customFormat="false" ht="14.25" hidden="false" customHeight="true" outlineLevel="0" collapsed="false">
      <c r="A63" s="470" t="str">
        <f aca="false">IF(COUNTIF(DITARI!$C$6:C65,DITARI!C65)=1,DITARI!C65,"")</f>
        <v/>
      </c>
      <c r="B63" s="100" t="str">
        <f aca="false">IF(A63="","",IF(ABS(SUMIF(DITARI!$C:$C,A63,DITARI!$F:$F)-SUMIF(DITARI!$C:$C,A63,DITARI!$G:$G))&lt;0.005,"OK","ERROR"))</f>
        <v/>
      </c>
      <c r="C63" s="471" t="str">
        <f aca="false">IF(A63="","",SUMIF(DITARI!$C:$C,A63,DITARI!$F:$F))</f>
        <v/>
      </c>
      <c r="D63" s="471" t="str">
        <f aca="false">IF(A63="","",SUMIF(DITARI!$C:$C,A63,DITARI!$G:$G))</f>
        <v/>
      </c>
      <c r="E63" s="472" t="str">
        <f aca="false">IF(A63="","",C63-D63)</f>
        <v/>
      </c>
      <c r="F63" s="100" t="str">
        <f aca="false">IF(A63="","",COUNTIF(DITARI!$C:$C,A63))</f>
        <v/>
      </c>
      <c r="G63" s="473"/>
    </row>
    <row r="64" customFormat="false" ht="14.25" hidden="false" customHeight="true" outlineLevel="0" collapsed="false">
      <c r="A64" s="470" t="str">
        <f aca="false">IF(COUNTIF(DITARI!$C$6:C66,DITARI!C66)=1,DITARI!C66,"")</f>
        <v/>
      </c>
      <c r="B64" s="100" t="str">
        <f aca="false">IF(A64="","",IF(ABS(SUMIF(DITARI!$C:$C,A64,DITARI!$F:$F)-SUMIF(DITARI!$C:$C,A64,DITARI!$G:$G))&lt;0.005,"OK","ERROR"))</f>
        <v/>
      </c>
      <c r="C64" s="471" t="str">
        <f aca="false">IF(A64="","",SUMIF(DITARI!$C:$C,A64,DITARI!$F:$F))</f>
        <v/>
      </c>
      <c r="D64" s="471" t="str">
        <f aca="false">IF(A64="","",SUMIF(DITARI!$C:$C,A64,DITARI!$G:$G))</f>
        <v/>
      </c>
      <c r="E64" s="472" t="str">
        <f aca="false">IF(A64="","",C64-D64)</f>
        <v/>
      </c>
      <c r="F64" s="100" t="str">
        <f aca="false">IF(A64="","",COUNTIF(DITARI!$C:$C,A64))</f>
        <v/>
      </c>
      <c r="G64" s="473"/>
    </row>
    <row r="65" customFormat="false" ht="14.25" hidden="false" customHeight="true" outlineLevel="0" collapsed="false">
      <c r="A65" s="470" t="str">
        <f aca="false">IF(COUNTIF(DITARI!$C$6:C67,DITARI!C67)=1,DITARI!C67,"")</f>
        <v/>
      </c>
      <c r="B65" s="100" t="str">
        <f aca="false">IF(A65="","",IF(ABS(SUMIF(DITARI!$C:$C,A65,DITARI!$F:$F)-SUMIF(DITARI!$C:$C,A65,DITARI!$G:$G))&lt;0.005,"OK","ERROR"))</f>
        <v/>
      </c>
      <c r="C65" s="471" t="str">
        <f aca="false">IF(A65="","",SUMIF(DITARI!$C:$C,A65,DITARI!$F:$F))</f>
        <v/>
      </c>
      <c r="D65" s="471" t="str">
        <f aca="false">IF(A65="","",SUMIF(DITARI!$C:$C,A65,DITARI!$G:$G))</f>
        <v/>
      </c>
      <c r="E65" s="472" t="str">
        <f aca="false">IF(A65="","",C65-D65)</f>
        <v/>
      </c>
      <c r="F65" s="100" t="str">
        <f aca="false">IF(A65="","",COUNTIF(DITARI!$C:$C,A65))</f>
        <v/>
      </c>
      <c r="G65" s="473"/>
    </row>
    <row r="66" customFormat="false" ht="14.25" hidden="false" customHeight="true" outlineLevel="0" collapsed="false">
      <c r="A66" s="470" t="str">
        <f aca="false">IF(COUNTIF(DITARI!$C$6:C68,DITARI!C68)=1,DITARI!C68,"")</f>
        <v/>
      </c>
      <c r="B66" s="100" t="str">
        <f aca="false">IF(A66="","",IF(ABS(SUMIF(DITARI!$C:$C,A66,DITARI!$F:$F)-SUMIF(DITARI!$C:$C,A66,DITARI!$G:$G))&lt;0.005,"OK","ERROR"))</f>
        <v/>
      </c>
      <c r="C66" s="471" t="str">
        <f aca="false">IF(A66="","",SUMIF(DITARI!$C:$C,A66,DITARI!$F:$F))</f>
        <v/>
      </c>
      <c r="D66" s="471" t="str">
        <f aca="false">IF(A66="","",SUMIF(DITARI!$C:$C,A66,DITARI!$G:$G))</f>
        <v/>
      </c>
      <c r="E66" s="472" t="str">
        <f aca="false">IF(A66="","",C66-D66)</f>
        <v/>
      </c>
      <c r="F66" s="100" t="str">
        <f aca="false">IF(A66="","",COUNTIF(DITARI!$C:$C,A66))</f>
        <v/>
      </c>
      <c r="G66" s="473"/>
    </row>
    <row r="67" customFormat="false" ht="14.25" hidden="false" customHeight="true" outlineLevel="0" collapsed="false">
      <c r="A67" s="470" t="str">
        <f aca="false">IF(COUNTIF(DITARI!$C$6:C69,DITARI!C69)=1,DITARI!C69,"")</f>
        <v/>
      </c>
      <c r="B67" s="100" t="str">
        <f aca="false">IF(A67="","",IF(ABS(SUMIF(DITARI!$C:$C,A67,DITARI!$F:$F)-SUMIF(DITARI!$C:$C,A67,DITARI!$G:$G))&lt;0.005,"OK","ERROR"))</f>
        <v/>
      </c>
      <c r="C67" s="471" t="str">
        <f aca="false">IF(A67="","",SUMIF(DITARI!$C:$C,A67,DITARI!$F:$F))</f>
        <v/>
      </c>
      <c r="D67" s="471" t="str">
        <f aca="false">IF(A67="","",SUMIF(DITARI!$C:$C,A67,DITARI!$G:$G))</f>
        <v/>
      </c>
      <c r="E67" s="472" t="str">
        <f aca="false">IF(A67="","",C67-D67)</f>
        <v/>
      </c>
      <c r="F67" s="100" t="str">
        <f aca="false">IF(A67="","",COUNTIF(DITARI!$C:$C,A67))</f>
        <v/>
      </c>
      <c r="G67" s="473"/>
    </row>
    <row r="68" customFormat="false" ht="14.25" hidden="false" customHeight="true" outlineLevel="0" collapsed="false">
      <c r="A68" s="470" t="str">
        <f aca="false">IF(COUNTIF(DITARI!$C$6:C70,DITARI!C70)=1,DITARI!C70,"")</f>
        <v/>
      </c>
      <c r="B68" s="100" t="str">
        <f aca="false">IF(A68="","",IF(ABS(SUMIF(DITARI!$C:$C,A68,DITARI!$F:$F)-SUMIF(DITARI!$C:$C,A68,DITARI!$G:$G))&lt;0.005,"OK","ERROR"))</f>
        <v/>
      </c>
      <c r="C68" s="471" t="str">
        <f aca="false">IF(A68="","",SUMIF(DITARI!$C:$C,A68,DITARI!$F:$F))</f>
        <v/>
      </c>
      <c r="D68" s="471" t="str">
        <f aca="false">IF(A68="","",SUMIF(DITARI!$C:$C,A68,DITARI!$G:$G))</f>
        <v/>
      </c>
      <c r="E68" s="472" t="str">
        <f aca="false">IF(A68="","",C68-D68)</f>
        <v/>
      </c>
      <c r="F68" s="100" t="str">
        <f aca="false">IF(A68="","",COUNTIF(DITARI!$C:$C,A68))</f>
        <v/>
      </c>
      <c r="G68" s="473"/>
    </row>
    <row r="69" customFormat="false" ht="14.25" hidden="false" customHeight="true" outlineLevel="0" collapsed="false">
      <c r="A69" s="470" t="str">
        <f aca="false">IF(COUNTIF(DITARI!$C$6:C71,DITARI!C71)=1,DITARI!C71,"")</f>
        <v/>
      </c>
      <c r="B69" s="100" t="str">
        <f aca="false">IF(A69="","",IF(ABS(SUMIF(DITARI!$C:$C,A69,DITARI!$F:$F)-SUMIF(DITARI!$C:$C,A69,DITARI!$G:$G))&lt;0.005,"OK","ERROR"))</f>
        <v/>
      </c>
      <c r="C69" s="471" t="str">
        <f aca="false">IF(A69="","",SUMIF(DITARI!$C:$C,A69,DITARI!$F:$F))</f>
        <v/>
      </c>
      <c r="D69" s="471" t="str">
        <f aca="false">IF(A69="","",SUMIF(DITARI!$C:$C,A69,DITARI!$G:$G))</f>
        <v/>
      </c>
      <c r="E69" s="472" t="str">
        <f aca="false">IF(A69="","",C69-D69)</f>
        <v/>
      </c>
      <c r="F69" s="100" t="str">
        <f aca="false">IF(A69="","",COUNTIF(DITARI!$C:$C,A69))</f>
        <v/>
      </c>
      <c r="G69" s="473"/>
    </row>
    <row r="70" customFormat="false" ht="14.25" hidden="false" customHeight="true" outlineLevel="0" collapsed="false">
      <c r="A70" s="470" t="str">
        <f aca="false">IF(COUNTIF(DITARI!$C$6:C72,DITARI!C72)=1,DITARI!C72,"")</f>
        <v/>
      </c>
      <c r="B70" s="100" t="str">
        <f aca="false">IF(A70="","",IF(ABS(SUMIF(DITARI!$C:$C,A70,DITARI!$F:$F)-SUMIF(DITARI!$C:$C,A70,DITARI!$G:$G))&lt;0.005,"OK","ERROR"))</f>
        <v/>
      </c>
      <c r="C70" s="471" t="str">
        <f aca="false">IF(A70="","",SUMIF(DITARI!$C:$C,A70,DITARI!$F:$F))</f>
        <v/>
      </c>
      <c r="D70" s="471" t="str">
        <f aca="false">IF(A70="","",SUMIF(DITARI!$C:$C,A70,DITARI!$G:$G))</f>
        <v/>
      </c>
      <c r="E70" s="472" t="str">
        <f aca="false">IF(A70="","",C70-D70)</f>
        <v/>
      </c>
      <c r="F70" s="100" t="str">
        <f aca="false">IF(A70="","",COUNTIF(DITARI!$C:$C,A70))</f>
        <v/>
      </c>
      <c r="G70" s="473"/>
    </row>
    <row r="71" customFormat="false" ht="14.25" hidden="false" customHeight="true" outlineLevel="0" collapsed="false">
      <c r="A71" s="470" t="str">
        <f aca="false">IF(COUNTIF(DITARI!$C$6:C73,DITARI!C73)=1,DITARI!C73,"")</f>
        <v/>
      </c>
      <c r="B71" s="100" t="str">
        <f aca="false">IF(A71="","",IF(ABS(SUMIF(DITARI!$C:$C,A71,DITARI!$F:$F)-SUMIF(DITARI!$C:$C,A71,DITARI!$G:$G))&lt;0.005,"OK","ERROR"))</f>
        <v/>
      </c>
      <c r="C71" s="471" t="str">
        <f aca="false">IF(A71="","",SUMIF(DITARI!$C:$C,A71,DITARI!$F:$F))</f>
        <v/>
      </c>
      <c r="D71" s="471" t="str">
        <f aca="false">IF(A71="","",SUMIF(DITARI!$C:$C,A71,DITARI!$G:$G))</f>
        <v/>
      </c>
      <c r="E71" s="472" t="str">
        <f aca="false">IF(A71="","",C71-D71)</f>
        <v/>
      </c>
      <c r="F71" s="100" t="str">
        <f aca="false">IF(A71="","",COUNTIF(DITARI!$C:$C,A71))</f>
        <v/>
      </c>
      <c r="G71" s="473"/>
    </row>
    <row r="72" customFormat="false" ht="14.25" hidden="false" customHeight="true" outlineLevel="0" collapsed="false">
      <c r="A72" s="470" t="str">
        <f aca="false">IF(COUNTIF(DITARI!$C$6:C74,DITARI!C74)=1,DITARI!C74,"")</f>
        <v/>
      </c>
      <c r="B72" s="100" t="str">
        <f aca="false">IF(A72="","",IF(ABS(SUMIF(DITARI!$C:$C,A72,DITARI!$F:$F)-SUMIF(DITARI!$C:$C,A72,DITARI!$G:$G))&lt;0.005,"OK","ERROR"))</f>
        <v/>
      </c>
      <c r="C72" s="471" t="str">
        <f aca="false">IF(A72="","",SUMIF(DITARI!$C:$C,A72,DITARI!$F:$F))</f>
        <v/>
      </c>
      <c r="D72" s="471" t="str">
        <f aca="false">IF(A72="","",SUMIF(DITARI!$C:$C,A72,DITARI!$G:$G))</f>
        <v/>
      </c>
      <c r="E72" s="472" t="str">
        <f aca="false">IF(A72="","",C72-D72)</f>
        <v/>
      </c>
      <c r="F72" s="100" t="str">
        <f aca="false">IF(A72="","",COUNTIF(DITARI!$C:$C,A72))</f>
        <v/>
      </c>
      <c r="G72" s="473"/>
    </row>
    <row r="73" customFormat="false" ht="14.25" hidden="false" customHeight="true" outlineLevel="0" collapsed="false">
      <c r="A73" s="470" t="str">
        <f aca="false">IF(COUNTIF(DITARI!$C$6:C75,DITARI!C75)=1,DITARI!C75,"")</f>
        <v/>
      </c>
      <c r="B73" s="100" t="str">
        <f aca="false">IF(A73="","",IF(ABS(SUMIF(DITARI!$C:$C,A73,DITARI!$F:$F)-SUMIF(DITARI!$C:$C,A73,DITARI!$G:$G))&lt;0.005,"OK","ERROR"))</f>
        <v/>
      </c>
      <c r="C73" s="471" t="str">
        <f aca="false">IF(A73="","",SUMIF(DITARI!$C:$C,A73,DITARI!$F:$F))</f>
        <v/>
      </c>
      <c r="D73" s="471" t="str">
        <f aca="false">IF(A73="","",SUMIF(DITARI!$C:$C,A73,DITARI!$G:$G))</f>
        <v/>
      </c>
      <c r="E73" s="472" t="str">
        <f aca="false">IF(A73="","",C73-D73)</f>
        <v/>
      </c>
      <c r="F73" s="100" t="str">
        <f aca="false">IF(A73="","",COUNTIF(DITARI!$C:$C,A73))</f>
        <v/>
      </c>
      <c r="G73" s="473"/>
    </row>
    <row r="74" customFormat="false" ht="14.25" hidden="false" customHeight="true" outlineLevel="0" collapsed="false">
      <c r="A74" s="470" t="str">
        <f aca="false">IF(COUNTIF(DITARI!$C$6:C76,DITARI!C76)=1,DITARI!C76,"")</f>
        <v/>
      </c>
      <c r="B74" s="100" t="str">
        <f aca="false">IF(A74="","",IF(ABS(SUMIF(DITARI!$C:$C,A74,DITARI!$F:$F)-SUMIF(DITARI!$C:$C,A74,DITARI!$G:$G))&lt;0.005,"OK","ERROR"))</f>
        <v/>
      </c>
      <c r="C74" s="471" t="str">
        <f aca="false">IF(A74="","",SUMIF(DITARI!$C:$C,A74,DITARI!$F:$F))</f>
        <v/>
      </c>
      <c r="D74" s="471" t="str">
        <f aca="false">IF(A74="","",SUMIF(DITARI!$C:$C,A74,DITARI!$G:$G))</f>
        <v/>
      </c>
      <c r="E74" s="472" t="str">
        <f aca="false">IF(A74="","",C74-D74)</f>
        <v/>
      </c>
      <c r="F74" s="100" t="str">
        <f aca="false">IF(A74="","",COUNTIF(DITARI!$C:$C,A74))</f>
        <v/>
      </c>
      <c r="G74" s="473"/>
    </row>
    <row r="75" customFormat="false" ht="14.25" hidden="false" customHeight="true" outlineLevel="0" collapsed="false">
      <c r="A75" s="470" t="str">
        <f aca="false">IF(COUNTIF(DITARI!$C$6:C77,DITARI!C77)=1,DITARI!C77,"")</f>
        <v/>
      </c>
      <c r="B75" s="100" t="str">
        <f aca="false">IF(A75="","",IF(ABS(SUMIF(DITARI!$C:$C,A75,DITARI!$F:$F)-SUMIF(DITARI!$C:$C,A75,DITARI!$G:$G))&lt;0.005,"OK","ERROR"))</f>
        <v/>
      </c>
      <c r="C75" s="471" t="str">
        <f aca="false">IF(A75="","",SUMIF(DITARI!$C:$C,A75,DITARI!$F:$F))</f>
        <v/>
      </c>
      <c r="D75" s="471" t="str">
        <f aca="false">IF(A75="","",SUMIF(DITARI!$C:$C,A75,DITARI!$G:$G))</f>
        <v/>
      </c>
      <c r="E75" s="472" t="str">
        <f aca="false">IF(A75="","",C75-D75)</f>
        <v/>
      </c>
      <c r="F75" s="100" t="str">
        <f aca="false">IF(A75="","",COUNTIF(DITARI!$C:$C,A75))</f>
        <v/>
      </c>
      <c r="G75" s="473"/>
    </row>
    <row r="76" customFormat="false" ht="14.25" hidden="false" customHeight="true" outlineLevel="0" collapsed="false">
      <c r="A76" s="470" t="str">
        <f aca="false">IF(COUNTIF(DITARI!$C$6:C78,DITARI!C78)=1,DITARI!C78,"")</f>
        <v/>
      </c>
      <c r="B76" s="100" t="str">
        <f aca="false">IF(A76="","",IF(ABS(SUMIF(DITARI!$C:$C,A76,DITARI!$F:$F)-SUMIF(DITARI!$C:$C,A76,DITARI!$G:$G))&lt;0.005,"OK","ERROR"))</f>
        <v/>
      </c>
      <c r="C76" s="471" t="str">
        <f aca="false">IF(A76="","",SUMIF(DITARI!$C:$C,A76,DITARI!$F:$F))</f>
        <v/>
      </c>
      <c r="D76" s="471" t="str">
        <f aca="false">IF(A76="","",SUMIF(DITARI!$C:$C,A76,DITARI!$G:$G))</f>
        <v/>
      </c>
      <c r="E76" s="472" t="str">
        <f aca="false">IF(A76="","",C76-D76)</f>
        <v/>
      </c>
      <c r="F76" s="100" t="str">
        <f aca="false">IF(A76="","",COUNTIF(DITARI!$C:$C,A76))</f>
        <v/>
      </c>
      <c r="G76" s="473"/>
    </row>
    <row r="77" customFormat="false" ht="14.25" hidden="false" customHeight="true" outlineLevel="0" collapsed="false">
      <c r="A77" s="470" t="str">
        <f aca="false">IF(COUNTIF(DITARI!$C$6:C79,DITARI!C79)=1,DITARI!C79,"")</f>
        <v/>
      </c>
      <c r="B77" s="100" t="str">
        <f aca="false">IF(A77="","",IF(ABS(SUMIF(DITARI!$C:$C,A77,DITARI!$F:$F)-SUMIF(DITARI!$C:$C,A77,DITARI!$G:$G))&lt;0.005,"OK","ERROR"))</f>
        <v/>
      </c>
      <c r="C77" s="471" t="str">
        <f aca="false">IF(A77="","",SUMIF(DITARI!$C:$C,A77,DITARI!$F:$F))</f>
        <v/>
      </c>
      <c r="D77" s="471" t="str">
        <f aca="false">IF(A77="","",SUMIF(DITARI!$C:$C,A77,DITARI!$G:$G))</f>
        <v/>
      </c>
      <c r="E77" s="472" t="str">
        <f aca="false">IF(A77="","",C77-D77)</f>
        <v/>
      </c>
      <c r="F77" s="100" t="str">
        <f aca="false">IF(A77="","",COUNTIF(DITARI!$C:$C,A77))</f>
        <v/>
      </c>
      <c r="G77" s="473"/>
    </row>
    <row r="78" customFormat="false" ht="14.25" hidden="false" customHeight="true" outlineLevel="0" collapsed="false">
      <c r="A78" s="470" t="str">
        <f aca="false">IF(COUNTIF(DITARI!$C$6:C80,DITARI!C80)=1,DITARI!C80,"")</f>
        <v/>
      </c>
      <c r="B78" s="100" t="str">
        <f aca="false">IF(A78="","",IF(ABS(SUMIF(DITARI!$C:$C,A78,DITARI!$F:$F)-SUMIF(DITARI!$C:$C,A78,DITARI!$G:$G))&lt;0.005,"OK","ERROR"))</f>
        <v/>
      </c>
      <c r="C78" s="471" t="str">
        <f aca="false">IF(A78="","",SUMIF(DITARI!$C:$C,A78,DITARI!$F:$F))</f>
        <v/>
      </c>
      <c r="D78" s="471" t="str">
        <f aca="false">IF(A78="","",SUMIF(DITARI!$C:$C,A78,DITARI!$G:$G))</f>
        <v/>
      </c>
      <c r="E78" s="472" t="str">
        <f aca="false">IF(A78="","",C78-D78)</f>
        <v/>
      </c>
      <c r="F78" s="100" t="str">
        <f aca="false">IF(A78="","",COUNTIF(DITARI!$C:$C,A78))</f>
        <v/>
      </c>
      <c r="G78" s="473"/>
    </row>
    <row r="79" customFormat="false" ht="14.25" hidden="false" customHeight="true" outlineLevel="0" collapsed="false">
      <c r="A79" s="470" t="str">
        <f aca="false">IF(COUNTIF(DITARI!$C$6:C81,DITARI!C81)=1,DITARI!C81,"")</f>
        <v/>
      </c>
      <c r="B79" s="100" t="str">
        <f aca="false">IF(A79="","",IF(ABS(SUMIF(DITARI!$C:$C,A79,DITARI!$F:$F)-SUMIF(DITARI!$C:$C,A79,DITARI!$G:$G))&lt;0.005,"OK","ERROR"))</f>
        <v/>
      </c>
      <c r="C79" s="471" t="str">
        <f aca="false">IF(A79="","",SUMIF(DITARI!$C:$C,A79,DITARI!$F:$F))</f>
        <v/>
      </c>
      <c r="D79" s="471" t="str">
        <f aca="false">IF(A79="","",SUMIF(DITARI!$C:$C,A79,DITARI!$G:$G))</f>
        <v/>
      </c>
      <c r="E79" s="472" t="str">
        <f aca="false">IF(A79="","",C79-D79)</f>
        <v/>
      </c>
      <c r="F79" s="100" t="str">
        <f aca="false">IF(A79="","",COUNTIF(DITARI!$C:$C,A79))</f>
        <v/>
      </c>
      <c r="G79" s="473"/>
    </row>
    <row r="80" customFormat="false" ht="14.25" hidden="false" customHeight="true" outlineLevel="0" collapsed="false">
      <c r="A80" s="470" t="str">
        <f aca="false">IF(COUNTIF(DITARI!$C$6:C82,DITARI!C82)=1,DITARI!C82,"")</f>
        <v/>
      </c>
      <c r="B80" s="100" t="str">
        <f aca="false">IF(A80="","",IF(ABS(SUMIF(DITARI!$C:$C,A80,DITARI!$F:$F)-SUMIF(DITARI!$C:$C,A80,DITARI!$G:$G))&lt;0.005,"OK","ERROR"))</f>
        <v/>
      </c>
      <c r="C80" s="471" t="str">
        <f aca="false">IF(A80="","",SUMIF(DITARI!$C:$C,A80,DITARI!$F:$F))</f>
        <v/>
      </c>
      <c r="D80" s="471" t="str">
        <f aca="false">IF(A80="","",SUMIF(DITARI!$C:$C,A80,DITARI!$G:$G))</f>
        <v/>
      </c>
      <c r="E80" s="472" t="str">
        <f aca="false">IF(A80="","",C80-D80)</f>
        <v/>
      </c>
      <c r="F80" s="100" t="str">
        <f aca="false">IF(A80="","",COUNTIF(DITARI!$C:$C,A80))</f>
        <v/>
      </c>
      <c r="G80" s="473"/>
    </row>
    <row r="81" customFormat="false" ht="14.25" hidden="false" customHeight="true" outlineLevel="0" collapsed="false">
      <c r="A81" s="470" t="str">
        <f aca="false">IF(COUNTIF(DITARI!$C$6:C83,DITARI!C83)=1,DITARI!C83,"")</f>
        <v/>
      </c>
      <c r="B81" s="100" t="str">
        <f aca="false">IF(A81="","",IF(ABS(SUMIF(DITARI!$C:$C,A81,DITARI!$F:$F)-SUMIF(DITARI!$C:$C,A81,DITARI!$G:$G))&lt;0.005,"OK","ERROR"))</f>
        <v/>
      </c>
      <c r="C81" s="471" t="str">
        <f aca="false">IF(A81="","",SUMIF(DITARI!$C:$C,A81,DITARI!$F:$F))</f>
        <v/>
      </c>
      <c r="D81" s="471" t="str">
        <f aca="false">IF(A81="","",SUMIF(DITARI!$C:$C,A81,DITARI!$G:$G))</f>
        <v/>
      </c>
      <c r="E81" s="472" t="str">
        <f aca="false">IF(A81="","",C81-D81)</f>
        <v/>
      </c>
      <c r="F81" s="100" t="str">
        <f aca="false">IF(A81="","",COUNTIF(DITARI!$C:$C,A81))</f>
        <v/>
      </c>
      <c r="G81" s="473"/>
    </row>
    <row r="82" customFormat="false" ht="14.25" hidden="false" customHeight="true" outlineLevel="0" collapsed="false">
      <c r="A82" s="470" t="str">
        <f aca="false">IF(COUNTIF(DITARI!$C$6:C84,DITARI!C84)=1,DITARI!C84,"")</f>
        <v/>
      </c>
      <c r="B82" s="100" t="str">
        <f aca="false">IF(A82="","",IF(ABS(SUMIF(DITARI!$C:$C,A82,DITARI!$F:$F)-SUMIF(DITARI!$C:$C,A82,DITARI!$G:$G))&lt;0.005,"OK","ERROR"))</f>
        <v/>
      </c>
      <c r="C82" s="471" t="str">
        <f aca="false">IF(A82="","",SUMIF(DITARI!$C:$C,A82,DITARI!$F:$F))</f>
        <v/>
      </c>
      <c r="D82" s="471" t="str">
        <f aca="false">IF(A82="","",SUMIF(DITARI!$C:$C,A82,DITARI!$G:$G))</f>
        <v/>
      </c>
      <c r="E82" s="472" t="str">
        <f aca="false">IF(A82="","",C82-D82)</f>
        <v/>
      </c>
      <c r="F82" s="100" t="str">
        <f aca="false">IF(A82="","",COUNTIF(DITARI!$C:$C,A82))</f>
        <v/>
      </c>
      <c r="G82" s="473"/>
    </row>
    <row r="83" customFormat="false" ht="14.25" hidden="false" customHeight="true" outlineLevel="0" collapsed="false">
      <c r="A83" s="470" t="str">
        <f aca="false">IF(COUNTIF(DITARI!$C$6:C85,DITARI!C85)=1,DITARI!C85,"")</f>
        <v/>
      </c>
      <c r="B83" s="100" t="str">
        <f aca="false">IF(A83="","",IF(ABS(SUMIF(DITARI!$C:$C,A83,DITARI!$F:$F)-SUMIF(DITARI!$C:$C,A83,DITARI!$G:$G))&lt;0.005,"OK","ERROR"))</f>
        <v/>
      </c>
      <c r="C83" s="471" t="str">
        <f aca="false">IF(A83="","",SUMIF(DITARI!$C:$C,A83,DITARI!$F:$F))</f>
        <v/>
      </c>
      <c r="D83" s="471" t="str">
        <f aca="false">IF(A83="","",SUMIF(DITARI!$C:$C,A83,DITARI!$G:$G))</f>
        <v/>
      </c>
      <c r="E83" s="472" t="str">
        <f aca="false">IF(A83="","",C83-D83)</f>
        <v/>
      </c>
      <c r="F83" s="100" t="str">
        <f aca="false">IF(A83="","",COUNTIF(DITARI!$C:$C,A83))</f>
        <v/>
      </c>
      <c r="G83" s="473"/>
    </row>
    <row r="84" customFormat="false" ht="14.25" hidden="false" customHeight="true" outlineLevel="0" collapsed="false">
      <c r="A84" s="470" t="str">
        <f aca="false">IF(COUNTIF(DITARI!$C$6:C86,DITARI!C86)=1,DITARI!C86,"")</f>
        <v/>
      </c>
      <c r="B84" s="100" t="str">
        <f aca="false">IF(A84="","",IF(ABS(SUMIF(DITARI!$C:$C,A84,DITARI!$F:$F)-SUMIF(DITARI!$C:$C,A84,DITARI!$G:$G))&lt;0.005,"OK","ERROR"))</f>
        <v/>
      </c>
      <c r="C84" s="471" t="str">
        <f aca="false">IF(A84="","",SUMIF(DITARI!$C:$C,A84,DITARI!$F:$F))</f>
        <v/>
      </c>
      <c r="D84" s="471" t="str">
        <f aca="false">IF(A84="","",SUMIF(DITARI!$C:$C,A84,DITARI!$G:$G))</f>
        <v/>
      </c>
      <c r="E84" s="472" t="str">
        <f aca="false">IF(A84="","",C84-D84)</f>
        <v/>
      </c>
      <c r="F84" s="100" t="str">
        <f aca="false">IF(A84="","",COUNTIF(DITARI!$C:$C,A84))</f>
        <v/>
      </c>
      <c r="G84" s="473"/>
    </row>
    <row r="85" customFormat="false" ht="14.25" hidden="false" customHeight="true" outlineLevel="0" collapsed="false">
      <c r="A85" s="470" t="str">
        <f aca="false">IF(COUNTIF(DITARI!$C$6:C87,DITARI!C87)=1,DITARI!C87,"")</f>
        <v/>
      </c>
      <c r="B85" s="100" t="str">
        <f aca="false">IF(A85="","",IF(ABS(SUMIF(DITARI!$C:$C,A85,DITARI!$F:$F)-SUMIF(DITARI!$C:$C,A85,DITARI!$G:$G))&lt;0.005,"OK","ERROR"))</f>
        <v/>
      </c>
      <c r="C85" s="471" t="str">
        <f aca="false">IF(A85="","",SUMIF(DITARI!$C:$C,A85,DITARI!$F:$F))</f>
        <v/>
      </c>
      <c r="D85" s="471" t="str">
        <f aca="false">IF(A85="","",SUMIF(DITARI!$C:$C,A85,DITARI!$G:$G))</f>
        <v/>
      </c>
      <c r="E85" s="472" t="str">
        <f aca="false">IF(A85="","",C85-D85)</f>
        <v/>
      </c>
      <c r="F85" s="100" t="str">
        <f aca="false">IF(A85="","",COUNTIF(DITARI!$C:$C,A85))</f>
        <v/>
      </c>
      <c r="G85" s="473"/>
    </row>
    <row r="86" customFormat="false" ht="14.25" hidden="false" customHeight="true" outlineLevel="0" collapsed="false">
      <c r="A86" s="470" t="str">
        <f aca="false">IF(COUNTIF(DITARI!$C$6:C88,DITARI!C88)=1,DITARI!C88,"")</f>
        <v/>
      </c>
      <c r="B86" s="100" t="str">
        <f aca="false">IF(A86="","",IF(ABS(SUMIF(DITARI!$C:$C,A86,DITARI!$F:$F)-SUMIF(DITARI!$C:$C,A86,DITARI!$G:$G))&lt;0.005,"OK","ERROR"))</f>
        <v/>
      </c>
      <c r="C86" s="471" t="str">
        <f aca="false">IF(A86="","",SUMIF(DITARI!$C:$C,A86,DITARI!$F:$F))</f>
        <v/>
      </c>
      <c r="D86" s="471" t="str">
        <f aca="false">IF(A86="","",SUMIF(DITARI!$C:$C,A86,DITARI!$G:$G))</f>
        <v/>
      </c>
      <c r="E86" s="472" t="str">
        <f aca="false">IF(A86="","",C86-D86)</f>
        <v/>
      </c>
      <c r="F86" s="100" t="str">
        <f aca="false">IF(A86="","",COUNTIF(DITARI!$C:$C,A86))</f>
        <v/>
      </c>
      <c r="G86" s="473"/>
    </row>
    <row r="87" customFormat="false" ht="14.25" hidden="false" customHeight="true" outlineLevel="0" collapsed="false">
      <c r="A87" s="470" t="str">
        <f aca="false">IF(COUNTIF(DITARI!$C$6:C89,DITARI!C89)=1,DITARI!C89,"")</f>
        <v/>
      </c>
      <c r="B87" s="100" t="str">
        <f aca="false">IF(A87="","",IF(ABS(SUMIF(DITARI!$C:$C,A87,DITARI!$F:$F)-SUMIF(DITARI!$C:$C,A87,DITARI!$G:$G))&lt;0.005,"OK","ERROR"))</f>
        <v/>
      </c>
      <c r="C87" s="471" t="str">
        <f aca="false">IF(A87="","",SUMIF(DITARI!$C:$C,A87,DITARI!$F:$F))</f>
        <v/>
      </c>
      <c r="D87" s="471" t="str">
        <f aca="false">IF(A87="","",SUMIF(DITARI!$C:$C,A87,DITARI!$G:$G))</f>
        <v/>
      </c>
      <c r="E87" s="472" t="str">
        <f aca="false">IF(A87="","",C87-D87)</f>
        <v/>
      </c>
      <c r="F87" s="100" t="str">
        <f aca="false">IF(A87="","",COUNTIF(DITARI!$C:$C,A87))</f>
        <v/>
      </c>
      <c r="G87" s="473"/>
    </row>
    <row r="88" customFormat="false" ht="14.25" hidden="false" customHeight="true" outlineLevel="0" collapsed="false">
      <c r="A88" s="470" t="str">
        <f aca="false">IF(COUNTIF(DITARI!$C$6:C90,DITARI!C90)=1,DITARI!C90,"")</f>
        <v/>
      </c>
      <c r="B88" s="100" t="str">
        <f aca="false">IF(A88="","",IF(ABS(SUMIF(DITARI!$C:$C,A88,DITARI!$F:$F)-SUMIF(DITARI!$C:$C,A88,DITARI!$G:$G))&lt;0.005,"OK","ERROR"))</f>
        <v/>
      </c>
      <c r="C88" s="471" t="str">
        <f aca="false">IF(A88="","",SUMIF(DITARI!$C:$C,A88,DITARI!$F:$F))</f>
        <v/>
      </c>
      <c r="D88" s="471" t="str">
        <f aca="false">IF(A88="","",SUMIF(DITARI!$C:$C,A88,DITARI!$G:$G))</f>
        <v/>
      </c>
      <c r="E88" s="472" t="str">
        <f aca="false">IF(A88="","",C88-D88)</f>
        <v/>
      </c>
      <c r="F88" s="100" t="str">
        <f aca="false">IF(A88="","",COUNTIF(DITARI!$C:$C,A88))</f>
        <v/>
      </c>
      <c r="G88" s="473"/>
    </row>
    <row r="89" customFormat="false" ht="14.25" hidden="false" customHeight="true" outlineLevel="0" collapsed="false">
      <c r="A89" s="470" t="str">
        <f aca="false">IF(COUNTIF(DITARI!$C$6:C91,DITARI!C91)=1,DITARI!C91,"")</f>
        <v/>
      </c>
      <c r="B89" s="100" t="str">
        <f aca="false">IF(A89="","",IF(ABS(SUMIF(DITARI!$C:$C,A89,DITARI!$F:$F)-SUMIF(DITARI!$C:$C,A89,DITARI!$G:$G))&lt;0.005,"OK","ERROR"))</f>
        <v/>
      </c>
      <c r="C89" s="471" t="str">
        <f aca="false">IF(A89="","",SUMIF(DITARI!$C:$C,A89,DITARI!$F:$F))</f>
        <v/>
      </c>
      <c r="D89" s="471" t="str">
        <f aca="false">IF(A89="","",SUMIF(DITARI!$C:$C,A89,DITARI!$G:$G))</f>
        <v/>
      </c>
      <c r="E89" s="472" t="str">
        <f aca="false">IF(A89="","",C89-D89)</f>
        <v/>
      </c>
      <c r="F89" s="100" t="str">
        <f aca="false">IF(A89="","",COUNTIF(DITARI!$C:$C,A89))</f>
        <v/>
      </c>
      <c r="G89" s="473"/>
    </row>
    <row r="90" customFormat="false" ht="14.25" hidden="false" customHeight="true" outlineLevel="0" collapsed="false">
      <c r="A90" s="470" t="str">
        <f aca="false">IF(COUNTIF(DITARI!$C$6:C92,DITARI!C92)=1,DITARI!C92,"")</f>
        <v/>
      </c>
      <c r="B90" s="100" t="str">
        <f aca="false">IF(A90="","",IF(ABS(SUMIF(DITARI!$C:$C,A90,DITARI!$F:$F)-SUMIF(DITARI!$C:$C,A90,DITARI!$G:$G))&lt;0.005,"OK","ERROR"))</f>
        <v/>
      </c>
      <c r="C90" s="471" t="str">
        <f aca="false">IF(A90="","",SUMIF(DITARI!$C:$C,A90,DITARI!$F:$F))</f>
        <v/>
      </c>
      <c r="D90" s="471" t="str">
        <f aca="false">IF(A90="","",SUMIF(DITARI!$C:$C,A90,DITARI!$G:$G))</f>
        <v/>
      </c>
      <c r="E90" s="472" t="str">
        <f aca="false">IF(A90="","",C90-D90)</f>
        <v/>
      </c>
      <c r="F90" s="100" t="str">
        <f aca="false">IF(A90="","",COUNTIF(DITARI!$C:$C,A90))</f>
        <v/>
      </c>
      <c r="G90" s="473"/>
    </row>
    <row r="91" customFormat="false" ht="14.25" hidden="false" customHeight="true" outlineLevel="0" collapsed="false">
      <c r="A91" s="470" t="str">
        <f aca="false">IF(COUNTIF(DITARI!$C$6:C93,DITARI!C93)=1,DITARI!C93,"")</f>
        <v/>
      </c>
      <c r="B91" s="100" t="str">
        <f aca="false">IF(A91="","",IF(ABS(SUMIF(DITARI!$C:$C,A91,DITARI!$F:$F)-SUMIF(DITARI!$C:$C,A91,DITARI!$G:$G))&lt;0.005,"OK","ERROR"))</f>
        <v/>
      </c>
      <c r="C91" s="471" t="str">
        <f aca="false">IF(A91="","",SUMIF(DITARI!$C:$C,A91,DITARI!$F:$F))</f>
        <v/>
      </c>
      <c r="D91" s="471" t="str">
        <f aca="false">IF(A91="","",SUMIF(DITARI!$C:$C,A91,DITARI!$G:$G))</f>
        <v/>
      </c>
      <c r="E91" s="472" t="str">
        <f aca="false">IF(A91="","",C91-D91)</f>
        <v/>
      </c>
      <c r="F91" s="100" t="str">
        <f aca="false">IF(A91="","",COUNTIF(DITARI!$C:$C,A91))</f>
        <v/>
      </c>
      <c r="G91" s="473"/>
    </row>
    <row r="92" customFormat="false" ht="14.25" hidden="false" customHeight="true" outlineLevel="0" collapsed="false">
      <c r="A92" s="470" t="str">
        <f aca="false">IF(COUNTIF(DITARI!$C$6:C94,DITARI!C94)=1,DITARI!C94,"")</f>
        <v/>
      </c>
      <c r="B92" s="100" t="str">
        <f aca="false">IF(A92="","",IF(ABS(SUMIF(DITARI!$C:$C,A92,DITARI!$F:$F)-SUMIF(DITARI!$C:$C,A92,DITARI!$G:$G))&lt;0.005,"OK","ERROR"))</f>
        <v/>
      </c>
      <c r="C92" s="471" t="str">
        <f aca="false">IF(A92="","",SUMIF(DITARI!$C:$C,A92,DITARI!$F:$F))</f>
        <v/>
      </c>
      <c r="D92" s="471" t="str">
        <f aca="false">IF(A92="","",SUMIF(DITARI!$C:$C,A92,DITARI!$G:$G))</f>
        <v/>
      </c>
      <c r="E92" s="472" t="str">
        <f aca="false">IF(A92="","",C92-D92)</f>
        <v/>
      </c>
      <c r="F92" s="100" t="str">
        <f aca="false">IF(A92="","",COUNTIF(DITARI!$C:$C,A92))</f>
        <v/>
      </c>
      <c r="G92" s="473"/>
    </row>
    <row r="93" customFormat="false" ht="14.25" hidden="false" customHeight="true" outlineLevel="0" collapsed="false">
      <c r="A93" s="470" t="str">
        <f aca="false">IF(COUNTIF(DITARI!$C$6:C95,DITARI!C95)=1,DITARI!C95,"")</f>
        <v/>
      </c>
      <c r="B93" s="100" t="str">
        <f aca="false">IF(A93="","",IF(ABS(SUMIF(DITARI!$C:$C,A93,DITARI!$F:$F)-SUMIF(DITARI!$C:$C,A93,DITARI!$G:$G))&lt;0.005,"OK","ERROR"))</f>
        <v/>
      </c>
      <c r="C93" s="471" t="str">
        <f aca="false">IF(A93="","",SUMIF(DITARI!$C:$C,A93,DITARI!$F:$F))</f>
        <v/>
      </c>
      <c r="D93" s="471" t="str">
        <f aca="false">IF(A93="","",SUMIF(DITARI!$C:$C,A93,DITARI!$G:$G))</f>
        <v/>
      </c>
      <c r="E93" s="472" t="str">
        <f aca="false">IF(A93="","",C93-D93)</f>
        <v/>
      </c>
      <c r="F93" s="100" t="str">
        <f aca="false">IF(A93="","",COUNTIF(DITARI!$C:$C,A93))</f>
        <v/>
      </c>
      <c r="G93" s="473"/>
    </row>
    <row r="94" customFormat="false" ht="14.25" hidden="false" customHeight="true" outlineLevel="0" collapsed="false">
      <c r="A94" s="470" t="str">
        <f aca="false">IF(COUNTIF(DITARI!$C$6:C96,DITARI!C96)=1,DITARI!C96,"")</f>
        <v/>
      </c>
      <c r="B94" s="100" t="str">
        <f aca="false">IF(A94="","",IF(ABS(SUMIF(DITARI!$C:$C,A94,DITARI!$F:$F)-SUMIF(DITARI!$C:$C,A94,DITARI!$G:$G))&lt;0.005,"OK","ERROR"))</f>
        <v/>
      </c>
      <c r="C94" s="471" t="str">
        <f aca="false">IF(A94="","",SUMIF(DITARI!$C:$C,A94,DITARI!$F:$F))</f>
        <v/>
      </c>
      <c r="D94" s="471" t="str">
        <f aca="false">IF(A94="","",SUMIF(DITARI!$C:$C,A94,DITARI!$G:$G))</f>
        <v/>
      </c>
      <c r="E94" s="472" t="str">
        <f aca="false">IF(A94="","",C94-D94)</f>
        <v/>
      </c>
      <c r="F94" s="100" t="str">
        <f aca="false">IF(A94="","",COUNTIF(DITARI!$C:$C,A94))</f>
        <v/>
      </c>
      <c r="G94" s="473"/>
    </row>
    <row r="95" customFormat="false" ht="14.25" hidden="false" customHeight="true" outlineLevel="0" collapsed="false">
      <c r="A95" s="470" t="str">
        <f aca="false">IF(COUNTIF(DITARI!$C$6:C97,DITARI!C97)=1,DITARI!C97,"")</f>
        <v/>
      </c>
      <c r="B95" s="100" t="str">
        <f aca="false">IF(A95="","",IF(ABS(SUMIF(DITARI!$C:$C,A95,DITARI!$F:$F)-SUMIF(DITARI!$C:$C,A95,DITARI!$G:$G))&lt;0.005,"OK","ERROR"))</f>
        <v/>
      </c>
      <c r="C95" s="471" t="str">
        <f aca="false">IF(A95="","",SUMIF(DITARI!$C:$C,A95,DITARI!$F:$F))</f>
        <v/>
      </c>
      <c r="D95" s="471" t="str">
        <f aca="false">IF(A95="","",SUMIF(DITARI!$C:$C,A95,DITARI!$G:$G))</f>
        <v/>
      </c>
      <c r="E95" s="472" t="str">
        <f aca="false">IF(A95="","",C95-D95)</f>
        <v/>
      </c>
      <c r="F95" s="100" t="str">
        <f aca="false">IF(A95="","",COUNTIF(DITARI!$C:$C,A95))</f>
        <v/>
      </c>
      <c r="G95" s="473"/>
    </row>
    <row r="96" customFormat="false" ht="14.25" hidden="false" customHeight="true" outlineLevel="0" collapsed="false">
      <c r="A96" s="470" t="str">
        <f aca="false">IF(COUNTIF(DITARI!$C$6:C98,DITARI!C98)=1,DITARI!C98,"")</f>
        <v/>
      </c>
      <c r="B96" s="100" t="str">
        <f aca="false">IF(A96="","",IF(ABS(SUMIF(DITARI!$C:$C,A96,DITARI!$F:$F)-SUMIF(DITARI!$C:$C,A96,DITARI!$G:$G))&lt;0.005,"OK","ERROR"))</f>
        <v/>
      </c>
      <c r="C96" s="471" t="str">
        <f aca="false">IF(A96="","",SUMIF(DITARI!$C:$C,A96,DITARI!$F:$F))</f>
        <v/>
      </c>
      <c r="D96" s="471" t="str">
        <f aca="false">IF(A96="","",SUMIF(DITARI!$C:$C,A96,DITARI!$G:$G))</f>
        <v/>
      </c>
      <c r="E96" s="472" t="str">
        <f aca="false">IF(A96="","",C96-D96)</f>
        <v/>
      </c>
      <c r="F96" s="100" t="str">
        <f aca="false">IF(A96="","",COUNTIF(DITARI!$C:$C,A96))</f>
        <v/>
      </c>
      <c r="G96" s="473"/>
    </row>
    <row r="97" customFormat="false" ht="14.25" hidden="false" customHeight="true" outlineLevel="0" collapsed="false">
      <c r="A97" s="470" t="str">
        <f aca="false">IF(COUNTIF(DITARI!$C$6:C99,DITARI!C99)=1,DITARI!C99,"")</f>
        <v/>
      </c>
      <c r="B97" s="100" t="str">
        <f aca="false">IF(A97="","",IF(ABS(SUMIF(DITARI!$C:$C,A97,DITARI!$F:$F)-SUMIF(DITARI!$C:$C,A97,DITARI!$G:$G))&lt;0.005,"OK","ERROR"))</f>
        <v/>
      </c>
      <c r="C97" s="471" t="str">
        <f aca="false">IF(A97="","",SUMIF(DITARI!$C:$C,A97,DITARI!$F:$F))</f>
        <v/>
      </c>
      <c r="D97" s="471" t="str">
        <f aca="false">IF(A97="","",SUMIF(DITARI!$C:$C,A97,DITARI!$G:$G))</f>
        <v/>
      </c>
      <c r="E97" s="472" t="str">
        <f aca="false">IF(A97="","",C97-D97)</f>
        <v/>
      </c>
      <c r="F97" s="100" t="str">
        <f aca="false">IF(A97="","",COUNTIF(DITARI!$C:$C,A97))</f>
        <v/>
      </c>
      <c r="G97" s="473"/>
    </row>
    <row r="98" customFormat="false" ht="14.25" hidden="false" customHeight="true" outlineLevel="0" collapsed="false">
      <c r="A98" s="470" t="str">
        <f aca="false">IF(COUNTIF(DITARI!$C$6:C100,DITARI!C100)=1,DITARI!C100,"")</f>
        <v/>
      </c>
      <c r="B98" s="100" t="str">
        <f aca="false">IF(A98="","",IF(ABS(SUMIF(DITARI!$C:$C,A98,DITARI!$F:$F)-SUMIF(DITARI!$C:$C,A98,DITARI!$G:$G))&lt;0.005,"OK","ERROR"))</f>
        <v/>
      </c>
      <c r="C98" s="471" t="str">
        <f aca="false">IF(A98="","",SUMIF(DITARI!$C:$C,A98,DITARI!$F:$F))</f>
        <v/>
      </c>
      <c r="D98" s="471" t="str">
        <f aca="false">IF(A98="","",SUMIF(DITARI!$C:$C,A98,DITARI!$G:$G))</f>
        <v/>
      </c>
      <c r="E98" s="472" t="str">
        <f aca="false">IF(A98="","",C98-D98)</f>
        <v/>
      </c>
      <c r="F98" s="100" t="str">
        <f aca="false">IF(A98="","",COUNTIF(DITARI!$C:$C,A98))</f>
        <v/>
      </c>
      <c r="G98" s="473"/>
    </row>
    <row r="99" customFormat="false" ht="14.25" hidden="false" customHeight="true" outlineLevel="0" collapsed="false">
      <c r="A99" s="470" t="str">
        <f aca="false">IF(COUNTIF(DITARI!$C$6:C101,DITARI!C101)=1,DITARI!C101,"")</f>
        <v/>
      </c>
      <c r="B99" s="100" t="str">
        <f aca="false">IF(A99="","",IF(ABS(SUMIF(DITARI!$C:$C,A99,DITARI!$F:$F)-SUMIF(DITARI!$C:$C,A99,DITARI!$G:$G))&lt;0.005,"OK","ERROR"))</f>
        <v/>
      </c>
      <c r="C99" s="471" t="str">
        <f aca="false">IF(A99="","",SUMIF(DITARI!$C:$C,A99,DITARI!$F:$F))</f>
        <v/>
      </c>
      <c r="D99" s="471" t="str">
        <f aca="false">IF(A99="","",SUMIF(DITARI!$C:$C,A99,DITARI!$G:$G))</f>
        <v/>
      </c>
      <c r="E99" s="472" t="str">
        <f aca="false">IF(A99="","",C99-D99)</f>
        <v/>
      </c>
      <c r="F99" s="100" t="str">
        <f aca="false">IF(A99="","",COUNTIF(DITARI!$C:$C,A99))</f>
        <v/>
      </c>
      <c r="G99" s="473"/>
    </row>
    <row r="100" customFormat="false" ht="14.25" hidden="false" customHeight="true" outlineLevel="0" collapsed="false">
      <c r="A100" s="470" t="str">
        <f aca="false">IF(COUNTIF(DITARI!$C$6:C102,DITARI!C102)=1,DITARI!C102,"")</f>
        <v/>
      </c>
      <c r="B100" s="100" t="str">
        <f aca="false">IF(A100="","",IF(ABS(SUMIF(DITARI!$C:$C,A100,DITARI!$F:$F)-SUMIF(DITARI!$C:$C,A100,DITARI!$G:$G))&lt;0.005,"OK","ERROR"))</f>
        <v/>
      </c>
      <c r="C100" s="471" t="str">
        <f aca="false">IF(A100="","",SUMIF(DITARI!$C:$C,A100,DITARI!$F:$F))</f>
        <v/>
      </c>
      <c r="D100" s="471" t="str">
        <f aca="false">IF(A100="","",SUMIF(DITARI!$C:$C,A100,DITARI!$G:$G))</f>
        <v/>
      </c>
      <c r="E100" s="472" t="str">
        <f aca="false">IF(A100="","",C100-D100)</f>
        <v/>
      </c>
      <c r="F100" s="100" t="str">
        <f aca="false">IF(A100="","",COUNTIF(DITARI!$C:$C,A100))</f>
        <v/>
      </c>
      <c r="G100" s="473"/>
    </row>
    <row r="101" customFormat="false" ht="14.25" hidden="false" customHeight="true" outlineLevel="0" collapsed="false">
      <c r="A101" s="470" t="str">
        <f aca="false">IF(COUNTIF(DITARI!$C$6:C103,DITARI!C103)=1,DITARI!C103,"")</f>
        <v/>
      </c>
      <c r="B101" s="100" t="str">
        <f aca="false">IF(A101="","",IF(ABS(SUMIF(DITARI!$C:$C,A101,DITARI!$F:$F)-SUMIF(DITARI!$C:$C,A101,DITARI!$G:$G))&lt;0.005,"OK","ERROR"))</f>
        <v/>
      </c>
      <c r="C101" s="471" t="str">
        <f aca="false">IF(A101="","",SUMIF(DITARI!$C:$C,A101,DITARI!$F:$F))</f>
        <v/>
      </c>
      <c r="D101" s="471" t="str">
        <f aca="false">IF(A101="","",SUMIF(DITARI!$C:$C,A101,DITARI!$G:$G))</f>
        <v/>
      </c>
      <c r="E101" s="472" t="str">
        <f aca="false">IF(A101="","",C101-D101)</f>
        <v/>
      </c>
      <c r="F101" s="100" t="str">
        <f aca="false">IF(A101="","",COUNTIF(DITARI!$C:$C,A101))</f>
        <v/>
      </c>
      <c r="G101" s="473"/>
    </row>
    <row r="102" customFormat="false" ht="14.25" hidden="false" customHeight="true" outlineLevel="0" collapsed="false">
      <c r="A102" s="470" t="str">
        <f aca="false">IF(COUNTIF(DITARI!$C$6:C104,DITARI!C104)=1,DITARI!C104,"")</f>
        <v/>
      </c>
      <c r="B102" s="100" t="str">
        <f aca="false">IF(A102="","",IF(ABS(SUMIF(DITARI!$C:$C,A102,DITARI!$F:$F)-SUMIF(DITARI!$C:$C,A102,DITARI!$G:$G))&lt;0.005,"OK","ERROR"))</f>
        <v/>
      </c>
      <c r="C102" s="471" t="str">
        <f aca="false">IF(A102="","",SUMIF(DITARI!$C:$C,A102,DITARI!$F:$F))</f>
        <v/>
      </c>
      <c r="D102" s="471" t="str">
        <f aca="false">IF(A102="","",SUMIF(DITARI!$C:$C,A102,DITARI!$G:$G))</f>
        <v/>
      </c>
      <c r="E102" s="472" t="str">
        <f aca="false">IF(A102="","",C102-D102)</f>
        <v/>
      </c>
      <c r="F102" s="100" t="str">
        <f aca="false">IF(A102="","",COUNTIF(DITARI!$C:$C,A102))</f>
        <v/>
      </c>
      <c r="G102" s="473"/>
    </row>
    <row r="103" customFormat="false" ht="14.25" hidden="false" customHeight="true" outlineLevel="0" collapsed="false">
      <c r="A103" s="470" t="str">
        <f aca="false">IF(COUNTIF(DITARI!$C$6:C105,DITARI!C105)=1,DITARI!C105,"")</f>
        <v/>
      </c>
      <c r="B103" s="100" t="str">
        <f aca="false">IF(A103="","",IF(ABS(SUMIF(DITARI!$C:$C,A103,DITARI!$F:$F)-SUMIF(DITARI!$C:$C,A103,DITARI!$G:$G))&lt;0.005,"OK","ERROR"))</f>
        <v/>
      </c>
      <c r="C103" s="471" t="str">
        <f aca="false">IF(A103="","",SUMIF(DITARI!$C:$C,A103,DITARI!$F:$F))</f>
        <v/>
      </c>
      <c r="D103" s="471" t="str">
        <f aca="false">IF(A103="","",SUMIF(DITARI!$C:$C,A103,DITARI!$G:$G))</f>
        <v/>
      </c>
      <c r="E103" s="472" t="str">
        <f aca="false">IF(A103="","",C103-D103)</f>
        <v/>
      </c>
      <c r="F103" s="100" t="str">
        <f aca="false">IF(A103="","",COUNTIF(DITARI!$C:$C,A103))</f>
        <v/>
      </c>
      <c r="G103" s="473"/>
    </row>
    <row r="104" customFormat="false" ht="14.25" hidden="false" customHeight="true" outlineLevel="0" collapsed="false">
      <c r="A104" s="470" t="str">
        <f aca="false">IF(COUNTIF(DITARI!$C$6:C106,DITARI!C106)=1,DITARI!C106,"")</f>
        <v/>
      </c>
      <c r="B104" s="100" t="str">
        <f aca="false">IF(A104="","",IF(ABS(SUMIF(DITARI!$C:$C,A104,DITARI!$F:$F)-SUMIF(DITARI!$C:$C,A104,DITARI!$G:$G))&lt;0.005,"OK","ERROR"))</f>
        <v/>
      </c>
      <c r="C104" s="471" t="str">
        <f aca="false">IF(A104="","",SUMIF(DITARI!$C:$C,A104,DITARI!$F:$F))</f>
        <v/>
      </c>
      <c r="D104" s="471" t="str">
        <f aca="false">IF(A104="","",SUMIF(DITARI!$C:$C,A104,DITARI!$G:$G))</f>
        <v/>
      </c>
      <c r="E104" s="472" t="str">
        <f aca="false">IF(A104="","",C104-D104)</f>
        <v/>
      </c>
      <c r="F104" s="100" t="str">
        <f aca="false">IF(A104="","",COUNTIF(DITARI!$C:$C,A104))</f>
        <v/>
      </c>
      <c r="G104" s="473"/>
    </row>
    <row r="105" customFormat="false" ht="14.25" hidden="false" customHeight="true" outlineLevel="0" collapsed="false">
      <c r="A105" s="470" t="str">
        <f aca="false">IF(COUNTIF(DITARI!$C$6:C107,DITARI!C107)=1,DITARI!C107,"")</f>
        <v/>
      </c>
      <c r="B105" s="100" t="str">
        <f aca="false">IF(A105="","",IF(ABS(SUMIF(DITARI!$C:$C,A105,DITARI!$F:$F)-SUMIF(DITARI!$C:$C,A105,DITARI!$G:$G))&lt;0.005,"OK","ERROR"))</f>
        <v/>
      </c>
      <c r="C105" s="471" t="str">
        <f aca="false">IF(A105="","",SUMIF(DITARI!$C:$C,A105,DITARI!$F:$F))</f>
        <v/>
      </c>
      <c r="D105" s="471" t="str">
        <f aca="false">IF(A105="","",SUMIF(DITARI!$C:$C,A105,DITARI!$G:$G))</f>
        <v/>
      </c>
      <c r="E105" s="472" t="str">
        <f aca="false">IF(A105="","",C105-D105)</f>
        <v/>
      </c>
      <c r="F105" s="100" t="str">
        <f aca="false">IF(A105="","",COUNTIF(DITARI!$C:$C,A105))</f>
        <v/>
      </c>
      <c r="G105" s="473"/>
    </row>
    <row r="106" customFormat="false" ht="14.25" hidden="false" customHeight="true" outlineLevel="0" collapsed="false">
      <c r="A106" s="470" t="str">
        <f aca="false">IF(COUNTIF(DITARI!$C$6:C108,DITARI!C108)=1,DITARI!C108,"")</f>
        <v/>
      </c>
      <c r="B106" s="100" t="str">
        <f aca="false">IF(A106="","",IF(ABS(SUMIF(DITARI!$C:$C,A106,DITARI!$F:$F)-SUMIF(DITARI!$C:$C,A106,DITARI!$G:$G))&lt;0.005,"OK","ERROR"))</f>
        <v/>
      </c>
      <c r="C106" s="471" t="str">
        <f aca="false">IF(A106="","",SUMIF(DITARI!$C:$C,A106,DITARI!$F:$F))</f>
        <v/>
      </c>
      <c r="D106" s="471" t="str">
        <f aca="false">IF(A106="","",SUMIF(DITARI!$C:$C,A106,DITARI!$G:$G))</f>
        <v/>
      </c>
      <c r="E106" s="472" t="str">
        <f aca="false">IF(A106="","",C106-D106)</f>
        <v/>
      </c>
      <c r="F106" s="100" t="str">
        <f aca="false">IF(A106="","",COUNTIF(DITARI!$C:$C,A106))</f>
        <v/>
      </c>
      <c r="G106" s="473"/>
    </row>
    <row r="107" customFormat="false" ht="14.25" hidden="false" customHeight="true" outlineLevel="0" collapsed="false">
      <c r="A107" s="470" t="str">
        <f aca="false">IF(COUNTIF(DITARI!$C$6:C109,DITARI!C109)=1,DITARI!C109,"")</f>
        <v/>
      </c>
      <c r="B107" s="100" t="str">
        <f aca="false">IF(A107="","",IF(ABS(SUMIF(DITARI!$C:$C,A107,DITARI!$F:$F)-SUMIF(DITARI!$C:$C,A107,DITARI!$G:$G))&lt;0.005,"OK","ERROR"))</f>
        <v/>
      </c>
      <c r="C107" s="471" t="str">
        <f aca="false">IF(A107="","",SUMIF(DITARI!$C:$C,A107,DITARI!$F:$F))</f>
        <v/>
      </c>
      <c r="D107" s="471" t="str">
        <f aca="false">IF(A107="","",SUMIF(DITARI!$C:$C,A107,DITARI!$G:$G))</f>
        <v/>
      </c>
      <c r="E107" s="472" t="str">
        <f aca="false">IF(A107="","",C107-D107)</f>
        <v/>
      </c>
      <c r="F107" s="100" t="str">
        <f aca="false">IF(A107="","",COUNTIF(DITARI!$C:$C,A107))</f>
        <v/>
      </c>
      <c r="G107" s="473"/>
    </row>
    <row r="108" customFormat="false" ht="14.25" hidden="false" customHeight="true" outlineLevel="0" collapsed="false">
      <c r="A108" s="470" t="str">
        <f aca="false">IF(COUNTIF(DITARI!$C$6:C110,DITARI!C110)=1,DITARI!C110,"")</f>
        <v/>
      </c>
      <c r="B108" s="100" t="str">
        <f aca="false">IF(A108="","",IF(ABS(SUMIF(DITARI!$C:$C,A108,DITARI!$F:$F)-SUMIF(DITARI!$C:$C,A108,DITARI!$G:$G))&lt;0.005,"OK","ERROR"))</f>
        <v/>
      </c>
      <c r="C108" s="471" t="str">
        <f aca="false">IF(A108="","",SUMIF(DITARI!$C:$C,A108,DITARI!$F:$F))</f>
        <v/>
      </c>
      <c r="D108" s="471" t="str">
        <f aca="false">IF(A108="","",SUMIF(DITARI!$C:$C,A108,DITARI!$G:$G))</f>
        <v/>
      </c>
      <c r="E108" s="472" t="str">
        <f aca="false">IF(A108="","",C108-D108)</f>
        <v/>
      </c>
      <c r="F108" s="100" t="str">
        <f aca="false">IF(A108="","",COUNTIF(DITARI!$C:$C,A108))</f>
        <v/>
      </c>
      <c r="G108" s="473"/>
    </row>
    <row r="109" customFormat="false" ht="14.25" hidden="false" customHeight="true" outlineLevel="0" collapsed="false">
      <c r="A109" s="470" t="str">
        <f aca="false">IF(COUNTIF(DITARI!$C$6:C111,DITARI!C111)=1,DITARI!C111,"")</f>
        <v/>
      </c>
      <c r="B109" s="100" t="str">
        <f aca="false">IF(A109="","",IF(ABS(SUMIF(DITARI!$C:$C,A109,DITARI!$F:$F)-SUMIF(DITARI!$C:$C,A109,DITARI!$G:$G))&lt;0.005,"OK","ERROR"))</f>
        <v/>
      </c>
      <c r="C109" s="471" t="str">
        <f aca="false">IF(A109="","",SUMIF(DITARI!$C:$C,A109,DITARI!$F:$F))</f>
        <v/>
      </c>
      <c r="D109" s="471" t="str">
        <f aca="false">IF(A109="","",SUMIF(DITARI!$C:$C,A109,DITARI!$G:$G))</f>
        <v/>
      </c>
      <c r="E109" s="472" t="str">
        <f aca="false">IF(A109="","",C109-D109)</f>
        <v/>
      </c>
      <c r="F109" s="100" t="str">
        <f aca="false">IF(A109="","",COUNTIF(DITARI!$C:$C,A109))</f>
        <v/>
      </c>
      <c r="G109" s="473"/>
    </row>
    <row r="110" customFormat="false" ht="14.25" hidden="false" customHeight="true" outlineLevel="0" collapsed="false">
      <c r="A110" s="470" t="str">
        <f aca="false">IF(COUNTIF(DITARI!$C$6:C112,DITARI!C112)=1,DITARI!C112,"")</f>
        <v/>
      </c>
      <c r="B110" s="100" t="str">
        <f aca="false">IF(A110="","",IF(ABS(SUMIF(DITARI!$C:$C,A110,DITARI!$F:$F)-SUMIF(DITARI!$C:$C,A110,DITARI!$G:$G))&lt;0.005,"OK","ERROR"))</f>
        <v/>
      </c>
      <c r="C110" s="471" t="str">
        <f aca="false">IF(A110="","",SUMIF(DITARI!$C:$C,A110,DITARI!$F:$F))</f>
        <v/>
      </c>
      <c r="D110" s="471" t="str">
        <f aca="false">IF(A110="","",SUMIF(DITARI!$C:$C,A110,DITARI!$G:$G))</f>
        <v/>
      </c>
      <c r="E110" s="472" t="str">
        <f aca="false">IF(A110="","",C110-D110)</f>
        <v/>
      </c>
      <c r="F110" s="100" t="str">
        <f aca="false">IF(A110="","",COUNTIF(DITARI!$C:$C,A110))</f>
        <v/>
      </c>
      <c r="G110" s="473"/>
    </row>
    <row r="111" customFormat="false" ht="14.25" hidden="false" customHeight="true" outlineLevel="0" collapsed="false">
      <c r="A111" s="470" t="str">
        <f aca="false">IF(COUNTIF(DITARI!$C$6:C113,DITARI!C113)=1,DITARI!C113,"")</f>
        <v/>
      </c>
      <c r="B111" s="100" t="str">
        <f aca="false">IF(A111="","",IF(ABS(SUMIF(DITARI!$C:$C,A111,DITARI!$F:$F)-SUMIF(DITARI!$C:$C,A111,DITARI!$G:$G))&lt;0.005,"OK","ERROR"))</f>
        <v/>
      </c>
      <c r="C111" s="471" t="str">
        <f aca="false">IF(A111="","",SUMIF(DITARI!$C:$C,A111,DITARI!$F:$F))</f>
        <v/>
      </c>
      <c r="D111" s="471" t="str">
        <f aca="false">IF(A111="","",SUMIF(DITARI!$C:$C,A111,DITARI!$G:$G))</f>
        <v/>
      </c>
      <c r="E111" s="472" t="str">
        <f aca="false">IF(A111="","",C111-D111)</f>
        <v/>
      </c>
      <c r="F111" s="100" t="str">
        <f aca="false">IF(A111="","",COUNTIF(DITARI!$C:$C,A111))</f>
        <v/>
      </c>
      <c r="G111" s="473"/>
    </row>
    <row r="112" customFormat="false" ht="14.25" hidden="false" customHeight="true" outlineLevel="0" collapsed="false">
      <c r="A112" s="470" t="str">
        <f aca="false">IF(COUNTIF(DITARI!$C$6:C114,DITARI!C114)=1,DITARI!C114,"")</f>
        <v/>
      </c>
      <c r="B112" s="100" t="str">
        <f aca="false">IF(A112="","",IF(ABS(SUMIF(DITARI!$C:$C,A112,DITARI!$F:$F)-SUMIF(DITARI!$C:$C,A112,DITARI!$G:$G))&lt;0.005,"OK","ERROR"))</f>
        <v/>
      </c>
      <c r="C112" s="471" t="str">
        <f aca="false">IF(A112="","",SUMIF(DITARI!$C:$C,A112,DITARI!$F:$F))</f>
        <v/>
      </c>
      <c r="D112" s="471" t="str">
        <f aca="false">IF(A112="","",SUMIF(DITARI!$C:$C,A112,DITARI!$G:$G))</f>
        <v/>
      </c>
      <c r="E112" s="472" t="str">
        <f aca="false">IF(A112="","",C112-D112)</f>
        <v/>
      </c>
      <c r="F112" s="100" t="str">
        <f aca="false">IF(A112="","",COUNTIF(DITARI!$C:$C,A112))</f>
        <v/>
      </c>
      <c r="G112" s="473"/>
    </row>
    <row r="113" customFormat="false" ht="14.25" hidden="false" customHeight="true" outlineLevel="0" collapsed="false">
      <c r="A113" s="470" t="str">
        <f aca="false">IF(COUNTIF(DITARI!$C$6:C115,DITARI!C115)=1,DITARI!C115,"")</f>
        <v/>
      </c>
      <c r="B113" s="100" t="str">
        <f aca="false">IF(A113="","",IF(ABS(SUMIF(DITARI!$C:$C,A113,DITARI!$F:$F)-SUMIF(DITARI!$C:$C,A113,DITARI!$G:$G))&lt;0.005,"OK","ERROR"))</f>
        <v/>
      </c>
      <c r="C113" s="471" t="str">
        <f aca="false">IF(A113="","",SUMIF(DITARI!$C:$C,A113,DITARI!$F:$F))</f>
        <v/>
      </c>
      <c r="D113" s="471" t="str">
        <f aca="false">IF(A113="","",SUMIF(DITARI!$C:$C,A113,DITARI!$G:$G))</f>
        <v/>
      </c>
      <c r="E113" s="472" t="str">
        <f aca="false">IF(A113="","",C113-D113)</f>
        <v/>
      </c>
      <c r="F113" s="100" t="str">
        <f aca="false">IF(A113="","",COUNTIF(DITARI!$C:$C,A113))</f>
        <v/>
      </c>
      <c r="G113" s="473"/>
    </row>
    <row r="114" customFormat="false" ht="14.25" hidden="false" customHeight="true" outlineLevel="0" collapsed="false">
      <c r="A114" s="470" t="str">
        <f aca="false">IF(COUNTIF(DITARI!$C$6:C116,DITARI!C116)=1,DITARI!C116,"")</f>
        <v/>
      </c>
      <c r="B114" s="100" t="str">
        <f aca="false">IF(A114="","",IF(ABS(SUMIF(DITARI!$C:$C,A114,DITARI!$F:$F)-SUMIF(DITARI!$C:$C,A114,DITARI!$G:$G))&lt;0.005,"OK","ERROR"))</f>
        <v/>
      </c>
      <c r="C114" s="471" t="str">
        <f aca="false">IF(A114="","",SUMIF(DITARI!$C:$C,A114,DITARI!$F:$F))</f>
        <v/>
      </c>
      <c r="D114" s="471" t="str">
        <f aca="false">IF(A114="","",SUMIF(DITARI!$C:$C,A114,DITARI!$G:$G))</f>
        <v/>
      </c>
      <c r="E114" s="472" t="str">
        <f aca="false">IF(A114="","",C114-D114)</f>
        <v/>
      </c>
      <c r="F114" s="100" t="str">
        <f aca="false">IF(A114="","",COUNTIF(DITARI!$C:$C,A114))</f>
        <v/>
      </c>
      <c r="G114" s="473"/>
    </row>
    <row r="115" customFormat="false" ht="14.25" hidden="false" customHeight="true" outlineLevel="0" collapsed="false">
      <c r="A115" s="470" t="str">
        <f aca="false">IF(COUNTIF(DITARI!$C$6:C117,DITARI!C117)=1,DITARI!C117,"")</f>
        <v/>
      </c>
      <c r="B115" s="100" t="str">
        <f aca="false">IF(A115="","",IF(ABS(SUMIF(DITARI!$C:$C,A115,DITARI!$F:$F)-SUMIF(DITARI!$C:$C,A115,DITARI!$G:$G))&lt;0.005,"OK","ERROR"))</f>
        <v/>
      </c>
      <c r="C115" s="471" t="str">
        <f aca="false">IF(A115="","",SUMIF(DITARI!$C:$C,A115,DITARI!$F:$F))</f>
        <v/>
      </c>
      <c r="D115" s="471" t="str">
        <f aca="false">IF(A115="","",SUMIF(DITARI!$C:$C,A115,DITARI!$G:$G))</f>
        <v/>
      </c>
      <c r="E115" s="472" t="str">
        <f aca="false">IF(A115="","",C115-D115)</f>
        <v/>
      </c>
      <c r="F115" s="100" t="str">
        <f aca="false">IF(A115="","",COUNTIF(DITARI!$C:$C,A115))</f>
        <v/>
      </c>
      <c r="G115" s="473"/>
    </row>
    <row r="116" customFormat="false" ht="14.25" hidden="false" customHeight="true" outlineLevel="0" collapsed="false">
      <c r="A116" s="470" t="str">
        <f aca="false">IF(COUNTIF(DITARI!$C$6:C118,DITARI!C118)=1,DITARI!C118,"")</f>
        <v/>
      </c>
      <c r="B116" s="100" t="str">
        <f aca="false">IF(A116="","",IF(ABS(SUMIF(DITARI!$C:$C,A116,DITARI!$F:$F)-SUMIF(DITARI!$C:$C,A116,DITARI!$G:$G))&lt;0.005,"OK","ERROR"))</f>
        <v/>
      </c>
      <c r="C116" s="471" t="str">
        <f aca="false">IF(A116="","",SUMIF(DITARI!$C:$C,A116,DITARI!$F:$F))</f>
        <v/>
      </c>
      <c r="D116" s="471" t="str">
        <f aca="false">IF(A116="","",SUMIF(DITARI!$C:$C,A116,DITARI!$G:$G))</f>
        <v/>
      </c>
      <c r="E116" s="472" t="str">
        <f aca="false">IF(A116="","",C116-D116)</f>
        <v/>
      </c>
      <c r="F116" s="100" t="str">
        <f aca="false">IF(A116="","",COUNTIF(DITARI!$C:$C,A116))</f>
        <v/>
      </c>
      <c r="G116" s="473"/>
    </row>
    <row r="117" customFormat="false" ht="14.25" hidden="false" customHeight="true" outlineLevel="0" collapsed="false">
      <c r="A117" s="470" t="str">
        <f aca="false">IF(COUNTIF(DITARI!$C$6:C119,DITARI!C119)=1,DITARI!C119,"")</f>
        <v/>
      </c>
      <c r="B117" s="100" t="str">
        <f aca="false">IF(A117="","",IF(ABS(SUMIF(DITARI!$C:$C,A117,DITARI!$F:$F)-SUMIF(DITARI!$C:$C,A117,DITARI!$G:$G))&lt;0.005,"OK","ERROR"))</f>
        <v/>
      </c>
      <c r="C117" s="471" t="str">
        <f aca="false">IF(A117="","",SUMIF(DITARI!$C:$C,A117,DITARI!$F:$F))</f>
        <v/>
      </c>
      <c r="D117" s="471" t="str">
        <f aca="false">IF(A117="","",SUMIF(DITARI!$C:$C,A117,DITARI!$G:$G))</f>
        <v/>
      </c>
      <c r="E117" s="472" t="str">
        <f aca="false">IF(A117="","",C117-D117)</f>
        <v/>
      </c>
      <c r="F117" s="100" t="str">
        <f aca="false">IF(A117="","",COUNTIF(DITARI!$C:$C,A117))</f>
        <v/>
      </c>
      <c r="G117" s="473"/>
    </row>
    <row r="118" customFormat="false" ht="14.25" hidden="false" customHeight="true" outlineLevel="0" collapsed="false">
      <c r="A118" s="470" t="str">
        <f aca="false">IF(COUNTIF(DITARI!$C$6:C120,DITARI!C120)=1,DITARI!C120,"")</f>
        <v/>
      </c>
      <c r="B118" s="100" t="str">
        <f aca="false">IF(A118="","",IF(ABS(SUMIF(DITARI!$C:$C,A118,DITARI!$F:$F)-SUMIF(DITARI!$C:$C,A118,DITARI!$G:$G))&lt;0.005,"OK","ERROR"))</f>
        <v/>
      </c>
      <c r="C118" s="471" t="str">
        <f aca="false">IF(A118="","",SUMIF(DITARI!$C:$C,A118,DITARI!$F:$F))</f>
        <v/>
      </c>
      <c r="D118" s="471" t="str">
        <f aca="false">IF(A118="","",SUMIF(DITARI!$C:$C,A118,DITARI!$G:$G))</f>
        <v/>
      </c>
      <c r="E118" s="472" t="str">
        <f aca="false">IF(A118="","",C118-D118)</f>
        <v/>
      </c>
      <c r="F118" s="100" t="str">
        <f aca="false">IF(A118="","",COUNTIF(DITARI!$C:$C,A118))</f>
        <v/>
      </c>
      <c r="G118" s="473"/>
    </row>
    <row r="119" customFormat="false" ht="14.25" hidden="false" customHeight="true" outlineLevel="0" collapsed="false">
      <c r="A119" s="470" t="str">
        <f aca="false">IF(COUNTIF(DITARI!$C$6:C121,DITARI!C121)=1,DITARI!C121,"")</f>
        <v/>
      </c>
      <c r="B119" s="100" t="str">
        <f aca="false">IF(A119="","",IF(ABS(SUMIF(DITARI!$C:$C,A119,DITARI!$F:$F)-SUMIF(DITARI!$C:$C,A119,DITARI!$G:$G))&lt;0.005,"OK","ERROR"))</f>
        <v/>
      </c>
      <c r="C119" s="471" t="str">
        <f aca="false">IF(A119="","",SUMIF(DITARI!$C:$C,A119,DITARI!$F:$F))</f>
        <v/>
      </c>
      <c r="D119" s="471" t="str">
        <f aca="false">IF(A119="","",SUMIF(DITARI!$C:$C,A119,DITARI!$G:$G))</f>
        <v/>
      </c>
      <c r="E119" s="472" t="str">
        <f aca="false">IF(A119="","",C119-D119)</f>
        <v/>
      </c>
      <c r="F119" s="100" t="str">
        <f aca="false">IF(A119="","",COUNTIF(DITARI!$C:$C,A119))</f>
        <v/>
      </c>
      <c r="G119" s="473"/>
    </row>
    <row r="120" customFormat="false" ht="14.25" hidden="false" customHeight="true" outlineLevel="0" collapsed="false">
      <c r="A120" s="470" t="str">
        <f aca="false">IF(COUNTIF(DITARI!$C$6:C122,DITARI!C122)=1,DITARI!C122,"")</f>
        <v/>
      </c>
      <c r="B120" s="100" t="str">
        <f aca="false">IF(A120="","",IF(ABS(SUMIF(DITARI!$C:$C,A120,DITARI!$F:$F)-SUMIF(DITARI!$C:$C,A120,DITARI!$G:$G))&lt;0.005,"OK","ERROR"))</f>
        <v/>
      </c>
      <c r="C120" s="471" t="str">
        <f aca="false">IF(A120="","",SUMIF(DITARI!$C:$C,A120,DITARI!$F:$F))</f>
        <v/>
      </c>
      <c r="D120" s="471" t="str">
        <f aca="false">IF(A120="","",SUMIF(DITARI!$C:$C,A120,DITARI!$G:$G))</f>
        <v/>
      </c>
      <c r="E120" s="472" t="str">
        <f aca="false">IF(A120="","",C120-D120)</f>
        <v/>
      </c>
      <c r="F120" s="100" t="str">
        <f aca="false">IF(A120="","",COUNTIF(DITARI!$C:$C,A120))</f>
        <v/>
      </c>
      <c r="G120" s="473"/>
    </row>
    <row r="121" customFormat="false" ht="14.25" hidden="false" customHeight="true" outlineLevel="0" collapsed="false">
      <c r="A121" s="470" t="str">
        <f aca="false">IF(COUNTIF(DITARI!$C$6:C123,DITARI!C123)=1,DITARI!C123,"")</f>
        <v/>
      </c>
      <c r="B121" s="100" t="str">
        <f aca="false">IF(A121="","",IF(ABS(SUMIF(DITARI!$C:$C,A121,DITARI!$F:$F)-SUMIF(DITARI!$C:$C,A121,DITARI!$G:$G))&lt;0.005,"OK","ERROR"))</f>
        <v/>
      </c>
      <c r="C121" s="471" t="str">
        <f aca="false">IF(A121="","",SUMIF(DITARI!$C:$C,A121,DITARI!$F:$F))</f>
        <v/>
      </c>
      <c r="D121" s="471" t="str">
        <f aca="false">IF(A121="","",SUMIF(DITARI!$C:$C,A121,DITARI!$G:$G))</f>
        <v/>
      </c>
      <c r="E121" s="472" t="str">
        <f aca="false">IF(A121="","",C121-D121)</f>
        <v/>
      </c>
      <c r="F121" s="100" t="str">
        <f aca="false">IF(A121="","",COUNTIF(DITARI!$C:$C,A121))</f>
        <v/>
      </c>
      <c r="G121" s="473"/>
    </row>
    <row r="122" customFormat="false" ht="14.25" hidden="false" customHeight="true" outlineLevel="0" collapsed="false">
      <c r="A122" s="470" t="str">
        <f aca="false">IF(COUNTIF(DITARI!$C$6:C124,DITARI!C124)=1,DITARI!C124,"")</f>
        <v/>
      </c>
      <c r="B122" s="100" t="str">
        <f aca="false">IF(A122="","",IF(ABS(SUMIF(DITARI!$C:$C,A122,DITARI!$F:$F)-SUMIF(DITARI!$C:$C,A122,DITARI!$G:$G))&lt;0.005,"OK","ERROR"))</f>
        <v/>
      </c>
      <c r="C122" s="471" t="str">
        <f aca="false">IF(A122="","",SUMIF(DITARI!$C:$C,A122,DITARI!$F:$F))</f>
        <v/>
      </c>
      <c r="D122" s="471" t="str">
        <f aca="false">IF(A122="","",SUMIF(DITARI!$C:$C,A122,DITARI!$G:$G))</f>
        <v/>
      </c>
      <c r="E122" s="472" t="str">
        <f aca="false">IF(A122="","",C122-D122)</f>
        <v/>
      </c>
      <c r="F122" s="100" t="str">
        <f aca="false">IF(A122="","",COUNTIF(DITARI!$C:$C,A122))</f>
        <v/>
      </c>
      <c r="G122" s="473"/>
    </row>
    <row r="123" customFormat="false" ht="14.25" hidden="false" customHeight="true" outlineLevel="0" collapsed="false">
      <c r="A123" s="470" t="str">
        <f aca="false">IF(COUNTIF(DITARI!$C$6:C125,DITARI!C125)=1,DITARI!C125,"")</f>
        <v/>
      </c>
      <c r="B123" s="100" t="str">
        <f aca="false">IF(A123="","",IF(ABS(SUMIF(DITARI!$C:$C,A123,DITARI!$F:$F)-SUMIF(DITARI!$C:$C,A123,DITARI!$G:$G))&lt;0.005,"OK","ERROR"))</f>
        <v/>
      </c>
      <c r="C123" s="471" t="str">
        <f aca="false">IF(A123="","",SUMIF(DITARI!$C:$C,A123,DITARI!$F:$F))</f>
        <v/>
      </c>
      <c r="D123" s="471" t="str">
        <f aca="false">IF(A123="","",SUMIF(DITARI!$C:$C,A123,DITARI!$G:$G))</f>
        <v/>
      </c>
      <c r="E123" s="472" t="str">
        <f aca="false">IF(A123="","",C123-D123)</f>
        <v/>
      </c>
      <c r="F123" s="100" t="str">
        <f aca="false">IF(A123="","",COUNTIF(DITARI!$C:$C,A123))</f>
        <v/>
      </c>
      <c r="G123" s="473"/>
    </row>
    <row r="124" customFormat="false" ht="14.25" hidden="false" customHeight="true" outlineLevel="0" collapsed="false">
      <c r="A124" s="470" t="str">
        <f aca="false">IF(COUNTIF(DITARI!$C$6:C126,DITARI!C126)=1,DITARI!C126,"")</f>
        <v/>
      </c>
      <c r="B124" s="100" t="str">
        <f aca="false">IF(A124="","",IF(ABS(SUMIF(DITARI!$C:$C,A124,DITARI!$F:$F)-SUMIF(DITARI!$C:$C,A124,DITARI!$G:$G))&lt;0.005,"OK","ERROR"))</f>
        <v/>
      </c>
      <c r="C124" s="471" t="str">
        <f aca="false">IF(A124="","",SUMIF(DITARI!$C:$C,A124,DITARI!$F:$F))</f>
        <v/>
      </c>
      <c r="D124" s="471" t="str">
        <f aca="false">IF(A124="","",SUMIF(DITARI!$C:$C,A124,DITARI!$G:$G))</f>
        <v/>
      </c>
      <c r="E124" s="472" t="str">
        <f aca="false">IF(A124="","",C124-D124)</f>
        <v/>
      </c>
      <c r="F124" s="100" t="str">
        <f aca="false">IF(A124="","",COUNTIF(DITARI!$C:$C,A124))</f>
        <v/>
      </c>
      <c r="G124" s="473"/>
    </row>
    <row r="125" customFormat="false" ht="14.25" hidden="false" customHeight="true" outlineLevel="0" collapsed="false">
      <c r="A125" s="470" t="str">
        <f aca="false">IF(COUNTIF(DITARI!$C$6:C127,DITARI!C127)=1,DITARI!C127,"")</f>
        <v/>
      </c>
      <c r="B125" s="100" t="str">
        <f aca="false">IF(A125="","",IF(ABS(SUMIF(DITARI!$C:$C,A125,DITARI!$F:$F)-SUMIF(DITARI!$C:$C,A125,DITARI!$G:$G))&lt;0.005,"OK","ERROR"))</f>
        <v/>
      </c>
      <c r="C125" s="471" t="str">
        <f aca="false">IF(A125="","",SUMIF(DITARI!$C:$C,A125,DITARI!$F:$F))</f>
        <v/>
      </c>
      <c r="D125" s="471" t="str">
        <f aca="false">IF(A125="","",SUMIF(DITARI!$C:$C,A125,DITARI!$G:$G))</f>
        <v/>
      </c>
      <c r="E125" s="472" t="str">
        <f aca="false">IF(A125="","",C125-D125)</f>
        <v/>
      </c>
      <c r="F125" s="100" t="str">
        <f aca="false">IF(A125="","",COUNTIF(DITARI!$C:$C,A125))</f>
        <v/>
      </c>
      <c r="G125" s="473"/>
    </row>
    <row r="126" customFormat="false" ht="14.25" hidden="false" customHeight="true" outlineLevel="0" collapsed="false">
      <c r="A126" s="470" t="str">
        <f aca="false">IF(COUNTIF(DITARI!$C$6:C128,DITARI!C128)=1,DITARI!C128,"")</f>
        <v/>
      </c>
      <c r="B126" s="100" t="str">
        <f aca="false">IF(A126="","",IF(ABS(SUMIF(DITARI!$C:$C,A126,DITARI!$F:$F)-SUMIF(DITARI!$C:$C,A126,DITARI!$G:$G))&lt;0.005,"OK","ERROR"))</f>
        <v/>
      </c>
      <c r="C126" s="471" t="str">
        <f aca="false">IF(A126="","",SUMIF(DITARI!$C:$C,A126,DITARI!$F:$F))</f>
        <v/>
      </c>
      <c r="D126" s="471" t="str">
        <f aca="false">IF(A126="","",SUMIF(DITARI!$C:$C,A126,DITARI!$G:$G))</f>
        <v/>
      </c>
      <c r="E126" s="472" t="str">
        <f aca="false">IF(A126="","",C126-D126)</f>
        <v/>
      </c>
      <c r="F126" s="100" t="str">
        <f aca="false">IF(A126="","",COUNTIF(DITARI!$C:$C,A126))</f>
        <v/>
      </c>
      <c r="G126" s="473"/>
    </row>
    <row r="127" customFormat="false" ht="14.25" hidden="false" customHeight="true" outlineLevel="0" collapsed="false">
      <c r="A127" s="470" t="str">
        <f aca="false">IF(COUNTIF(DITARI!$C$6:C129,DITARI!C129)=1,DITARI!C129,"")</f>
        <v/>
      </c>
      <c r="B127" s="100" t="str">
        <f aca="false">IF(A127="","",IF(ABS(SUMIF(DITARI!$C:$C,A127,DITARI!$F:$F)-SUMIF(DITARI!$C:$C,A127,DITARI!$G:$G))&lt;0.005,"OK","ERROR"))</f>
        <v/>
      </c>
      <c r="C127" s="471" t="str">
        <f aca="false">IF(A127="","",SUMIF(DITARI!$C:$C,A127,DITARI!$F:$F))</f>
        <v/>
      </c>
      <c r="D127" s="471" t="str">
        <f aca="false">IF(A127="","",SUMIF(DITARI!$C:$C,A127,DITARI!$G:$G))</f>
        <v/>
      </c>
      <c r="E127" s="472" t="str">
        <f aca="false">IF(A127="","",C127-D127)</f>
        <v/>
      </c>
      <c r="F127" s="100" t="str">
        <f aca="false">IF(A127="","",COUNTIF(DITARI!$C:$C,A127))</f>
        <v/>
      </c>
      <c r="G127" s="473"/>
    </row>
    <row r="128" customFormat="false" ht="14.25" hidden="false" customHeight="true" outlineLevel="0" collapsed="false">
      <c r="A128" s="470" t="str">
        <f aca="false">IF(COUNTIF(DITARI!$C$6:C130,DITARI!C130)=1,DITARI!C130,"")</f>
        <v/>
      </c>
      <c r="B128" s="100" t="str">
        <f aca="false">IF(A128="","",IF(ABS(SUMIF(DITARI!$C:$C,A128,DITARI!$F:$F)-SUMIF(DITARI!$C:$C,A128,DITARI!$G:$G))&lt;0.005,"OK","ERROR"))</f>
        <v/>
      </c>
      <c r="C128" s="471" t="str">
        <f aca="false">IF(A128="","",SUMIF(DITARI!$C:$C,A128,DITARI!$F:$F))</f>
        <v/>
      </c>
      <c r="D128" s="471" t="str">
        <f aca="false">IF(A128="","",SUMIF(DITARI!$C:$C,A128,DITARI!$G:$G))</f>
        <v/>
      </c>
      <c r="E128" s="472" t="str">
        <f aca="false">IF(A128="","",C128-D128)</f>
        <v/>
      </c>
      <c r="F128" s="100" t="str">
        <f aca="false">IF(A128="","",COUNTIF(DITARI!$C:$C,A128))</f>
        <v/>
      </c>
      <c r="G128" s="473"/>
    </row>
    <row r="129" customFormat="false" ht="14.25" hidden="false" customHeight="true" outlineLevel="0" collapsed="false">
      <c r="A129" s="470" t="str">
        <f aca="false">IF(COUNTIF(DITARI!$C$6:C131,DITARI!C131)=1,DITARI!C131,"")</f>
        <v/>
      </c>
      <c r="B129" s="100" t="str">
        <f aca="false">IF(A129="","",IF(ABS(SUMIF(DITARI!$C:$C,A129,DITARI!$F:$F)-SUMIF(DITARI!$C:$C,A129,DITARI!$G:$G))&lt;0.005,"OK","ERROR"))</f>
        <v/>
      </c>
      <c r="C129" s="471" t="str">
        <f aca="false">IF(A129="","",SUMIF(DITARI!$C:$C,A129,DITARI!$F:$F))</f>
        <v/>
      </c>
      <c r="D129" s="471" t="str">
        <f aca="false">IF(A129="","",SUMIF(DITARI!$C:$C,A129,DITARI!$G:$G))</f>
        <v/>
      </c>
      <c r="E129" s="472" t="str">
        <f aca="false">IF(A129="","",C129-D129)</f>
        <v/>
      </c>
      <c r="F129" s="100" t="str">
        <f aca="false">IF(A129="","",COUNTIF(DITARI!$C:$C,A129))</f>
        <v/>
      </c>
      <c r="G129" s="473"/>
    </row>
    <row r="130" customFormat="false" ht="14.25" hidden="false" customHeight="true" outlineLevel="0" collapsed="false">
      <c r="A130" s="470" t="str">
        <f aca="false">IF(COUNTIF(DITARI!$C$6:C132,DITARI!C132)=1,DITARI!C132,"")</f>
        <v/>
      </c>
      <c r="B130" s="100" t="str">
        <f aca="false">IF(A130="","",IF(ABS(SUMIF(DITARI!$C:$C,A130,DITARI!$F:$F)-SUMIF(DITARI!$C:$C,A130,DITARI!$G:$G))&lt;0.005,"OK","ERROR"))</f>
        <v/>
      </c>
      <c r="C130" s="471" t="str">
        <f aca="false">IF(A130="","",SUMIF(DITARI!$C:$C,A130,DITARI!$F:$F))</f>
        <v/>
      </c>
      <c r="D130" s="471" t="str">
        <f aca="false">IF(A130="","",SUMIF(DITARI!$C:$C,A130,DITARI!$G:$G))</f>
        <v/>
      </c>
      <c r="E130" s="472" t="str">
        <f aca="false">IF(A130="","",C130-D130)</f>
        <v/>
      </c>
      <c r="F130" s="100" t="str">
        <f aca="false">IF(A130="","",COUNTIF(DITARI!$C:$C,A130))</f>
        <v/>
      </c>
      <c r="G130" s="473"/>
    </row>
    <row r="131" customFormat="false" ht="14.25" hidden="false" customHeight="true" outlineLevel="0" collapsed="false">
      <c r="A131" s="470" t="str">
        <f aca="false">IF(COUNTIF(DITARI!$C$6:C133,DITARI!C133)=1,DITARI!C133,"")</f>
        <v/>
      </c>
      <c r="B131" s="100" t="str">
        <f aca="false">IF(A131="","",IF(ABS(SUMIF(DITARI!$C:$C,A131,DITARI!$F:$F)-SUMIF(DITARI!$C:$C,A131,DITARI!$G:$G))&lt;0.005,"OK","ERROR"))</f>
        <v/>
      </c>
      <c r="C131" s="471" t="str">
        <f aca="false">IF(A131="","",SUMIF(DITARI!$C:$C,A131,DITARI!$F:$F))</f>
        <v/>
      </c>
      <c r="D131" s="471" t="str">
        <f aca="false">IF(A131="","",SUMIF(DITARI!$C:$C,A131,DITARI!$G:$G))</f>
        <v/>
      </c>
      <c r="E131" s="472" t="str">
        <f aca="false">IF(A131="","",C131-D131)</f>
        <v/>
      </c>
      <c r="F131" s="100" t="str">
        <f aca="false">IF(A131="","",COUNTIF(DITARI!$C:$C,A131))</f>
        <v/>
      </c>
      <c r="G131" s="473"/>
    </row>
    <row r="132" customFormat="false" ht="14.25" hidden="false" customHeight="true" outlineLevel="0" collapsed="false">
      <c r="A132" s="470" t="str">
        <f aca="false">IF(COUNTIF(DITARI!$C$6:C134,DITARI!C134)=1,DITARI!C134,"")</f>
        <v/>
      </c>
      <c r="B132" s="100" t="str">
        <f aca="false">IF(A132="","",IF(ABS(SUMIF(DITARI!$C:$C,A132,DITARI!$F:$F)-SUMIF(DITARI!$C:$C,A132,DITARI!$G:$G))&lt;0.005,"OK","ERROR"))</f>
        <v/>
      </c>
      <c r="C132" s="471" t="str">
        <f aca="false">IF(A132="","",SUMIF(DITARI!$C:$C,A132,DITARI!$F:$F))</f>
        <v/>
      </c>
      <c r="D132" s="471" t="str">
        <f aca="false">IF(A132="","",SUMIF(DITARI!$C:$C,A132,DITARI!$G:$G))</f>
        <v/>
      </c>
      <c r="E132" s="472" t="str">
        <f aca="false">IF(A132="","",C132-D132)</f>
        <v/>
      </c>
      <c r="F132" s="100" t="str">
        <f aca="false">IF(A132="","",COUNTIF(DITARI!$C:$C,A132))</f>
        <v/>
      </c>
      <c r="G132" s="473"/>
    </row>
    <row r="133" customFormat="false" ht="14.25" hidden="false" customHeight="true" outlineLevel="0" collapsed="false">
      <c r="A133" s="470" t="str">
        <f aca="false">IF(COUNTIF(DITARI!$C$6:C135,DITARI!C135)=1,DITARI!C135,"")</f>
        <v/>
      </c>
      <c r="B133" s="100" t="str">
        <f aca="false">IF(A133="","",IF(ABS(SUMIF(DITARI!$C:$C,A133,DITARI!$F:$F)-SUMIF(DITARI!$C:$C,A133,DITARI!$G:$G))&lt;0.005,"OK","ERROR"))</f>
        <v/>
      </c>
      <c r="C133" s="471" t="str">
        <f aca="false">IF(A133="","",SUMIF(DITARI!$C:$C,A133,DITARI!$F:$F))</f>
        <v/>
      </c>
      <c r="D133" s="471" t="str">
        <f aca="false">IF(A133="","",SUMIF(DITARI!$C:$C,A133,DITARI!$G:$G))</f>
        <v/>
      </c>
      <c r="E133" s="472" t="str">
        <f aca="false">IF(A133="","",C133-D133)</f>
        <v/>
      </c>
      <c r="F133" s="100" t="str">
        <f aca="false">IF(A133="","",COUNTIF(DITARI!$C:$C,A133))</f>
        <v/>
      </c>
      <c r="G133" s="473"/>
    </row>
    <row r="134" customFormat="false" ht="14.25" hidden="false" customHeight="true" outlineLevel="0" collapsed="false">
      <c r="A134" s="470" t="str">
        <f aca="false">IF(COUNTIF(DITARI!$C$6:C136,DITARI!C136)=1,DITARI!C136,"")</f>
        <v/>
      </c>
      <c r="B134" s="100" t="str">
        <f aca="false">IF(A134="","",IF(ABS(SUMIF(DITARI!$C:$C,A134,DITARI!$F:$F)-SUMIF(DITARI!$C:$C,A134,DITARI!$G:$G))&lt;0.005,"OK","ERROR"))</f>
        <v/>
      </c>
      <c r="C134" s="471" t="str">
        <f aca="false">IF(A134="","",SUMIF(DITARI!$C:$C,A134,DITARI!$F:$F))</f>
        <v/>
      </c>
      <c r="D134" s="471" t="str">
        <f aca="false">IF(A134="","",SUMIF(DITARI!$C:$C,A134,DITARI!$G:$G))</f>
        <v/>
      </c>
      <c r="E134" s="472" t="str">
        <f aca="false">IF(A134="","",C134-D134)</f>
        <v/>
      </c>
      <c r="F134" s="100" t="str">
        <f aca="false">IF(A134="","",COUNTIF(DITARI!$C:$C,A134))</f>
        <v/>
      </c>
      <c r="G134" s="473"/>
    </row>
    <row r="135" customFormat="false" ht="14.25" hidden="false" customHeight="true" outlineLevel="0" collapsed="false">
      <c r="A135" s="470" t="str">
        <f aca="false">IF(COUNTIF(DITARI!$C$6:C137,DITARI!C137)=1,DITARI!C137,"")</f>
        <v/>
      </c>
      <c r="B135" s="100" t="str">
        <f aca="false">IF(A135="","",IF(ABS(SUMIF(DITARI!$C:$C,A135,DITARI!$F:$F)-SUMIF(DITARI!$C:$C,A135,DITARI!$G:$G))&lt;0.005,"OK","ERROR"))</f>
        <v/>
      </c>
      <c r="C135" s="471" t="str">
        <f aca="false">IF(A135="","",SUMIF(DITARI!$C:$C,A135,DITARI!$F:$F))</f>
        <v/>
      </c>
      <c r="D135" s="471" t="str">
        <f aca="false">IF(A135="","",SUMIF(DITARI!$C:$C,A135,DITARI!$G:$G))</f>
        <v/>
      </c>
      <c r="E135" s="472" t="str">
        <f aca="false">IF(A135="","",C135-D135)</f>
        <v/>
      </c>
      <c r="F135" s="100" t="str">
        <f aca="false">IF(A135="","",COUNTIF(DITARI!$C:$C,A135))</f>
        <v/>
      </c>
      <c r="G135" s="473"/>
    </row>
    <row r="136" customFormat="false" ht="14.25" hidden="false" customHeight="true" outlineLevel="0" collapsed="false">
      <c r="A136" s="470" t="str">
        <f aca="false">IF(COUNTIF(DITARI!$C$6:C138,DITARI!C138)=1,DITARI!C138,"")</f>
        <v/>
      </c>
      <c r="B136" s="100" t="str">
        <f aca="false">IF(A136="","",IF(ABS(SUMIF(DITARI!$C:$C,A136,DITARI!$F:$F)-SUMIF(DITARI!$C:$C,A136,DITARI!$G:$G))&lt;0.005,"OK","ERROR"))</f>
        <v/>
      </c>
      <c r="C136" s="471" t="str">
        <f aca="false">IF(A136="","",SUMIF(DITARI!$C:$C,A136,DITARI!$F:$F))</f>
        <v/>
      </c>
      <c r="D136" s="471" t="str">
        <f aca="false">IF(A136="","",SUMIF(DITARI!$C:$C,A136,DITARI!$G:$G))</f>
        <v/>
      </c>
      <c r="E136" s="472" t="str">
        <f aca="false">IF(A136="","",C136-D136)</f>
        <v/>
      </c>
      <c r="F136" s="100" t="str">
        <f aca="false">IF(A136="","",COUNTIF(DITARI!$C:$C,A136))</f>
        <v/>
      </c>
      <c r="G136" s="473"/>
    </row>
    <row r="137" customFormat="false" ht="14.25" hidden="false" customHeight="true" outlineLevel="0" collapsed="false">
      <c r="A137" s="470" t="str">
        <f aca="false">IF(COUNTIF(DITARI!$C$6:C139,DITARI!C139)=1,DITARI!C139,"")</f>
        <v/>
      </c>
      <c r="B137" s="100" t="str">
        <f aca="false">IF(A137="","",IF(ABS(SUMIF(DITARI!$C:$C,A137,DITARI!$F:$F)-SUMIF(DITARI!$C:$C,A137,DITARI!$G:$G))&lt;0.005,"OK","ERROR"))</f>
        <v/>
      </c>
      <c r="C137" s="471" t="str">
        <f aca="false">IF(A137="","",SUMIF(DITARI!$C:$C,A137,DITARI!$F:$F))</f>
        <v/>
      </c>
      <c r="D137" s="471" t="str">
        <f aca="false">IF(A137="","",SUMIF(DITARI!$C:$C,A137,DITARI!$G:$G))</f>
        <v/>
      </c>
      <c r="E137" s="472" t="str">
        <f aca="false">IF(A137="","",C137-D137)</f>
        <v/>
      </c>
      <c r="F137" s="100" t="str">
        <f aca="false">IF(A137="","",COUNTIF(DITARI!$C:$C,A137))</f>
        <v/>
      </c>
      <c r="G137" s="473"/>
    </row>
    <row r="138" customFormat="false" ht="14.25" hidden="false" customHeight="true" outlineLevel="0" collapsed="false">
      <c r="A138" s="470" t="str">
        <f aca="false">IF(COUNTIF(DITARI!$C$6:C140,DITARI!C140)=1,DITARI!C140,"")</f>
        <v/>
      </c>
      <c r="B138" s="100" t="str">
        <f aca="false">IF(A138="","",IF(ABS(SUMIF(DITARI!$C:$C,A138,DITARI!$F:$F)-SUMIF(DITARI!$C:$C,A138,DITARI!$G:$G))&lt;0.005,"OK","ERROR"))</f>
        <v/>
      </c>
      <c r="C138" s="471" t="str">
        <f aca="false">IF(A138="","",SUMIF(DITARI!$C:$C,A138,DITARI!$F:$F))</f>
        <v/>
      </c>
      <c r="D138" s="471" t="str">
        <f aca="false">IF(A138="","",SUMIF(DITARI!$C:$C,A138,DITARI!$G:$G))</f>
        <v/>
      </c>
      <c r="E138" s="472" t="str">
        <f aca="false">IF(A138="","",C138-D138)</f>
        <v/>
      </c>
      <c r="F138" s="100" t="str">
        <f aca="false">IF(A138="","",COUNTIF(DITARI!$C:$C,A138))</f>
        <v/>
      </c>
      <c r="G138" s="473"/>
    </row>
    <row r="139" customFormat="false" ht="14.25" hidden="false" customHeight="true" outlineLevel="0" collapsed="false">
      <c r="A139" s="470" t="str">
        <f aca="false">IF(COUNTIF(DITARI!$C$6:C141,DITARI!C141)=1,DITARI!C141,"")</f>
        <v/>
      </c>
      <c r="B139" s="100" t="str">
        <f aca="false">IF(A139="","",IF(ABS(SUMIF(DITARI!$C:$C,A139,DITARI!$F:$F)-SUMIF(DITARI!$C:$C,A139,DITARI!$G:$G))&lt;0.005,"OK","ERROR"))</f>
        <v/>
      </c>
      <c r="C139" s="471" t="str">
        <f aca="false">IF(A139="","",SUMIF(DITARI!$C:$C,A139,DITARI!$F:$F))</f>
        <v/>
      </c>
      <c r="D139" s="471" t="str">
        <f aca="false">IF(A139="","",SUMIF(DITARI!$C:$C,A139,DITARI!$G:$G))</f>
        <v/>
      </c>
      <c r="E139" s="472" t="str">
        <f aca="false">IF(A139="","",C139-D139)</f>
        <v/>
      </c>
      <c r="F139" s="100" t="str">
        <f aca="false">IF(A139="","",COUNTIF(DITARI!$C:$C,A139))</f>
        <v/>
      </c>
      <c r="G139" s="473"/>
    </row>
    <row r="140" customFormat="false" ht="14.25" hidden="false" customHeight="true" outlineLevel="0" collapsed="false">
      <c r="A140" s="470" t="str">
        <f aca="false">IF(COUNTIF(DITARI!$C$6:C142,DITARI!C142)=1,DITARI!C142,"")</f>
        <v/>
      </c>
      <c r="B140" s="100" t="str">
        <f aca="false">IF(A140="","",IF(ABS(SUMIF(DITARI!$C:$C,A140,DITARI!$F:$F)-SUMIF(DITARI!$C:$C,A140,DITARI!$G:$G))&lt;0.005,"OK","ERROR"))</f>
        <v/>
      </c>
      <c r="C140" s="471" t="str">
        <f aca="false">IF(A140="","",SUMIF(DITARI!$C:$C,A140,DITARI!$F:$F))</f>
        <v/>
      </c>
      <c r="D140" s="471" t="str">
        <f aca="false">IF(A140="","",SUMIF(DITARI!$C:$C,A140,DITARI!$G:$G))</f>
        <v/>
      </c>
      <c r="E140" s="472" t="str">
        <f aca="false">IF(A140="","",C140-D140)</f>
        <v/>
      </c>
      <c r="F140" s="100" t="str">
        <f aca="false">IF(A140="","",COUNTIF(DITARI!$C:$C,A140))</f>
        <v/>
      </c>
      <c r="G140" s="473"/>
    </row>
    <row r="141" customFormat="false" ht="14.25" hidden="false" customHeight="true" outlineLevel="0" collapsed="false">
      <c r="A141" s="470" t="str">
        <f aca="false">IF(COUNTIF(DITARI!$C$6:C143,DITARI!C143)=1,DITARI!C143,"")</f>
        <v/>
      </c>
      <c r="B141" s="100" t="str">
        <f aca="false">IF(A141="","",IF(ABS(SUMIF(DITARI!$C:$C,A141,DITARI!$F:$F)-SUMIF(DITARI!$C:$C,A141,DITARI!$G:$G))&lt;0.005,"OK","ERROR"))</f>
        <v/>
      </c>
      <c r="C141" s="471" t="str">
        <f aca="false">IF(A141="","",SUMIF(DITARI!$C:$C,A141,DITARI!$F:$F))</f>
        <v/>
      </c>
      <c r="D141" s="471" t="str">
        <f aca="false">IF(A141="","",SUMIF(DITARI!$C:$C,A141,DITARI!$G:$G))</f>
        <v/>
      </c>
      <c r="E141" s="472" t="str">
        <f aca="false">IF(A141="","",C141-D141)</f>
        <v/>
      </c>
      <c r="F141" s="100" t="str">
        <f aca="false">IF(A141="","",COUNTIF(DITARI!$C:$C,A141))</f>
        <v/>
      </c>
      <c r="G141" s="473"/>
    </row>
    <row r="142" customFormat="false" ht="14.25" hidden="false" customHeight="true" outlineLevel="0" collapsed="false">
      <c r="A142" s="470" t="str">
        <f aca="false">IF(COUNTIF(DITARI!$C$6:C144,DITARI!C144)=1,DITARI!C144,"")</f>
        <v/>
      </c>
      <c r="B142" s="100" t="str">
        <f aca="false">IF(A142="","",IF(ABS(SUMIF(DITARI!$C:$C,A142,DITARI!$F:$F)-SUMIF(DITARI!$C:$C,A142,DITARI!$G:$G))&lt;0.005,"OK","ERROR"))</f>
        <v/>
      </c>
      <c r="C142" s="471" t="str">
        <f aca="false">IF(A142="","",SUMIF(DITARI!$C:$C,A142,DITARI!$F:$F))</f>
        <v/>
      </c>
      <c r="D142" s="471" t="str">
        <f aca="false">IF(A142="","",SUMIF(DITARI!$C:$C,A142,DITARI!$G:$G))</f>
        <v/>
      </c>
      <c r="E142" s="472" t="str">
        <f aca="false">IF(A142="","",C142-D142)</f>
        <v/>
      </c>
      <c r="F142" s="100" t="str">
        <f aca="false">IF(A142="","",COUNTIF(DITARI!$C:$C,A142))</f>
        <v/>
      </c>
      <c r="G142" s="473"/>
    </row>
    <row r="143" customFormat="false" ht="14.25" hidden="false" customHeight="true" outlineLevel="0" collapsed="false">
      <c r="A143" s="470" t="str">
        <f aca="false">IF(COUNTIF(DITARI!$C$6:C145,DITARI!C145)=1,DITARI!C145,"")</f>
        <v/>
      </c>
      <c r="B143" s="100" t="str">
        <f aca="false">IF(A143="","",IF(ABS(SUMIF(DITARI!$C:$C,A143,DITARI!$F:$F)-SUMIF(DITARI!$C:$C,A143,DITARI!$G:$G))&lt;0.005,"OK","ERROR"))</f>
        <v/>
      </c>
      <c r="C143" s="471" t="str">
        <f aca="false">IF(A143="","",SUMIF(DITARI!$C:$C,A143,DITARI!$F:$F))</f>
        <v/>
      </c>
      <c r="D143" s="471" t="str">
        <f aca="false">IF(A143="","",SUMIF(DITARI!$C:$C,A143,DITARI!$G:$G))</f>
        <v/>
      </c>
      <c r="E143" s="472" t="str">
        <f aca="false">IF(A143="","",C143-D143)</f>
        <v/>
      </c>
      <c r="F143" s="100" t="str">
        <f aca="false">IF(A143="","",COUNTIF(DITARI!$C:$C,A143))</f>
        <v/>
      </c>
      <c r="G143" s="473"/>
    </row>
    <row r="144" customFormat="false" ht="14.25" hidden="false" customHeight="true" outlineLevel="0" collapsed="false">
      <c r="A144" s="470" t="str">
        <f aca="false">IF(COUNTIF(DITARI!$C$6:C146,DITARI!C146)=1,DITARI!C146,"")</f>
        <v/>
      </c>
      <c r="B144" s="100" t="str">
        <f aca="false">IF(A144="","",IF(ABS(SUMIF(DITARI!$C:$C,A144,DITARI!$F:$F)-SUMIF(DITARI!$C:$C,A144,DITARI!$G:$G))&lt;0.005,"OK","ERROR"))</f>
        <v/>
      </c>
      <c r="C144" s="471" t="str">
        <f aca="false">IF(A144="","",SUMIF(DITARI!$C:$C,A144,DITARI!$F:$F))</f>
        <v/>
      </c>
      <c r="D144" s="471" t="str">
        <f aca="false">IF(A144="","",SUMIF(DITARI!$C:$C,A144,DITARI!$G:$G))</f>
        <v/>
      </c>
      <c r="E144" s="472" t="str">
        <f aca="false">IF(A144="","",C144-D144)</f>
        <v/>
      </c>
      <c r="F144" s="100" t="str">
        <f aca="false">IF(A144="","",COUNTIF(DITARI!$C:$C,A144))</f>
        <v/>
      </c>
      <c r="G144" s="473"/>
    </row>
    <row r="145" customFormat="false" ht="14.25" hidden="false" customHeight="true" outlineLevel="0" collapsed="false">
      <c r="A145" s="470" t="str">
        <f aca="false">IF(COUNTIF(DITARI!$C$6:C147,DITARI!C147)=1,DITARI!C147,"")</f>
        <v/>
      </c>
      <c r="B145" s="100" t="str">
        <f aca="false">IF(A145="","",IF(ABS(SUMIF(DITARI!$C:$C,A145,DITARI!$F:$F)-SUMIF(DITARI!$C:$C,A145,DITARI!$G:$G))&lt;0.005,"OK","ERROR"))</f>
        <v/>
      </c>
      <c r="C145" s="471" t="str">
        <f aca="false">IF(A145="","",SUMIF(DITARI!$C:$C,A145,DITARI!$F:$F))</f>
        <v/>
      </c>
      <c r="D145" s="471" t="str">
        <f aca="false">IF(A145="","",SUMIF(DITARI!$C:$C,A145,DITARI!$G:$G))</f>
        <v/>
      </c>
      <c r="E145" s="472" t="str">
        <f aca="false">IF(A145="","",C145-D145)</f>
        <v/>
      </c>
      <c r="F145" s="100" t="str">
        <f aca="false">IF(A145="","",COUNTIF(DITARI!$C:$C,A145))</f>
        <v/>
      </c>
      <c r="G145" s="473"/>
    </row>
    <row r="146" customFormat="false" ht="14.25" hidden="false" customHeight="true" outlineLevel="0" collapsed="false">
      <c r="A146" s="470" t="str">
        <f aca="false">IF(COUNTIF(DITARI!$C$6:C148,DITARI!C148)=1,DITARI!C148,"")</f>
        <v/>
      </c>
      <c r="B146" s="100" t="str">
        <f aca="false">IF(A146="","",IF(ABS(SUMIF(DITARI!$C:$C,A146,DITARI!$F:$F)-SUMIF(DITARI!$C:$C,A146,DITARI!$G:$G))&lt;0.005,"OK","ERROR"))</f>
        <v/>
      </c>
      <c r="C146" s="471" t="str">
        <f aca="false">IF(A146="","",SUMIF(DITARI!$C:$C,A146,DITARI!$F:$F))</f>
        <v/>
      </c>
      <c r="D146" s="471" t="str">
        <f aca="false">IF(A146="","",SUMIF(DITARI!$C:$C,A146,DITARI!$G:$G))</f>
        <v/>
      </c>
      <c r="E146" s="472" t="str">
        <f aca="false">IF(A146="","",C146-D146)</f>
        <v/>
      </c>
      <c r="F146" s="100" t="str">
        <f aca="false">IF(A146="","",COUNTIF(DITARI!$C:$C,A146))</f>
        <v/>
      </c>
      <c r="G146" s="473"/>
    </row>
    <row r="147" customFormat="false" ht="14.25" hidden="false" customHeight="true" outlineLevel="0" collapsed="false">
      <c r="A147" s="470" t="str">
        <f aca="false">IF(COUNTIF(DITARI!$C$6:C149,DITARI!C149)=1,DITARI!C149,"")</f>
        <v/>
      </c>
      <c r="B147" s="100" t="str">
        <f aca="false">IF(A147="","",IF(ABS(SUMIF(DITARI!$C:$C,A147,DITARI!$F:$F)-SUMIF(DITARI!$C:$C,A147,DITARI!$G:$G))&lt;0.005,"OK","ERROR"))</f>
        <v/>
      </c>
      <c r="C147" s="471" t="str">
        <f aca="false">IF(A147="","",SUMIF(DITARI!$C:$C,A147,DITARI!$F:$F))</f>
        <v/>
      </c>
      <c r="D147" s="471" t="str">
        <f aca="false">IF(A147="","",SUMIF(DITARI!$C:$C,A147,DITARI!$G:$G))</f>
        <v/>
      </c>
      <c r="E147" s="472" t="str">
        <f aca="false">IF(A147="","",C147-D147)</f>
        <v/>
      </c>
      <c r="F147" s="100" t="str">
        <f aca="false">IF(A147="","",COUNTIF(DITARI!$C:$C,A147))</f>
        <v/>
      </c>
      <c r="G147" s="473"/>
    </row>
    <row r="148" customFormat="false" ht="14.25" hidden="false" customHeight="true" outlineLevel="0" collapsed="false">
      <c r="A148" s="470" t="str">
        <f aca="false">IF(COUNTIF(DITARI!$C$6:C150,DITARI!C150)=1,DITARI!C150,"")</f>
        <v/>
      </c>
      <c r="B148" s="100" t="str">
        <f aca="false">IF(A148="","",IF(ABS(SUMIF(DITARI!$C:$C,A148,DITARI!$F:$F)-SUMIF(DITARI!$C:$C,A148,DITARI!$G:$G))&lt;0.005,"OK","ERROR"))</f>
        <v/>
      </c>
      <c r="C148" s="471" t="str">
        <f aca="false">IF(A148="","",SUMIF(DITARI!$C:$C,A148,DITARI!$F:$F))</f>
        <v/>
      </c>
      <c r="D148" s="471" t="str">
        <f aca="false">IF(A148="","",SUMIF(DITARI!$C:$C,A148,DITARI!$G:$G))</f>
        <v/>
      </c>
      <c r="E148" s="472" t="str">
        <f aca="false">IF(A148="","",C148-D148)</f>
        <v/>
      </c>
      <c r="F148" s="100" t="str">
        <f aca="false">IF(A148="","",COUNTIF(DITARI!$C:$C,A148))</f>
        <v/>
      </c>
      <c r="G148" s="473"/>
    </row>
    <row r="149" customFormat="false" ht="14.25" hidden="false" customHeight="true" outlineLevel="0" collapsed="false">
      <c r="A149" s="470" t="str">
        <f aca="false">IF(COUNTIF(DITARI!$C$6:C151,DITARI!C151)=1,DITARI!C151,"")</f>
        <v/>
      </c>
      <c r="B149" s="100" t="str">
        <f aca="false">IF(A149="","",IF(ABS(SUMIF(DITARI!$C:$C,A149,DITARI!$F:$F)-SUMIF(DITARI!$C:$C,A149,DITARI!$G:$G))&lt;0.005,"OK","ERROR"))</f>
        <v/>
      </c>
      <c r="C149" s="471" t="str">
        <f aca="false">IF(A149="","",SUMIF(DITARI!$C:$C,A149,DITARI!$F:$F))</f>
        <v/>
      </c>
      <c r="D149" s="471" t="str">
        <f aca="false">IF(A149="","",SUMIF(DITARI!$C:$C,A149,DITARI!$G:$G))</f>
        <v/>
      </c>
      <c r="E149" s="472" t="str">
        <f aca="false">IF(A149="","",C149-D149)</f>
        <v/>
      </c>
      <c r="F149" s="100" t="str">
        <f aca="false">IF(A149="","",COUNTIF(DITARI!$C:$C,A149))</f>
        <v/>
      </c>
      <c r="G149" s="473"/>
    </row>
    <row r="150" customFormat="false" ht="14.25" hidden="false" customHeight="true" outlineLevel="0" collapsed="false">
      <c r="A150" s="470" t="str">
        <f aca="false">IF(COUNTIF(DITARI!$C$6:C152,DITARI!C152)=1,DITARI!C152,"")</f>
        <v/>
      </c>
      <c r="B150" s="100" t="str">
        <f aca="false">IF(A150="","",IF(ABS(SUMIF(DITARI!$C:$C,A150,DITARI!$F:$F)-SUMIF(DITARI!$C:$C,A150,DITARI!$G:$G))&lt;0.005,"OK","ERROR"))</f>
        <v/>
      </c>
      <c r="C150" s="471" t="str">
        <f aca="false">IF(A150="","",SUMIF(DITARI!$C:$C,A150,DITARI!$F:$F))</f>
        <v/>
      </c>
      <c r="D150" s="471" t="str">
        <f aca="false">IF(A150="","",SUMIF(DITARI!$C:$C,A150,DITARI!$G:$G))</f>
        <v/>
      </c>
      <c r="E150" s="472" t="str">
        <f aca="false">IF(A150="","",C150-D150)</f>
        <v/>
      </c>
      <c r="F150" s="100" t="str">
        <f aca="false">IF(A150="","",COUNTIF(DITARI!$C:$C,A150))</f>
        <v/>
      </c>
      <c r="G150" s="473"/>
    </row>
    <row r="151" customFormat="false" ht="14.25" hidden="false" customHeight="true" outlineLevel="0" collapsed="false">
      <c r="A151" s="470" t="str">
        <f aca="false">IF(COUNTIF(DITARI!$C$6:C153,DITARI!C153)=1,DITARI!C153,"")</f>
        <v/>
      </c>
      <c r="B151" s="100" t="str">
        <f aca="false">IF(A151="","",IF(ABS(SUMIF(DITARI!$C:$C,A151,DITARI!$F:$F)-SUMIF(DITARI!$C:$C,A151,DITARI!$G:$G))&lt;0.005,"OK","ERROR"))</f>
        <v/>
      </c>
      <c r="C151" s="471" t="str">
        <f aca="false">IF(A151="","",SUMIF(DITARI!$C:$C,A151,DITARI!$F:$F))</f>
        <v/>
      </c>
      <c r="D151" s="471" t="str">
        <f aca="false">IF(A151="","",SUMIF(DITARI!$C:$C,A151,DITARI!$G:$G))</f>
        <v/>
      </c>
      <c r="E151" s="472" t="str">
        <f aca="false">IF(A151="","",C151-D151)</f>
        <v/>
      </c>
      <c r="F151" s="100" t="str">
        <f aca="false">IF(A151="","",COUNTIF(DITARI!$C:$C,A151))</f>
        <v/>
      </c>
      <c r="G151" s="473"/>
    </row>
    <row r="152" customFormat="false" ht="14.25" hidden="false" customHeight="true" outlineLevel="0" collapsed="false">
      <c r="A152" s="470" t="str">
        <f aca="false">IF(COUNTIF(DITARI!$C$6:C154,DITARI!C154)=1,DITARI!C154,"")</f>
        <v/>
      </c>
      <c r="B152" s="100" t="str">
        <f aca="false">IF(A152="","",IF(ABS(SUMIF(DITARI!$C:$C,A152,DITARI!$F:$F)-SUMIF(DITARI!$C:$C,A152,DITARI!$G:$G))&lt;0.005,"OK","ERROR"))</f>
        <v/>
      </c>
      <c r="C152" s="471" t="str">
        <f aca="false">IF(A152="","",SUMIF(DITARI!$C:$C,A152,DITARI!$F:$F))</f>
        <v/>
      </c>
      <c r="D152" s="471" t="str">
        <f aca="false">IF(A152="","",SUMIF(DITARI!$C:$C,A152,DITARI!$G:$G))</f>
        <v/>
      </c>
      <c r="E152" s="472" t="str">
        <f aca="false">IF(A152="","",C152-D152)</f>
        <v/>
      </c>
      <c r="F152" s="100" t="str">
        <f aca="false">IF(A152="","",COUNTIF(DITARI!$C:$C,A152))</f>
        <v/>
      </c>
      <c r="G152" s="473"/>
    </row>
    <row r="153" customFormat="false" ht="14.25" hidden="false" customHeight="true" outlineLevel="0" collapsed="false">
      <c r="A153" s="470" t="str">
        <f aca="false">IF(COUNTIF(DITARI!$C$6:C155,DITARI!C155)=1,DITARI!C155,"")</f>
        <v/>
      </c>
      <c r="B153" s="100" t="str">
        <f aca="false">IF(A153="","",IF(ABS(SUMIF(DITARI!$C:$C,A153,DITARI!$F:$F)-SUMIF(DITARI!$C:$C,A153,DITARI!$G:$G))&lt;0.005,"OK","ERROR"))</f>
        <v/>
      </c>
      <c r="C153" s="471" t="str">
        <f aca="false">IF(A153="","",SUMIF(DITARI!$C:$C,A153,DITARI!$F:$F))</f>
        <v/>
      </c>
      <c r="D153" s="471" t="str">
        <f aca="false">IF(A153="","",SUMIF(DITARI!$C:$C,A153,DITARI!$G:$G))</f>
        <v/>
      </c>
      <c r="E153" s="472" t="str">
        <f aca="false">IF(A153="","",C153-D153)</f>
        <v/>
      </c>
      <c r="F153" s="100" t="str">
        <f aca="false">IF(A153="","",COUNTIF(DITARI!$C:$C,A153))</f>
        <v/>
      </c>
      <c r="G153" s="473"/>
    </row>
    <row r="154" customFormat="false" ht="14.25" hidden="false" customHeight="true" outlineLevel="0" collapsed="false">
      <c r="A154" s="470" t="str">
        <f aca="false">IF(COUNTIF(DITARI!$C$6:C156,DITARI!C156)=1,DITARI!C156,"")</f>
        <v/>
      </c>
      <c r="B154" s="100" t="str">
        <f aca="false">IF(A154="","",IF(ABS(SUMIF(DITARI!$C:$C,A154,DITARI!$F:$F)-SUMIF(DITARI!$C:$C,A154,DITARI!$G:$G))&lt;0.005,"OK","ERROR"))</f>
        <v/>
      </c>
      <c r="C154" s="471" t="str">
        <f aca="false">IF(A154="","",SUMIF(DITARI!$C:$C,A154,DITARI!$F:$F))</f>
        <v/>
      </c>
      <c r="D154" s="471" t="str">
        <f aca="false">IF(A154="","",SUMIF(DITARI!$C:$C,A154,DITARI!$G:$G))</f>
        <v/>
      </c>
      <c r="E154" s="472" t="str">
        <f aca="false">IF(A154="","",C154-D154)</f>
        <v/>
      </c>
      <c r="F154" s="100" t="str">
        <f aca="false">IF(A154="","",COUNTIF(DITARI!$C:$C,A154))</f>
        <v/>
      </c>
      <c r="G154" s="473"/>
    </row>
    <row r="155" customFormat="false" ht="14.25" hidden="false" customHeight="true" outlineLevel="0" collapsed="false">
      <c r="A155" s="470" t="str">
        <f aca="false">IF(COUNTIF(DITARI!$C$6:C157,DITARI!C157)=1,DITARI!C157,"")</f>
        <v/>
      </c>
      <c r="B155" s="100" t="str">
        <f aca="false">IF(A155="","",IF(ABS(SUMIF(DITARI!$C:$C,A155,DITARI!$F:$F)-SUMIF(DITARI!$C:$C,A155,DITARI!$G:$G))&lt;0.005,"OK","ERROR"))</f>
        <v/>
      </c>
      <c r="C155" s="471" t="str">
        <f aca="false">IF(A155="","",SUMIF(DITARI!$C:$C,A155,DITARI!$F:$F))</f>
        <v/>
      </c>
      <c r="D155" s="471" t="str">
        <f aca="false">IF(A155="","",SUMIF(DITARI!$C:$C,A155,DITARI!$G:$G))</f>
        <v/>
      </c>
      <c r="E155" s="472" t="str">
        <f aca="false">IF(A155="","",C155-D155)</f>
        <v/>
      </c>
      <c r="F155" s="100" t="str">
        <f aca="false">IF(A155="","",COUNTIF(DITARI!$C:$C,A155))</f>
        <v/>
      </c>
      <c r="G155" s="473"/>
    </row>
    <row r="156" customFormat="false" ht="14.25" hidden="false" customHeight="true" outlineLevel="0" collapsed="false">
      <c r="A156" s="470" t="str">
        <f aca="false">IF(COUNTIF(DITARI!$C$6:C158,DITARI!C158)=1,DITARI!C158,"")</f>
        <v/>
      </c>
      <c r="B156" s="100" t="str">
        <f aca="false">IF(A156="","",IF(ABS(SUMIF(DITARI!$C:$C,A156,DITARI!$F:$F)-SUMIF(DITARI!$C:$C,A156,DITARI!$G:$G))&lt;0.005,"OK","ERROR"))</f>
        <v/>
      </c>
      <c r="C156" s="471" t="str">
        <f aca="false">IF(A156="","",SUMIF(DITARI!$C:$C,A156,DITARI!$F:$F))</f>
        <v/>
      </c>
      <c r="D156" s="471" t="str">
        <f aca="false">IF(A156="","",SUMIF(DITARI!$C:$C,A156,DITARI!$G:$G))</f>
        <v/>
      </c>
      <c r="E156" s="472" t="str">
        <f aca="false">IF(A156="","",C156-D156)</f>
        <v/>
      </c>
      <c r="F156" s="100" t="str">
        <f aca="false">IF(A156="","",COUNTIF(DITARI!$C:$C,A156))</f>
        <v/>
      </c>
      <c r="G156" s="473"/>
    </row>
    <row r="157" customFormat="false" ht="14.25" hidden="false" customHeight="true" outlineLevel="0" collapsed="false">
      <c r="A157" s="470" t="str">
        <f aca="false">IF(COUNTIF(DITARI!$C$6:C159,DITARI!C159)=1,DITARI!C159,"")</f>
        <v/>
      </c>
      <c r="B157" s="100" t="str">
        <f aca="false">IF(A157="","",IF(ABS(SUMIF(DITARI!$C:$C,A157,DITARI!$F:$F)-SUMIF(DITARI!$C:$C,A157,DITARI!$G:$G))&lt;0.005,"OK","ERROR"))</f>
        <v/>
      </c>
      <c r="C157" s="471" t="str">
        <f aca="false">IF(A157="","",SUMIF(DITARI!$C:$C,A157,DITARI!$F:$F))</f>
        <v/>
      </c>
      <c r="D157" s="471" t="str">
        <f aca="false">IF(A157="","",SUMIF(DITARI!$C:$C,A157,DITARI!$G:$G))</f>
        <v/>
      </c>
      <c r="E157" s="472" t="str">
        <f aca="false">IF(A157="","",C157-D157)</f>
        <v/>
      </c>
      <c r="F157" s="100" t="str">
        <f aca="false">IF(A157="","",COUNTIF(DITARI!$C:$C,A157))</f>
        <v/>
      </c>
      <c r="G157" s="473"/>
    </row>
    <row r="158" customFormat="false" ht="14.25" hidden="false" customHeight="true" outlineLevel="0" collapsed="false">
      <c r="A158" s="470" t="str">
        <f aca="false">IF(COUNTIF(DITARI!$C$6:C160,DITARI!C160)=1,DITARI!C160,"")</f>
        <v/>
      </c>
      <c r="B158" s="100" t="str">
        <f aca="false">IF(A158="","",IF(ABS(SUMIF(DITARI!$C:$C,A158,DITARI!$F:$F)-SUMIF(DITARI!$C:$C,A158,DITARI!$G:$G))&lt;0.005,"OK","ERROR"))</f>
        <v/>
      </c>
      <c r="C158" s="471" t="str">
        <f aca="false">IF(A158="","",SUMIF(DITARI!$C:$C,A158,DITARI!$F:$F))</f>
        <v/>
      </c>
      <c r="D158" s="471" t="str">
        <f aca="false">IF(A158="","",SUMIF(DITARI!$C:$C,A158,DITARI!$G:$G))</f>
        <v/>
      </c>
      <c r="E158" s="472" t="str">
        <f aca="false">IF(A158="","",C158-D158)</f>
        <v/>
      </c>
      <c r="F158" s="100" t="str">
        <f aca="false">IF(A158="","",COUNTIF(DITARI!$C:$C,A158))</f>
        <v/>
      </c>
      <c r="G158" s="473"/>
    </row>
    <row r="159" customFormat="false" ht="14.25" hidden="false" customHeight="true" outlineLevel="0" collapsed="false">
      <c r="A159" s="470" t="str">
        <f aca="false">IF(COUNTIF(DITARI!$C$6:C161,DITARI!C161)=1,DITARI!C161,"")</f>
        <v/>
      </c>
      <c r="B159" s="100" t="str">
        <f aca="false">IF(A159="","",IF(ABS(SUMIF(DITARI!$C:$C,A159,DITARI!$F:$F)-SUMIF(DITARI!$C:$C,A159,DITARI!$G:$G))&lt;0.005,"OK","ERROR"))</f>
        <v/>
      </c>
      <c r="C159" s="471" t="str">
        <f aca="false">IF(A159="","",SUMIF(DITARI!$C:$C,A159,DITARI!$F:$F))</f>
        <v/>
      </c>
      <c r="D159" s="471" t="str">
        <f aca="false">IF(A159="","",SUMIF(DITARI!$C:$C,A159,DITARI!$G:$G))</f>
        <v/>
      </c>
      <c r="E159" s="472" t="str">
        <f aca="false">IF(A159="","",C159-D159)</f>
        <v/>
      </c>
      <c r="F159" s="100" t="str">
        <f aca="false">IF(A159="","",COUNTIF(DITARI!$C:$C,A159))</f>
        <v/>
      </c>
      <c r="G159" s="473"/>
    </row>
    <row r="160" customFormat="false" ht="14.25" hidden="false" customHeight="true" outlineLevel="0" collapsed="false">
      <c r="A160" s="470" t="str">
        <f aca="false">IF(COUNTIF(DITARI!$C$6:C162,DITARI!C162)=1,DITARI!C162,"")</f>
        <v/>
      </c>
      <c r="B160" s="100" t="str">
        <f aca="false">IF(A160="","",IF(ABS(SUMIF(DITARI!$C:$C,A160,DITARI!$F:$F)-SUMIF(DITARI!$C:$C,A160,DITARI!$G:$G))&lt;0.005,"OK","ERROR"))</f>
        <v/>
      </c>
      <c r="C160" s="471" t="str">
        <f aca="false">IF(A160="","",SUMIF(DITARI!$C:$C,A160,DITARI!$F:$F))</f>
        <v/>
      </c>
      <c r="D160" s="471" t="str">
        <f aca="false">IF(A160="","",SUMIF(DITARI!$C:$C,A160,DITARI!$G:$G))</f>
        <v/>
      </c>
      <c r="E160" s="472" t="str">
        <f aca="false">IF(A160="","",C160-D160)</f>
        <v/>
      </c>
      <c r="F160" s="100" t="str">
        <f aca="false">IF(A160="","",COUNTIF(DITARI!$C:$C,A160))</f>
        <v/>
      </c>
      <c r="G160" s="473"/>
    </row>
    <row r="161" customFormat="false" ht="14.25" hidden="false" customHeight="true" outlineLevel="0" collapsed="false">
      <c r="A161" s="470" t="str">
        <f aca="false">IF(COUNTIF(DITARI!$C$6:C163,DITARI!C163)=1,DITARI!C163,"")</f>
        <v/>
      </c>
      <c r="B161" s="100" t="str">
        <f aca="false">IF(A161="","",IF(ABS(SUMIF(DITARI!$C:$C,A161,DITARI!$F:$F)-SUMIF(DITARI!$C:$C,A161,DITARI!$G:$G))&lt;0.005,"OK","ERROR"))</f>
        <v/>
      </c>
      <c r="C161" s="471" t="str">
        <f aca="false">IF(A161="","",SUMIF(DITARI!$C:$C,A161,DITARI!$F:$F))</f>
        <v/>
      </c>
      <c r="D161" s="471" t="str">
        <f aca="false">IF(A161="","",SUMIF(DITARI!$C:$C,A161,DITARI!$G:$G))</f>
        <v/>
      </c>
      <c r="E161" s="472" t="str">
        <f aca="false">IF(A161="","",C161-D161)</f>
        <v/>
      </c>
      <c r="F161" s="100" t="str">
        <f aca="false">IF(A161="","",COUNTIF(DITARI!$C:$C,A161))</f>
        <v/>
      </c>
      <c r="G161" s="473"/>
    </row>
    <row r="162" customFormat="false" ht="14.25" hidden="false" customHeight="true" outlineLevel="0" collapsed="false">
      <c r="A162" s="470" t="str">
        <f aca="false">IF(COUNTIF(DITARI!$C$6:C164,DITARI!C164)=1,DITARI!C164,"")</f>
        <v/>
      </c>
      <c r="B162" s="100" t="str">
        <f aca="false">IF(A162="","",IF(ABS(SUMIF(DITARI!$C:$C,A162,DITARI!$F:$F)-SUMIF(DITARI!$C:$C,A162,DITARI!$G:$G))&lt;0.005,"OK","ERROR"))</f>
        <v/>
      </c>
      <c r="C162" s="471" t="str">
        <f aca="false">IF(A162="","",SUMIF(DITARI!$C:$C,A162,DITARI!$F:$F))</f>
        <v/>
      </c>
      <c r="D162" s="471" t="str">
        <f aca="false">IF(A162="","",SUMIF(DITARI!$C:$C,A162,DITARI!$G:$G))</f>
        <v/>
      </c>
      <c r="E162" s="472" t="str">
        <f aca="false">IF(A162="","",C162-D162)</f>
        <v/>
      </c>
      <c r="F162" s="100" t="str">
        <f aca="false">IF(A162="","",COUNTIF(DITARI!$C:$C,A162))</f>
        <v/>
      </c>
      <c r="G162" s="473"/>
    </row>
    <row r="163" customFormat="false" ht="14.25" hidden="false" customHeight="true" outlineLevel="0" collapsed="false">
      <c r="A163" s="470" t="str">
        <f aca="false">IF(COUNTIF(DITARI!$C$6:C165,DITARI!C165)=1,DITARI!C165,"")</f>
        <v/>
      </c>
      <c r="B163" s="100" t="str">
        <f aca="false">IF(A163="","",IF(ABS(SUMIF(DITARI!$C:$C,A163,DITARI!$F:$F)-SUMIF(DITARI!$C:$C,A163,DITARI!$G:$G))&lt;0.005,"OK","ERROR"))</f>
        <v/>
      </c>
      <c r="C163" s="471" t="str">
        <f aca="false">IF(A163="","",SUMIF(DITARI!$C:$C,A163,DITARI!$F:$F))</f>
        <v/>
      </c>
      <c r="D163" s="471" t="str">
        <f aca="false">IF(A163="","",SUMIF(DITARI!$C:$C,A163,DITARI!$G:$G))</f>
        <v/>
      </c>
      <c r="E163" s="472" t="str">
        <f aca="false">IF(A163="","",C163-D163)</f>
        <v/>
      </c>
      <c r="F163" s="100" t="str">
        <f aca="false">IF(A163="","",COUNTIF(DITARI!$C:$C,A163))</f>
        <v/>
      </c>
      <c r="G163" s="473"/>
    </row>
    <row r="164" customFormat="false" ht="14.25" hidden="false" customHeight="true" outlineLevel="0" collapsed="false">
      <c r="A164" s="470" t="str">
        <f aca="false">IF(COUNTIF(DITARI!$C$6:C166,DITARI!C166)=1,DITARI!C166,"")</f>
        <v/>
      </c>
      <c r="B164" s="100" t="str">
        <f aca="false">IF(A164="","",IF(ABS(SUMIF(DITARI!$C:$C,A164,DITARI!$F:$F)-SUMIF(DITARI!$C:$C,A164,DITARI!$G:$G))&lt;0.005,"OK","ERROR"))</f>
        <v/>
      </c>
      <c r="C164" s="471" t="str">
        <f aca="false">IF(A164="","",SUMIF(DITARI!$C:$C,A164,DITARI!$F:$F))</f>
        <v/>
      </c>
      <c r="D164" s="471" t="str">
        <f aca="false">IF(A164="","",SUMIF(DITARI!$C:$C,A164,DITARI!$G:$G))</f>
        <v/>
      </c>
      <c r="E164" s="472" t="str">
        <f aca="false">IF(A164="","",C164-D164)</f>
        <v/>
      </c>
      <c r="F164" s="100" t="str">
        <f aca="false">IF(A164="","",COUNTIF(DITARI!$C:$C,A164))</f>
        <v/>
      </c>
      <c r="G164" s="473"/>
    </row>
    <row r="165" customFormat="false" ht="14.25" hidden="false" customHeight="true" outlineLevel="0" collapsed="false">
      <c r="A165" s="470" t="str">
        <f aca="false">IF(COUNTIF(DITARI!$C$6:C167,DITARI!C167)=1,DITARI!C167,"")</f>
        <v/>
      </c>
      <c r="B165" s="100" t="str">
        <f aca="false">IF(A165="","",IF(ABS(SUMIF(DITARI!$C:$C,A165,DITARI!$F:$F)-SUMIF(DITARI!$C:$C,A165,DITARI!$G:$G))&lt;0.005,"OK","ERROR"))</f>
        <v/>
      </c>
      <c r="C165" s="471" t="str">
        <f aca="false">IF(A165="","",SUMIF(DITARI!$C:$C,A165,DITARI!$F:$F))</f>
        <v/>
      </c>
      <c r="D165" s="471" t="str">
        <f aca="false">IF(A165="","",SUMIF(DITARI!$C:$C,A165,DITARI!$G:$G))</f>
        <v/>
      </c>
      <c r="E165" s="472" t="str">
        <f aca="false">IF(A165="","",C165-D165)</f>
        <v/>
      </c>
      <c r="F165" s="100" t="str">
        <f aca="false">IF(A165="","",COUNTIF(DITARI!$C:$C,A165))</f>
        <v/>
      </c>
      <c r="G165" s="473"/>
    </row>
    <row r="166" customFormat="false" ht="14.25" hidden="false" customHeight="true" outlineLevel="0" collapsed="false">
      <c r="A166" s="470" t="str">
        <f aca="false">IF(COUNTIF(DITARI!$C$6:C168,DITARI!C168)=1,DITARI!C168,"")</f>
        <v/>
      </c>
      <c r="B166" s="100" t="str">
        <f aca="false">IF(A166="","",IF(ABS(SUMIF(DITARI!$C:$C,A166,DITARI!$F:$F)-SUMIF(DITARI!$C:$C,A166,DITARI!$G:$G))&lt;0.005,"OK","ERROR"))</f>
        <v/>
      </c>
      <c r="C166" s="471" t="str">
        <f aca="false">IF(A166="","",SUMIF(DITARI!$C:$C,A166,DITARI!$F:$F))</f>
        <v/>
      </c>
      <c r="D166" s="471" t="str">
        <f aca="false">IF(A166="","",SUMIF(DITARI!$C:$C,A166,DITARI!$G:$G))</f>
        <v/>
      </c>
      <c r="E166" s="472" t="str">
        <f aca="false">IF(A166="","",C166-D166)</f>
        <v/>
      </c>
      <c r="F166" s="100" t="str">
        <f aca="false">IF(A166="","",COUNTIF(DITARI!$C:$C,A166))</f>
        <v/>
      </c>
      <c r="G166" s="473"/>
    </row>
    <row r="167" customFormat="false" ht="14.25" hidden="false" customHeight="true" outlineLevel="0" collapsed="false">
      <c r="A167" s="470" t="str">
        <f aca="false">IF(COUNTIF(DITARI!$C$6:C169,DITARI!C169)=1,DITARI!C169,"")</f>
        <v/>
      </c>
      <c r="B167" s="100" t="str">
        <f aca="false">IF(A167="","",IF(ABS(SUMIF(DITARI!$C:$C,A167,DITARI!$F:$F)-SUMIF(DITARI!$C:$C,A167,DITARI!$G:$G))&lt;0.005,"OK","ERROR"))</f>
        <v/>
      </c>
      <c r="C167" s="471" t="str">
        <f aca="false">IF(A167="","",SUMIF(DITARI!$C:$C,A167,DITARI!$F:$F))</f>
        <v/>
      </c>
      <c r="D167" s="471" t="str">
        <f aca="false">IF(A167="","",SUMIF(DITARI!$C:$C,A167,DITARI!$G:$G))</f>
        <v/>
      </c>
      <c r="E167" s="472" t="str">
        <f aca="false">IF(A167="","",C167-D167)</f>
        <v/>
      </c>
      <c r="F167" s="100" t="str">
        <f aca="false">IF(A167="","",COUNTIF(DITARI!$C:$C,A167))</f>
        <v/>
      </c>
      <c r="G167" s="473"/>
    </row>
    <row r="168" customFormat="false" ht="14.25" hidden="false" customHeight="true" outlineLevel="0" collapsed="false">
      <c r="A168" s="470" t="str">
        <f aca="false">IF(COUNTIF(DITARI!$C$6:C170,DITARI!C170)=1,DITARI!C170,"")</f>
        <v/>
      </c>
      <c r="B168" s="100" t="str">
        <f aca="false">IF(A168="","",IF(ABS(SUMIF(DITARI!$C:$C,A168,DITARI!$F:$F)-SUMIF(DITARI!$C:$C,A168,DITARI!$G:$G))&lt;0.005,"OK","ERROR"))</f>
        <v/>
      </c>
      <c r="C168" s="471" t="str">
        <f aca="false">IF(A168="","",SUMIF(DITARI!$C:$C,A168,DITARI!$F:$F))</f>
        <v/>
      </c>
      <c r="D168" s="471" t="str">
        <f aca="false">IF(A168="","",SUMIF(DITARI!$C:$C,A168,DITARI!$G:$G))</f>
        <v/>
      </c>
      <c r="E168" s="472" t="str">
        <f aca="false">IF(A168="","",C168-D168)</f>
        <v/>
      </c>
      <c r="F168" s="100" t="str">
        <f aca="false">IF(A168="","",COUNTIF(DITARI!$C:$C,A168))</f>
        <v/>
      </c>
      <c r="G168" s="473"/>
    </row>
    <row r="169" customFormat="false" ht="14.25" hidden="false" customHeight="true" outlineLevel="0" collapsed="false">
      <c r="A169" s="470" t="str">
        <f aca="false">IF(COUNTIF(DITARI!$C$6:C171,DITARI!C171)=1,DITARI!C171,"")</f>
        <v/>
      </c>
      <c r="B169" s="100" t="str">
        <f aca="false">IF(A169="","",IF(ABS(SUMIF(DITARI!$C:$C,A169,DITARI!$F:$F)-SUMIF(DITARI!$C:$C,A169,DITARI!$G:$G))&lt;0.005,"OK","ERROR"))</f>
        <v/>
      </c>
      <c r="C169" s="471" t="str">
        <f aca="false">IF(A169="","",SUMIF(DITARI!$C:$C,A169,DITARI!$F:$F))</f>
        <v/>
      </c>
      <c r="D169" s="471" t="str">
        <f aca="false">IF(A169="","",SUMIF(DITARI!$C:$C,A169,DITARI!$G:$G))</f>
        <v/>
      </c>
      <c r="E169" s="472" t="str">
        <f aca="false">IF(A169="","",C169-D169)</f>
        <v/>
      </c>
      <c r="F169" s="100" t="str">
        <f aca="false">IF(A169="","",COUNTIF(DITARI!$C:$C,A169))</f>
        <v/>
      </c>
      <c r="G169" s="473"/>
    </row>
    <row r="170" customFormat="false" ht="14.25" hidden="false" customHeight="true" outlineLevel="0" collapsed="false">
      <c r="A170" s="470" t="str">
        <f aca="false">IF(COUNTIF(DITARI!$C$6:C172,DITARI!C172)=1,DITARI!C172,"")</f>
        <v/>
      </c>
      <c r="B170" s="100" t="str">
        <f aca="false">IF(A170="","",IF(ABS(SUMIF(DITARI!$C:$C,A170,DITARI!$F:$F)-SUMIF(DITARI!$C:$C,A170,DITARI!$G:$G))&lt;0.005,"OK","ERROR"))</f>
        <v/>
      </c>
      <c r="C170" s="471" t="str">
        <f aca="false">IF(A170="","",SUMIF(DITARI!$C:$C,A170,DITARI!$F:$F))</f>
        <v/>
      </c>
      <c r="D170" s="471" t="str">
        <f aca="false">IF(A170="","",SUMIF(DITARI!$C:$C,A170,DITARI!$G:$G))</f>
        <v/>
      </c>
      <c r="E170" s="472" t="str">
        <f aca="false">IF(A170="","",C170-D170)</f>
        <v/>
      </c>
      <c r="F170" s="100" t="str">
        <f aca="false">IF(A170="","",COUNTIF(DITARI!$C:$C,A170))</f>
        <v/>
      </c>
      <c r="G170" s="473"/>
    </row>
    <row r="171" customFormat="false" ht="14.25" hidden="false" customHeight="true" outlineLevel="0" collapsed="false">
      <c r="A171" s="470" t="str">
        <f aca="false">IF(COUNTIF(DITARI!$C$6:C173,DITARI!C173)=1,DITARI!C173,"")</f>
        <v/>
      </c>
      <c r="B171" s="100" t="str">
        <f aca="false">IF(A171="","",IF(ABS(SUMIF(DITARI!$C:$C,A171,DITARI!$F:$F)-SUMIF(DITARI!$C:$C,A171,DITARI!$G:$G))&lt;0.005,"OK","ERROR"))</f>
        <v/>
      </c>
      <c r="C171" s="471" t="str">
        <f aca="false">IF(A171="","",SUMIF(DITARI!$C:$C,A171,DITARI!$F:$F))</f>
        <v/>
      </c>
      <c r="D171" s="471" t="str">
        <f aca="false">IF(A171="","",SUMIF(DITARI!$C:$C,A171,DITARI!$G:$G))</f>
        <v/>
      </c>
      <c r="E171" s="472" t="str">
        <f aca="false">IF(A171="","",C171-D171)</f>
        <v/>
      </c>
      <c r="F171" s="100" t="str">
        <f aca="false">IF(A171="","",COUNTIF(DITARI!$C:$C,A171))</f>
        <v/>
      </c>
      <c r="G171" s="473"/>
    </row>
    <row r="172" customFormat="false" ht="14.25" hidden="false" customHeight="true" outlineLevel="0" collapsed="false">
      <c r="A172" s="470" t="str">
        <f aca="false">IF(COUNTIF(DITARI!$C$6:C174,DITARI!C174)=1,DITARI!C174,"")</f>
        <v/>
      </c>
      <c r="B172" s="100" t="str">
        <f aca="false">IF(A172="","",IF(ABS(SUMIF(DITARI!$C:$C,A172,DITARI!$F:$F)-SUMIF(DITARI!$C:$C,A172,DITARI!$G:$G))&lt;0.005,"OK","ERROR"))</f>
        <v/>
      </c>
      <c r="C172" s="471" t="str">
        <f aca="false">IF(A172="","",SUMIF(DITARI!$C:$C,A172,DITARI!$F:$F))</f>
        <v/>
      </c>
      <c r="D172" s="471" t="str">
        <f aca="false">IF(A172="","",SUMIF(DITARI!$C:$C,A172,DITARI!$G:$G))</f>
        <v/>
      </c>
      <c r="E172" s="472" t="str">
        <f aca="false">IF(A172="","",C172-D172)</f>
        <v/>
      </c>
      <c r="F172" s="100" t="str">
        <f aca="false">IF(A172="","",COUNTIF(DITARI!$C:$C,A172))</f>
        <v/>
      </c>
      <c r="G172" s="473"/>
    </row>
    <row r="173" customFormat="false" ht="14.25" hidden="false" customHeight="true" outlineLevel="0" collapsed="false">
      <c r="A173" s="470" t="str">
        <f aca="false">IF(COUNTIF(DITARI!$C$6:C175,DITARI!C175)=1,DITARI!C175,"")</f>
        <v/>
      </c>
      <c r="B173" s="100" t="str">
        <f aca="false">IF(A173="","",IF(ABS(SUMIF(DITARI!$C:$C,A173,DITARI!$F:$F)-SUMIF(DITARI!$C:$C,A173,DITARI!$G:$G))&lt;0.005,"OK","ERROR"))</f>
        <v/>
      </c>
      <c r="C173" s="471" t="str">
        <f aca="false">IF(A173="","",SUMIF(DITARI!$C:$C,A173,DITARI!$F:$F))</f>
        <v/>
      </c>
      <c r="D173" s="471" t="str">
        <f aca="false">IF(A173="","",SUMIF(DITARI!$C:$C,A173,DITARI!$G:$G))</f>
        <v/>
      </c>
      <c r="E173" s="472" t="str">
        <f aca="false">IF(A173="","",C173-D173)</f>
        <v/>
      </c>
      <c r="F173" s="100" t="str">
        <f aca="false">IF(A173="","",COUNTIF(DITARI!$C:$C,A173))</f>
        <v/>
      </c>
      <c r="G173" s="473"/>
    </row>
    <row r="174" customFormat="false" ht="14.25" hidden="false" customHeight="true" outlineLevel="0" collapsed="false">
      <c r="A174" s="470" t="str">
        <f aca="false">IF(COUNTIF(DITARI!$C$6:C176,DITARI!C176)=1,DITARI!C176,"")</f>
        <v/>
      </c>
      <c r="B174" s="100" t="str">
        <f aca="false">IF(A174="","",IF(ABS(SUMIF(DITARI!$C:$C,A174,DITARI!$F:$F)-SUMIF(DITARI!$C:$C,A174,DITARI!$G:$G))&lt;0.005,"OK","ERROR"))</f>
        <v/>
      </c>
      <c r="C174" s="471" t="str">
        <f aca="false">IF(A174="","",SUMIF(DITARI!$C:$C,A174,DITARI!$F:$F))</f>
        <v/>
      </c>
      <c r="D174" s="471" t="str">
        <f aca="false">IF(A174="","",SUMIF(DITARI!$C:$C,A174,DITARI!$G:$G))</f>
        <v/>
      </c>
      <c r="E174" s="472" t="str">
        <f aca="false">IF(A174="","",C174-D174)</f>
        <v/>
      </c>
      <c r="F174" s="100" t="str">
        <f aca="false">IF(A174="","",COUNTIF(DITARI!$C:$C,A174))</f>
        <v/>
      </c>
      <c r="G174" s="473"/>
    </row>
    <row r="175" customFormat="false" ht="14.25" hidden="false" customHeight="true" outlineLevel="0" collapsed="false">
      <c r="A175" s="470" t="str">
        <f aca="false">IF(COUNTIF(DITARI!$C$6:C177,DITARI!C177)=1,DITARI!C177,"")</f>
        <v/>
      </c>
      <c r="B175" s="100" t="str">
        <f aca="false">IF(A175="","",IF(ABS(SUMIF(DITARI!$C:$C,A175,DITARI!$F:$F)-SUMIF(DITARI!$C:$C,A175,DITARI!$G:$G))&lt;0.005,"OK","ERROR"))</f>
        <v/>
      </c>
      <c r="C175" s="471" t="str">
        <f aca="false">IF(A175="","",SUMIF(DITARI!$C:$C,A175,DITARI!$F:$F))</f>
        <v/>
      </c>
      <c r="D175" s="471" t="str">
        <f aca="false">IF(A175="","",SUMIF(DITARI!$C:$C,A175,DITARI!$G:$G))</f>
        <v/>
      </c>
      <c r="E175" s="472" t="str">
        <f aca="false">IF(A175="","",C175-D175)</f>
        <v/>
      </c>
      <c r="F175" s="100" t="str">
        <f aca="false">IF(A175="","",COUNTIF(DITARI!$C:$C,A175))</f>
        <v/>
      </c>
      <c r="G175" s="473"/>
    </row>
    <row r="176" customFormat="false" ht="14.25" hidden="false" customHeight="true" outlineLevel="0" collapsed="false">
      <c r="A176" s="470" t="str">
        <f aca="false">IF(COUNTIF(DITARI!$C$6:C178,DITARI!C178)=1,DITARI!C178,"")</f>
        <v/>
      </c>
      <c r="B176" s="100" t="str">
        <f aca="false">IF(A176="","",IF(ABS(SUMIF(DITARI!$C:$C,A176,DITARI!$F:$F)-SUMIF(DITARI!$C:$C,A176,DITARI!$G:$G))&lt;0.005,"OK","ERROR"))</f>
        <v/>
      </c>
      <c r="C176" s="471" t="str">
        <f aca="false">IF(A176="","",SUMIF(DITARI!$C:$C,A176,DITARI!$F:$F))</f>
        <v/>
      </c>
      <c r="D176" s="471" t="str">
        <f aca="false">IF(A176="","",SUMIF(DITARI!$C:$C,A176,DITARI!$G:$G))</f>
        <v/>
      </c>
      <c r="E176" s="472" t="str">
        <f aca="false">IF(A176="","",C176-D176)</f>
        <v/>
      </c>
      <c r="F176" s="100" t="str">
        <f aca="false">IF(A176="","",COUNTIF(DITARI!$C:$C,A176))</f>
        <v/>
      </c>
      <c r="G176" s="473"/>
    </row>
    <row r="177" customFormat="false" ht="14.25" hidden="false" customHeight="true" outlineLevel="0" collapsed="false">
      <c r="A177" s="470" t="str">
        <f aca="false">IF(COUNTIF(DITARI!$C$6:C179,DITARI!C179)=1,DITARI!C179,"")</f>
        <v/>
      </c>
      <c r="B177" s="100" t="str">
        <f aca="false">IF(A177="","",IF(ABS(SUMIF(DITARI!$C:$C,A177,DITARI!$F:$F)-SUMIF(DITARI!$C:$C,A177,DITARI!$G:$G))&lt;0.005,"OK","ERROR"))</f>
        <v/>
      </c>
      <c r="C177" s="471" t="str">
        <f aca="false">IF(A177="","",SUMIF(DITARI!$C:$C,A177,DITARI!$F:$F))</f>
        <v/>
      </c>
      <c r="D177" s="471" t="str">
        <f aca="false">IF(A177="","",SUMIF(DITARI!$C:$C,A177,DITARI!$G:$G))</f>
        <v/>
      </c>
      <c r="E177" s="472" t="str">
        <f aca="false">IF(A177="","",C177-D177)</f>
        <v/>
      </c>
      <c r="F177" s="100" t="str">
        <f aca="false">IF(A177="","",COUNTIF(DITARI!$C:$C,A177))</f>
        <v/>
      </c>
      <c r="G177" s="473"/>
    </row>
    <row r="178" customFormat="false" ht="14.25" hidden="false" customHeight="true" outlineLevel="0" collapsed="false">
      <c r="A178" s="470" t="str">
        <f aca="false">IF(COUNTIF(DITARI!$C$6:C180,DITARI!C180)=1,DITARI!C180,"")</f>
        <v/>
      </c>
      <c r="B178" s="100" t="str">
        <f aca="false">IF(A178="","",IF(ABS(SUMIF(DITARI!$C:$C,A178,DITARI!$F:$F)-SUMIF(DITARI!$C:$C,A178,DITARI!$G:$G))&lt;0.005,"OK","ERROR"))</f>
        <v/>
      </c>
      <c r="C178" s="471" t="str">
        <f aca="false">IF(A178="","",SUMIF(DITARI!$C:$C,A178,DITARI!$F:$F))</f>
        <v/>
      </c>
      <c r="D178" s="471" t="str">
        <f aca="false">IF(A178="","",SUMIF(DITARI!$C:$C,A178,DITARI!$G:$G))</f>
        <v/>
      </c>
      <c r="E178" s="472" t="str">
        <f aca="false">IF(A178="","",C178-D178)</f>
        <v/>
      </c>
      <c r="F178" s="100" t="str">
        <f aca="false">IF(A178="","",COUNTIF(DITARI!$C:$C,A178))</f>
        <v/>
      </c>
      <c r="G178" s="473"/>
    </row>
    <row r="179" customFormat="false" ht="14.25" hidden="false" customHeight="true" outlineLevel="0" collapsed="false">
      <c r="A179" s="470" t="str">
        <f aca="false">IF(COUNTIF(DITARI!$C$6:C181,DITARI!C181)=1,DITARI!C181,"")</f>
        <v/>
      </c>
      <c r="B179" s="100" t="str">
        <f aca="false">IF(A179="","",IF(ABS(SUMIF(DITARI!$C:$C,A179,DITARI!$F:$F)-SUMIF(DITARI!$C:$C,A179,DITARI!$G:$G))&lt;0.005,"OK","ERROR"))</f>
        <v/>
      </c>
      <c r="C179" s="471" t="str">
        <f aca="false">IF(A179="","",SUMIF(DITARI!$C:$C,A179,DITARI!$F:$F))</f>
        <v/>
      </c>
      <c r="D179" s="471" t="str">
        <f aca="false">IF(A179="","",SUMIF(DITARI!$C:$C,A179,DITARI!$G:$G))</f>
        <v/>
      </c>
      <c r="E179" s="472" t="str">
        <f aca="false">IF(A179="","",C179-D179)</f>
        <v/>
      </c>
      <c r="F179" s="100" t="str">
        <f aca="false">IF(A179="","",COUNTIF(DITARI!$C:$C,A179))</f>
        <v/>
      </c>
      <c r="G179" s="473"/>
    </row>
    <row r="180" customFormat="false" ht="14.25" hidden="false" customHeight="true" outlineLevel="0" collapsed="false">
      <c r="A180" s="470" t="str">
        <f aca="false">IF(COUNTIF(DITARI!$C$6:C182,DITARI!C182)=1,DITARI!C182,"")</f>
        <v/>
      </c>
      <c r="B180" s="100" t="str">
        <f aca="false">IF(A180="","",IF(ABS(SUMIF(DITARI!$C:$C,A180,DITARI!$F:$F)-SUMIF(DITARI!$C:$C,A180,DITARI!$G:$G))&lt;0.005,"OK","ERROR"))</f>
        <v/>
      </c>
      <c r="C180" s="471" t="str">
        <f aca="false">IF(A180="","",SUMIF(DITARI!$C:$C,A180,DITARI!$F:$F))</f>
        <v/>
      </c>
      <c r="D180" s="471" t="str">
        <f aca="false">IF(A180="","",SUMIF(DITARI!$C:$C,A180,DITARI!$G:$G))</f>
        <v/>
      </c>
      <c r="E180" s="472" t="str">
        <f aca="false">IF(A180="","",C180-D180)</f>
        <v/>
      </c>
      <c r="F180" s="100" t="str">
        <f aca="false">IF(A180="","",COUNTIF(DITARI!$C:$C,A180))</f>
        <v/>
      </c>
      <c r="G180" s="473"/>
    </row>
    <row r="181" customFormat="false" ht="14.25" hidden="false" customHeight="true" outlineLevel="0" collapsed="false">
      <c r="A181" s="470" t="str">
        <f aca="false">IF(COUNTIF(DITARI!$C$6:C183,DITARI!C183)=1,DITARI!C183,"")</f>
        <v/>
      </c>
      <c r="B181" s="100" t="str">
        <f aca="false">IF(A181="","",IF(ABS(SUMIF(DITARI!$C:$C,A181,DITARI!$F:$F)-SUMIF(DITARI!$C:$C,A181,DITARI!$G:$G))&lt;0.005,"OK","ERROR"))</f>
        <v/>
      </c>
      <c r="C181" s="471" t="str">
        <f aca="false">IF(A181="","",SUMIF(DITARI!$C:$C,A181,DITARI!$F:$F))</f>
        <v/>
      </c>
      <c r="D181" s="471" t="str">
        <f aca="false">IF(A181="","",SUMIF(DITARI!$C:$C,A181,DITARI!$G:$G))</f>
        <v/>
      </c>
      <c r="E181" s="472" t="str">
        <f aca="false">IF(A181="","",C181-D181)</f>
        <v/>
      </c>
      <c r="F181" s="100" t="str">
        <f aca="false">IF(A181="","",COUNTIF(DITARI!$C:$C,A181))</f>
        <v/>
      </c>
      <c r="G181" s="473"/>
    </row>
    <row r="182" customFormat="false" ht="14.25" hidden="false" customHeight="true" outlineLevel="0" collapsed="false">
      <c r="A182" s="470" t="str">
        <f aca="false">IF(COUNTIF(DITARI!$C$6:C184,DITARI!C184)=1,DITARI!C184,"")</f>
        <v/>
      </c>
      <c r="B182" s="100" t="str">
        <f aca="false">IF(A182="","",IF(ABS(SUMIF(DITARI!$C:$C,A182,DITARI!$F:$F)-SUMIF(DITARI!$C:$C,A182,DITARI!$G:$G))&lt;0.005,"OK","ERROR"))</f>
        <v/>
      </c>
      <c r="C182" s="471" t="str">
        <f aca="false">IF(A182="","",SUMIF(DITARI!$C:$C,A182,DITARI!$F:$F))</f>
        <v/>
      </c>
      <c r="D182" s="471" t="str">
        <f aca="false">IF(A182="","",SUMIF(DITARI!$C:$C,A182,DITARI!$G:$G))</f>
        <v/>
      </c>
      <c r="E182" s="472" t="str">
        <f aca="false">IF(A182="","",C182-D182)</f>
        <v/>
      </c>
      <c r="F182" s="100" t="str">
        <f aca="false">IF(A182="","",COUNTIF(DITARI!$C:$C,A182))</f>
        <v/>
      </c>
      <c r="G182" s="473"/>
    </row>
    <row r="183" customFormat="false" ht="14.25" hidden="false" customHeight="true" outlineLevel="0" collapsed="false">
      <c r="A183" s="470" t="str">
        <f aca="false">IF(COUNTIF(DITARI!$C$6:C185,DITARI!C185)=1,DITARI!C185,"")</f>
        <v/>
      </c>
      <c r="B183" s="100" t="str">
        <f aca="false">IF(A183="","",IF(ABS(SUMIF(DITARI!$C:$C,A183,DITARI!$F:$F)-SUMIF(DITARI!$C:$C,A183,DITARI!$G:$G))&lt;0.005,"OK","ERROR"))</f>
        <v/>
      </c>
      <c r="C183" s="471" t="str">
        <f aca="false">IF(A183="","",SUMIF(DITARI!$C:$C,A183,DITARI!$F:$F))</f>
        <v/>
      </c>
      <c r="D183" s="471" t="str">
        <f aca="false">IF(A183="","",SUMIF(DITARI!$C:$C,A183,DITARI!$G:$G))</f>
        <v/>
      </c>
      <c r="E183" s="472" t="str">
        <f aca="false">IF(A183="","",C183-D183)</f>
        <v/>
      </c>
      <c r="F183" s="100" t="str">
        <f aca="false">IF(A183="","",COUNTIF(DITARI!$C:$C,A183))</f>
        <v/>
      </c>
      <c r="G183" s="473"/>
    </row>
    <row r="184" customFormat="false" ht="14.25" hidden="false" customHeight="true" outlineLevel="0" collapsed="false">
      <c r="A184" s="470" t="str">
        <f aca="false">IF(COUNTIF(DITARI!$C$6:C186,DITARI!C186)=1,DITARI!C186,"")</f>
        <v/>
      </c>
      <c r="B184" s="100" t="str">
        <f aca="false">IF(A184="","",IF(ABS(SUMIF(DITARI!$C:$C,A184,DITARI!$F:$F)-SUMIF(DITARI!$C:$C,A184,DITARI!$G:$G))&lt;0.005,"OK","ERROR"))</f>
        <v/>
      </c>
      <c r="C184" s="471" t="str">
        <f aca="false">IF(A184="","",SUMIF(DITARI!$C:$C,A184,DITARI!$F:$F))</f>
        <v/>
      </c>
      <c r="D184" s="471" t="str">
        <f aca="false">IF(A184="","",SUMIF(DITARI!$C:$C,A184,DITARI!$G:$G))</f>
        <v/>
      </c>
      <c r="E184" s="472" t="str">
        <f aca="false">IF(A184="","",C184-D184)</f>
        <v/>
      </c>
      <c r="F184" s="100" t="str">
        <f aca="false">IF(A184="","",COUNTIF(DITARI!$C:$C,A184))</f>
        <v/>
      </c>
      <c r="G184" s="473"/>
    </row>
    <row r="185" customFormat="false" ht="14.25" hidden="false" customHeight="true" outlineLevel="0" collapsed="false">
      <c r="A185" s="470" t="str">
        <f aca="false">IF(COUNTIF(DITARI!$C$6:C187,DITARI!C187)=1,DITARI!C187,"")</f>
        <v/>
      </c>
      <c r="B185" s="100" t="str">
        <f aca="false">IF(A185="","",IF(ABS(SUMIF(DITARI!$C:$C,A185,DITARI!$F:$F)-SUMIF(DITARI!$C:$C,A185,DITARI!$G:$G))&lt;0.005,"OK","ERROR"))</f>
        <v/>
      </c>
      <c r="C185" s="471" t="str">
        <f aca="false">IF(A185="","",SUMIF(DITARI!$C:$C,A185,DITARI!$F:$F))</f>
        <v/>
      </c>
      <c r="D185" s="471" t="str">
        <f aca="false">IF(A185="","",SUMIF(DITARI!$C:$C,A185,DITARI!$G:$G))</f>
        <v/>
      </c>
      <c r="E185" s="472" t="str">
        <f aca="false">IF(A185="","",C185-D185)</f>
        <v/>
      </c>
      <c r="F185" s="100" t="str">
        <f aca="false">IF(A185="","",COUNTIF(DITARI!$C:$C,A185))</f>
        <v/>
      </c>
      <c r="G185" s="473"/>
    </row>
    <row r="186" customFormat="false" ht="14.25" hidden="false" customHeight="true" outlineLevel="0" collapsed="false">
      <c r="A186" s="470" t="str">
        <f aca="false">IF(COUNTIF(DITARI!$C$6:C188,DITARI!C188)=1,DITARI!C188,"")</f>
        <v/>
      </c>
      <c r="B186" s="100" t="str">
        <f aca="false">IF(A186="","",IF(ABS(SUMIF(DITARI!$C:$C,A186,DITARI!$F:$F)-SUMIF(DITARI!$C:$C,A186,DITARI!$G:$G))&lt;0.005,"OK","ERROR"))</f>
        <v/>
      </c>
      <c r="C186" s="471" t="str">
        <f aca="false">IF(A186="","",SUMIF(DITARI!$C:$C,A186,DITARI!$F:$F))</f>
        <v/>
      </c>
      <c r="D186" s="471" t="str">
        <f aca="false">IF(A186="","",SUMIF(DITARI!$C:$C,A186,DITARI!$G:$G))</f>
        <v/>
      </c>
      <c r="E186" s="472" t="str">
        <f aca="false">IF(A186="","",C186-D186)</f>
        <v/>
      </c>
      <c r="F186" s="100" t="str">
        <f aca="false">IF(A186="","",COUNTIF(DITARI!$C:$C,A186))</f>
        <v/>
      </c>
      <c r="G186" s="473"/>
    </row>
    <row r="187" customFormat="false" ht="14.25" hidden="false" customHeight="true" outlineLevel="0" collapsed="false">
      <c r="A187" s="470" t="str">
        <f aca="false">IF(COUNTIF(DITARI!$C$6:C189,DITARI!C189)=1,DITARI!C189,"")</f>
        <v/>
      </c>
      <c r="B187" s="100" t="str">
        <f aca="false">IF(A187="","",IF(ABS(SUMIF(DITARI!$C:$C,A187,DITARI!$F:$F)-SUMIF(DITARI!$C:$C,A187,DITARI!$G:$G))&lt;0.005,"OK","ERROR"))</f>
        <v/>
      </c>
      <c r="C187" s="471" t="str">
        <f aca="false">IF(A187="","",SUMIF(DITARI!$C:$C,A187,DITARI!$F:$F))</f>
        <v/>
      </c>
      <c r="D187" s="471" t="str">
        <f aca="false">IF(A187="","",SUMIF(DITARI!$C:$C,A187,DITARI!$G:$G))</f>
        <v/>
      </c>
      <c r="E187" s="472" t="str">
        <f aca="false">IF(A187="","",C187-D187)</f>
        <v/>
      </c>
      <c r="F187" s="100" t="str">
        <f aca="false">IF(A187="","",COUNTIF(DITARI!$C:$C,A187))</f>
        <v/>
      </c>
      <c r="G187" s="473"/>
    </row>
    <row r="188" customFormat="false" ht="14.25" hidden="false" customHeight="true" outlineLevel="0" collapsed="false">
      <c r="A188" s="470" t="str">
        <f aca="false">IF(COUNTIF(DITARI!$C$6:C190,DITARI!C190)=1,DITARI!C190,"")</f>
        <v/>
      </c>
      <c r="B188" s="100" t="str">
        <f aca="false">IF(A188="","",IF(ABS(SUMIF(DITARI!$C:$C,A188,DITARI!$F:$F)-SUMIF(DITARI!$C:$C,A188,DITARI!$G:$G))&lt;0.005,"OK","ERROR"))</f>
        <v/>
      </c>
      <c r="C188" s="471" t="str">
        <f aca="false">IF(A188="","",SUMIF(DITARI!$C:$C,A188,DITARI!$F:$F))</f>
        <v/>
      </c>
      <c r="D188" s="471" t="str">
        <f aca="false">IF(A188="","",SUMIF(DITARI!$C:$C,A188,DITARI!$G:$G))</f>
        <v/>
      </c>
      <c r="E188" s="472" t="str">
        <f aca="false">IF(A188="","",C188-D188)</f>
        <v/>
      </c>
      <c r="F188" s="100" t="str">
        <f aca="false">IF(A188="","",COUNTIF(DITARI!$C:$C,A188))</f>
        <v/>
      </c>
      <c r="G188" s="473"/>
    </row>
    <row r="189" customFormat="false" ht="14.25" hidden="false" customHeight="true" outlineLevel="0" collapsed="false">
      <c r="A189" s="470" t="str">
        <f aca="false">IF(COUNTIF(DITARI!$C$6:C191,DITARI!C191)=1,DITARI!C191,"")</f>
        <v/>
      </c>
      <c r="B189" s="100" t="str">
        <f aca="false">IF(A189="","",IF(ABS(SUMIF(DITARI!$C:$C,A189,DITARI!$F:$F)-SUMIF(DITARI!$C:$C,A189,DITARI!$G:$G))&lt;0.005,"OK","ERROR"))</f>
        <v/>
      </c>
      <c r="C189" s="471" t="str">
        <f aca="false">IF(A189="","",SUMIF(DITARI!$C:$C,A189,DITARI!$F:$F))</f>
        <v/>
      </c>
      <c r="D189" s="471" t="str">
        <f aca="false">IF(A189="","",SUMIF(DITARI!$C:$C,A189,DITARI!$G:$G))</f>
        <v/>
      </c>
      <c r="E189" s="472" t="str">
        <f aca="false">IF(A189="","",C189-D189)</f>
        <v/>
      </c>
      <c r="F189" s="100" t="str">
        <f aca="false">IF(A189="","",COUNTIF(DITARI!$C:$C,A189))</f>
        <v/>
      </c>
      <c r="G189" s="473"/>
    </row>
    <row r="190" customFormat="false" ht="14.25" hidden="false" customHeight="true" outlineLevel="0" collapsed="false">
      <c r="A190" s="470" t="str">
        <f aca="false">IF(COUNTIF(DITARI!$C$6:C192,DITARI!C192)=1,DITARI!C192,"")</f>
        <v/>
      </c>
      <c r="B190" s="100" t="str">
        <f aca="false">IF(A190="","",IF(ABS(SUMIF(DITARI!$C:$C,A190,DITARI!$F:$F)-SUMIF(DITARI!$C:$C,A190,DITARI!$G:$G))&lt;0.005,"OK","ERROR"))</f>
        <v/>
      </c>
      <c r="C190" s="471" t="str">
        <f aca="false">IF(A190="","",SUMIF(DITARI!$C:$C,A190,DITARI!$F:$F))</f>
        <v/>
      </c>
      <c r="D190" s="471" t="str">
        <f aca="false">IF(A190="","",SUMIF(DITARI!$C:$C,A190,DITARI!$G:$G))</f>
        <v/>
      </c>
      <c r="E190" s="472" t="str">
        <f aca="false">IF(A190="","",C190-D190)</f>
        <v/>
      </c>
      <c r="F190" s="100" t="str">
        <f aca="false">IF(A190="","",COUNTIF(DITARI!$C:$C,A190))</f>
        <v/>
      </c>
      <c r="G190" s="473"/>
    </row>
    <row r="191" customFormat="false" ht="14.25" hidden="false" customHeight="true" outlineLevel="0" collapsed="false">
      <c r="A191" s="470" t="str">
        <f aca="false">IF(COUNTIF(DITARI!$C$6:C193,DITARI!C193)=1,DITARI!C193,"")</f>
        <v/>
      </c>
      <c r="B191" s="100" t="str">
        <f aca="false">IF(A191="","",IF(ABS(SUMIF(DITARI!$C:$C,A191,DITARI!$F:$F)-SUMIF(DITARI!$C:$C,A191,DITARI!$G:$G))&lt;0.005,"OK","ERROR"))</f>
        <v/>
      </c>
      <c r="C191" s="471" t="str">
        <f aca="false">IF(A191="","",SUMIF(DITARI!$C:$C,A191,DITARI!$F:$F))</f>
        <v/>
      </c>
      <c r="D191" s="471" t="str">
        <f aca="false">IF(A191="","",SUMIF(DITARI!$C:$C,A191,DITARI!$G:$G))</f>
        <v/>
      </c>
      <c r="E191" s="472" t="str">
        <f aca="false">IF(A191="","",C191-D191)</f>
        <v/>
      </c>
      <c r="F191" s="100" t="str">
        <f aca="false">IF(A191="","",COUNTIF(DITARI!$C:$C,A191))</f>
        <v/>
      </c>
      <c r="G191" s="473"/>
    </row>
    <row r="192" customFormat="false" ht="14.25" hidden="false" customHeight="true" outlineLevel="0" collapsed="false">
      <c r="A192" s="470" t="str">
        <f aca="false">IF(COUNTIF(DITARI!$C$6:C194,DITARI!C194)=1,DITARI!C194,"")</f>
        <v/>
      </c>
      <c r="B192" s="100" t="str">
        <f aca="false">IF(A192="","",IF(ABS(SUMIF(DITARI!$C:$C,A192,DITARI!$F:$F)-SUMIF(DITARI!$C:$C,A192,DITARI!$G:$G))&lt;0.005,"OK","ERROR"))</f>
        <v/>
      </c>
      <c r="C192" s="471" t="str">
        <f aca="false">IF(A192="","",SUMIF(DITARI!$C:$C,A192,DITARI!$F:$F))</f>
        <v/>
      </c>
      <c r="D192" s="471" t="str">
        <f aca="false">IF(A192="","",SUMIF(DITARI!$C:$C,A192,DITARI!$G:$G))</f>
        <v/>
      </c>
      <c r="E192" s="472" t="str">
        <f aca="false">IF(A192="","",C192-D192)</f>
        <v/>
      </c>
      <c r="F192" s="100" t="str">
        <f aca="false">IF(A192="","",COUNTIF(DITARI!$C:$C,A192))</f>
        <v/>
      </c>
      <c r="G192" s="473"/>
    </row>
    <row r="193" customFormat="false" ht="14.25" hidden="false" customHeight="true" outlineLevel="0" collapsed="false">
      <c r="A193" s="470" t="str">
        <f aca="false">IF(COUNTIF(DITARI!$C$6:C195,DITARI!C195)=1,DITARI!C195,"")</f>
        <v/>
      </c>
      <c r="B193" s="100" t="str">
        <f aca="false">IF(A193="","",IF(ABS(SUMIF(DITARI!$C:$C,A193,DITARI!$F:$F)-SUMIF(DITARI!$C:$C,A193,DITARI!$G:$G))&lt;0.005,"OK","ERROR"))</f>
        <v/>
      </c>
      <c r="C193" s="471" t="str">
        <f aca="false">IF(A193="","",SUMIF(DITARI!$C:$C,A193,DITARI!$F:$F))</f>
        <v/>
      </c>
      <c r="D193" s="471" t="str">
        <f aca="false">IF(A193="","",SUMIF(DITARI!$C:$C,A193,DITARI!$G:$G))</f>
        <v/>
      </c>
      <c r="E193" s="472" t="str">
        <f aca="false">IF(A193="","",C193-D193)</f>
        <v/>
      </c>
      <c r="F193" s="100" t="str">
        <f aca="false">IF(A193="","",COUNTIF(DITARI!$C:$C,A193))</f>
        <v/>
      </c>
      <c r="G193" s="473"/>
    </row>
    <row r="194" customFormat="false" ht="14.25" hidden="false" customHeight="true" outlineLevel="0" collapsed="false">
      <c r="A194" s="470" t="str">
        <f aca="false">IF(COUNTIF(DITARI!$C$6:C196,DITARI!C196)=1,DITARI!C196,"")</f>
        <v/>
      </c>
      <c r="B194" s="100" t="str">
        <f aca="false">IF(A194="","",IF(ABS(SUMIF(DITARI!$C:$C,A194,DITARI!$F:$F)-SUMIF(DITARI!$C:$C,A194,DITARI!$G:$G))&lt;0.005,"OK","ERROR"))</f>
        <v/>
      </c>
      <c r="C194" s="471" t="str">
        <f aca="false">IF(A194="","",SUMIF(DITARI!$C:$C,A194,DITARI!$F:$F))</f>
        <v/>
      </c>
      <c r="D194" s="471" t="str">
        <f aca="false">IF(A194="","",SUMIF(DITARI!$C:$C,A194,DITARI!$G:$G))</f>
        <v/>
      </c>
      <c r="E194" s="472" t="str">
        <f aca="false">IF(A194="","",C194-D194)</f>
        <v/>
      </c>
      <c r="F194" s="100" t="str">
        <f aca="false">IF(A194="","",COUNTIF(DITARI!$C:$C,A194))</f>
        <v/>
      </c>
      <c r="G194" s="473"/>
    </row>
    <row r="195" customFormat="false" ht="14.25" hidden="false" customHeight="true" outlineLevel="0" collapsed="false">
      <c r="A195" s="470" t="str">
        <f aca="false">IF(COUNTIF(DITARI!$C$6:C197,DITARI!C197)=1,DITARI!C197,"")</f>
        <v/>
      </c>
      <c r="B195" s="100" t="str">
        <f aca="false">IF(A195="","",IF(ABS(SUMIF(DITARI!$C:$C,A195,DITARI!$F:$F)-SUMIF(DITARI!$C:$C,A195,DITARI!$G:$G))&lt;0.005,"OK","ERROR"))</f>
        <v/>
      </c>
      <c r="C195" s="471" t="str">
        <f aca="false">IF(A195="","",SUMIF(DITARI!$C:$C,A195,DITARI!$F:$F))</f>
        <v/>
      </c>
      <c r="D195" s="471" t="str">
        <f aca="false">IF(A195="","",SUMIF(DITARI!$C:$C,A195,DITARI!$G:$G))</f>
        <v/>
      </c>
      <c r="E195" s="472" t="str">
        <f aca="false">IF(A195="","",C195-D195)</f>
        <v/>
      </c>
      <c r="F195" s="100" t="str">
        <f aca="false">IF(A195="","",COUNTIF(DITARI!$C:$C,A195))</f>
        <v/>
      </c>
      <c r="G195" s="473"/>
    </row>
    <row r="196" customFormat="false" ht="14.25" hidden="false" customHeight="true" outlineLevel="0" collapsed="false">
      <c r="A196" s="470" t="str">
        <f aca="false">IF(COUNTIF(DITARI!$C$6:C198,DITARI!C198)=1,DITARI!C198,"")</f>
        <v/>
      </c>
      <c r="B196" s="100" t="str">
        <f aca="false">IF(A196="","",IF(ABS(SUMIF(DITARI!$C:$C,A196,DITARI!$F:$F)-SUMIF(DITARI!$C:$C,A196,DITARI!$G:$G))&lt;0.005,"OK","ERROR"))</f>
        <v/>
      </c>
      <c r="C196" s="471" t="str">
        <f aca="false">IF(A196="","",SUMIF(DITARI!$C:$C,A196,DITARI!$F:$F))</f>
        <v/>
      </c>
      <c r="D196" s="471" t="str">
        <f aca="false">IF(A196="","",SUMIF(DITARI!$C:$C,A196,DITARI!$G:$G))</f>
        <v/>
      </c>
      <c r="E196" s="472" t="str">
        <f aca="false">IF(A196="","",C196-D196)</f>
        <v/>
      </c>
      <c r="F196" s="100" t="str">
        <f aca="false">IF(A196="","",COUNTIF(DITARI!$C:$C,A196))</f>
        <v/>
      </c>
      <c r="G196" s="473"/>
    </row>
    <row r="197" customFormat="false" ht="14.25" hidden="false" customHeight="true" outlineLevel="0" collapsed="false">
      <c r="A197" s="470" t="str">
        <f aca="false">IF(COUNTIF(DITARI!$C$6:C199,DITARI!C199)=1,DITARI!C199,"")</f>
        <v/>
      </c>
      <c r="B197" s="100" t="str">
        <f aca="false">IF(A197="","",IF(ABS(SUMIF(DITARI!$C:$C,A197,DITARI!$F:$F)-SUMIF(DITARI!$C:$C,A197,DITARI!$G:$G))&lt;0.005,"OK","ERROR"))</f>
        <v/>
      </c>
      <c r="C197" s="471" t="str">
        <f aca="false">IF(A197="","",SUMIF(DITARI!$C:$C,A197,DITARI!$F:$F))</f>
        <v/>
      </c>
      <c r="D197" s="471" t="str">
        <f aca="false">IF(A197="","",SUMIF(DITARI!$C:$C,A197,DITARI!$G:$G))</f>
        <v/>
      </c>
      <c r="E197" s="472" t="str">
        <f aca="false">IF(A197="","",C197-D197)</f>
        <v/>
      </c>
      <c r="F197" s="100" t="str">
        <f aca="false">IF(A197="","",COUNTIF(DITARI!$C:$C,A197))</f>
        <v/>
      </c>
      <c r="G197" s="473"/>
    </row>
    <row r="198" customFormat="false" ht="14.25" hidden="false" customHeight="true" outlineLevel="0" collapsed="false">
      <c r="A198" s="470" t="str">
        <f aca="false">IF(COUNTIF(DITARI!$C$6:C200,DITARI!C200)=1,DITARI!C200,"")</f>
        <v/>
      </c>
      <c r="B198" s="100" t="str">
        <f aca="false">IF(A198="","",IF(ABS(SUMIF(DITARI!$C:$C,A198,DITARI!$F:$F)-SUMIF(DITARI!$C:$C,A198,DITARI!$G:$G))&lt;0.005,"OK","ERROR"))</f>
        <v/>
      </c>
      <c r="C198" s="471" t="str">
        <f aca="false">IF(A198="","",SUMIF(DITARI!$C:$C,A198,DITARI!$F:$F))</f>
        <v/>
      </c>
      <c r="D198" s="471" t="str">
        <f aca="false">IF(A198="","",SUMIF(DITARI!$C:$C,A198,DITARI!$G:$G))</f>
        <v/>
      </c>
      <c r="E198" s="472" t="str">
        <f aca="false">IF(A198="","",C198-D198)</f>
        <v/>
      </c>
      <c r="F198" s="100" t="str">
        <f aca="false">IF(A198="","",COUNTIF(DITARI!$C:$C,A198))</f>
        <v/>
      </c>
      <c r="G198" s="473"/>
    </row>
    <row r="199" customFormat="false" ht="14.25" hidden="false" customHeight="true" outlineLevel="0" collapsed="false">
      <c r="A199" s="470" t="str">
        <f aca="false">IF(COUNTIF(DITARI!$C$6:C201,DITARI!C201)=1,DITARI!C201,"")</f>
        <v/>
      </c>
      <c r="B199" s="100" t="str">
        <f aca="false">IF(A199="","",IF(ABS(SUMIF(DITARI!$C:$C,A199,DITARI!$F:$F)-SUMIF(DITARI!$C:$C,A199,DITARI!$G:$G))&lt;0.005,"OK","ERROR"))</f>
        <v/>
      </c>
      <c r="C199" s="471" t="str">
        <f aca="false">IF(A199="","",SUMIF(DITARI!$C:$C,A199,DITARI!$F:$F))</f>
        <v/>
      </c>
      <c r="D199" s="471" t="str">
        <f aca="false">IF(A199="","",SUMIF(DITARI!$C:$C,A199,DITARI!$G:$G))</f>
        <v/>
      </c>
      <c r="E199" s="472" t="str">
        <f aca="false">IF(A199="","",C199-D199)</f>
        <v/>
      </c>
      <c r="F199" s="100" t="str">
        <f aca="false">IF(A199="","",COUNTIF(DITARI!$C:$C,A199))</f>
        <v/>
      </c>
      <c r="G199" s="473"/>
    </row>
    <row r="200" customFormat="false" ht="14.25" hidden="false" customHeight="true" outlineLevel="0" collapsed="false">
      <c r="A200" s="470" t="str">
        <f aca="false">IF(COUNTIF(DITARI!$C$6:C202,DITARI!C202)=1,DITARI!C202,"")</f>
        <v/>
      </c>
      <c r="B200" s="100" t="str">
        <f aca="false">IF(A200="","",IF(ABS(SUMIF(DITARI!$C:$C,A200,DITARI!$F:$F)-SUMIF(DITARI!$C:$C,A200,DITARI!$G:$G))&lt;0.005,"OK","ERROR"))</f>
        <v/>
      </c>
      <c r="C200" s="471" t="str">
        <f aca="false">IF(A200="","",SUMIF(DITARI!$C:$C,A200,DITARI!$F:$F))</f>
        <v/>
      </c>
      <c r="D200" s="471" t="str">
        <f aca="false">IF(A200="","",SUMIF(DITARI!$C:$C,A200,DITARI!$G:$G))</f>
        <v/>
      </c>
      <c r="E200" s="472" t="str">
        <f aca="false">IF(A200="","",C200-D200)</f>
        <v/>
      </c>
      <c r="F200" s="100" t="str">
        <f aca="false">IF(A200="","",COUNTIF(DITARI!$C:$C,A200))</f>
        <v/>
      </c>
      <c r="G200" s="473"/>
    </row>
    <row r="201" customFormat="false" ht="14.25" hidden="false" customHeight="true" outlineLevel="0" collapsed="false">
      <c r="A201" s="470" t="str">
        <f aca="false">IF(COUNTIF(DITARI!$C$6:C203,DITARI!C203)=1,DITARI!C203,"")</f>
        <v/>
      </c>
      <c r="B201" s="100" t="str">
        <f aca="false">IF(A201="","",IF(ABS(SUMIF(DITARI!$C:$C,A201,DITARI!$F:$F)-SUMIF(DITARI!$C:$C,A201,DITARI!$G:$G))&lt;0.005,"OK","ERROR"))</f>
        <v/>
      </c>
      <c r="C201" s="471" t="str">
        <f aca="false">IF(A201="","",SUMIF(DITARI!$C:$C,A201,DITARI!$F:$F))</f>
        <v/>
      </c>
      <c r="D201" s="471" t="str">
        <f aca="false">IF(A201="","",SUMIF(DITARI!$C:$C,A201,DITARI!$G:$G))</f>
        <v/>
      </c>
      <c r="E201" s="472" t="str">
        <f aca="false">IF(A201="","",C201-D201)</f>
        <v/>
      </c>
      <c r="F201" s="100" t="str">
        <f aca="false">IF(A201="","",COUNTIF(DITARI!$C:$C,A201))</f>
        <v/>
      </c>
      <c r="G201" s="473"/>
    </row>
    <row r="202" customFormat="false" ht="14.25" hidden="false" customHeight="true" outlineLevel="0" collapsed="false">
      <c r="A202" s="470" t="str">
        <f aca="false">IF(COUNTIF(DITARI!$C$6:C204,DITARI!C204)=1,DITARI!C204,"")</f>
        <v/>
      </c>
      <c r="B202" s="100" t="str">
        <f aca="false">IF(A202="","",IF(ABS(SUMIF(DITARI!$C:$C,A202,DITARI!$F:$F)-SUMIF(DITARI!$C:$C,A202,DITARI!$G:$G))&lt;0.005,"OK","ERROR"))</f>
        <v/>
      </c>
      <c r="C202" s="471" t="str">
        <f aca="false">IF(A202="","",SUMIF(DITARI!$C:$C,A202,DITARI!$F:$F))</f>
        <v/>
      </c>
      <c r="D202" s="471" t="str">
        <f aca="false">IF(A202="","",SUMIF(DITARI!$C:$C,A202,DITARI!$G:$G))</f>
        <v/>
      </c>
      <c r="E202" s="472" t="str">
        <f aca="false">IF(A202="","",C202-D202)</f>
        <v/>
      </c>
      <c r="F202" s="100" t="str">
        <f aca="false">IF(A202="","",COUNTIF(DITARI!$C:$C,A202))</f>
        <v/>
      </c>
      <c r="G202" s="473"/>
    </row>
    <row r="203" customFormat="false" ht="14.25" hidden="false" customHeight="true" outlineLevel="0" collapsed="false">
      <c r="A203" s="470" t="str">
        <f aca="false">IF(COUNTIF(DITARI!$C$6:C205,DITARI!C205)=1,DITARI!C205,"")</f>
        <v/>
      </c>
      <c r="B203" s="100" t="str">
        <f aca="false">IF(A203="","",IF(ABS(SUMIF(DITARI!$C:$C,A203,DITARI!$F:$F)-SUMIF(DITARI!$C:$C,A203,DITARI!$G:$G))&lt;0.005,"OK","ERROR"))</f>
        <v/>
      </c>
      <c r="C203" s="471" t="str">
        <f aca="false">IF(A203="","",SUMIF(DITARI!$C:$C,A203,DITARI!$F:$F))</f>
        <v/>
      </c>
      <c r="D203" s="471" t="str">
        <f aca="false">IF(A203="","",SUMIF(DITARI!$C:$C,A203,DITARI!$G:$G))</f>
        <v/>
      </c>
      <c r="E203" s="472" t="str">
        <f aca="false">IF(A203="","",C203-D203)</f>
        <v/>
      </c>
      <c r="F203" s="100" t="str">
        <f aca="false">IF(A203="","",COUNTIF(DITARI!$C:$C,A203))</f>
        <v/>
      </c>
      <c r="G203" s="473"/>
    </row>
    <row r="204" customFormat="false" ht="14.25" hidden="false" customHeight="true" outlineLevel="0" collapsed="false">
      <c r="A204" s="470" t="str">
        <f aca="false">IF(COUNTIF(DITARI!$C$6:C206,DITARI!C206)=1,DITARI!C206,"")</f>
        <v/>
      </c>
      <c r="B204" s="100" t="str">
        <f aca="false">IF(A204="","",IF(ABS(SUMIF(DITARI!$C:$C,A204,DITARI!$F:$F)-SUMIF(DITARI!$C:$C,A204,DITARI!$G:$G))&lt;0.005,"OK","ERROR"))</f>
        <v/>
      </c>
      <c r="C204" s="471" t="str">
        <f aca="false">IF(A204="","",SUMIF(DITARI!$C:$C,A204,DITARI!$F:$F))</f>
        <v/>
      </c>
      <c r="D204" s="471" t="str">
        <f aca="false">IF(A204="","",SUMIF(DITARI!$C:$C,A204,DITARI!$G:$G))</f>
        <v/>
      </c>
      <c r="E204" s="472" t="str">
        <f aca="false">IF(A204="","",C204-D204)</f>
        <v/>
      </c>
      <c r="F204" s="100" t="str">
        <f aca="false">IF(A204="","",COUNTIF(DITARI!$C:$C,A204))</f>
        <v/>
      </c>
      <c r="G204" s="473"/>
    </row>
    <row r="205" customFormat="false" ht="14.25" hidden="false" customHeight="true" outlineLevel="0" collapsed="false">
      <c r="A205" s="470" t="str">
        <f aca="false">IF(COUNTIF(DITARI!$C$6:C207,DITARI!C207)=1,DITARI!C207,"")</f>
        <v/>
      </c>
      <c r="B205" s="100" t="str">
        <f aca="false">IF(A205="","",IF(ABS(SUMIF(DITARI!$C:$C,A205,DITARI!$F:$F)-SUMIF(DITARI!$C:$C,A205,DITARI!$G:$G))&lt;0.005,"OK","ERROR"))</f>
        <v/>
      </c>
      <c r="C205" s="471" t="str">
        <f aca="false">IF(A205="","",SUMIF(DITARI!$C:$C,A205,DITARI!$F:$F))</f>
        <v/>
      </c>
      <c r="D205" s="471" t="str">
        <f aca="false">IF(A205="","",SUMIF(DITARI!$C:$C,A205,DITARI!$G:$G))</f>
        <v/>
      </c>
      <c r="E205" s="472" t="str">
        <f aca="false">IF(A205="","",C205-D205)</f>
        <v/>
      </c>
      <c r="F205" s="100" t="str">
        <f aca="false">IF(A205="","",COUNTIF(DITARI!$C:$C,A205))</f>
        <v/>
      </c>
      <c r="G205" s="473"/>
    </row>
    <row r="206" customFormat="false" ht="14.25" hidden="false" customHeight="true" outlineLevel="0" collapsed="false">
      <c r="A206" s="470" t="str">
        <f aca="false">IF(COUNTIF(DITARI!$C$6:C208,DITARI!C208)=1,DITARI!C208,"")</f>
        <v/>
      </c>
      <c r="B206" s="100" t="str">
        <f aca="false">IF(A206="","",IF(ABS(SUMIF(DITARI!$C:$C,A206,DITARI!$F:$F)-SUMIF(DITARI!$C:$C,A206,DITARI!$G:$G))&lt;0.005,"OK","ERROR"))</f>
        <v/>
      </c>
      <c r="C206" s="471" t="str">
        <f aca="false">IF(A206="","",SUMIF(DITARI!$C:$C,A206,DITARI!$F:$F))</f>
        <v/>
      </c>
      <c r="D206" s="471" t="str">
        <f aca="false">IF(A206="","",SUMIF(DITARI!$C:$C,A206,DITARI!$G:$G))</f>
        <v/>
      </c>
      <c r="E206" s="472" t="str">
        <f aca="false">IF(A206="","",C206-D206)</f>
        <v/>
      </c>
      <c r="F206" s="100" t="str">
        <f aca="false">IF(A206="","",COUNTIF(DITARI!$C:$C,A206))</f>
        <v/>
      </c>
      <c r="G206" s="473"/>
    </row>
    <row r="207" customFormat="false" ht="14.25" hidden="false" customHeight="true" outlineLevel="0" collapsed="false">
      <c r="A207" s="470" t="str">
        <f aca="false">IF(COUNTIF(DITARI!$C$6:C209,DITARI!C209)=1,DITARI!C209,"")</f>
        <v/>
      </c>
      <c r="B207" s="100" t="str">
        <f aca="false">IF(A207="","",IF(ABS(SUMIF(DITARI!$C:$C,A207,DITARI!$F:$F)-SUMIF(DITARI!$C:$C,A207,DITARI!$G:$G))&lt;0.005,"OK","ERROR"))</f>
        <v/>
      </c>
      <c r="C207" s="471" t="str">
        <f aca="false">IF(A207="","",SUMIF(DITARI!$C:$C,A207,DITARI!$F:$F))</f>
        <v/>
      </c>
      <c r="D207" s="471" t="str">
        <f aca="false">IF(A207="","",SUMIF(DITARI!$C:$C,A207,DITARI!$G:$G))</f>
        <v/>
      </c>
      <c r="E207" s="472" t="str">
        <f aca="false">IF(A207="","",C207-D207)</f>
        <v/>
      </c>
      <c r="F207" s="100" t="str">
        <f aca="false">IF(A207="","",COUNTIF(DITARI!$C:$C,A207))</f>
        <v/>
      </c>
      <c r="G207" s="473"/>
    </row>
    <row r="208" customFormat="false" ht="14.25" hidden="false" customHeight="true" outlineLevel="0" collapsed="false">
      <c r="A208" s="470" t="str">
        <f aca="false">IF(COUNTIF(DITARI!$C$6:C210,DITARI!C210)=1,DITARI!C210,"")</f>
        <v/>
      </c>
      <c r="B208" s="100" t="str">
        <f aca="false">IF(A208="","",IF(ABS(SUMIF(DITARI!$C:$C,A208,DITARI!$F:$F)-SUMIF(DITARI!$C:$C,A208,DITARI!$G:$G))&lt;0.005,"OK","ERROR"))</f>
        <v/>
      </c>
      <c r="C208" s="471" t="str">
        <f aca="false">IF(A208="","",SUMIF(DITARI!$C:$C,A208,DITARI!$F:$F))</f>
        <v/>
      </c>
      <c r="D208" s="471" t="str">
        <f aca="false">IF(A208="","",SUMIF(DITARI!$C:$C,A208,DITARI!$G:$G))</f>
        <v/>
      </c>
      <c r="E208" s="472" t="str">
        <f aca="false">IF(A208="","",C208-D208)</f>
        <v/>
      </c>
      <c r="F208" s="100" t="str">
        <f aca="false">IF(A208="","",COUNTIF(DITARI!$C:$C,A208))</f>
        <v/>
      </c>
      <c r="G208" s="473"/>
    </row>
    <row r="209" customFormat="false" ht="14.25" hidden="false" customHeight="true" outlineLevel="0" collapsed="false">
      <c r="A209" s="470" t="str">
        <f aca="false">IF(COUNTIF(DITARI!$C$6:C211,DITARI!C211)=1,DITARI!C211,"")</f>
        <v/>
      </c>
      <c r="B209" s="100" t="str">
        <f aca="false">IF(A209="","",IF(ABS(SUMIF(DITARI!$C:$C,A209,DITARI!$F:$F)-SUMIF(DITARI!$C:$C,A209,DITARI!$G:$G))&lt;0.005,"OK","ERROR"))</f>
        <v/>
      </c>
      <c r="C209" s="471" t="str">
        <f aca="false">IF(A209="","",SUMIF(DITARI!$C:$C,A209,DITARI!$F:$F))</f>
        <v/>
      </c>
      <c r="D209" s="471" t="str">
        <f aca="false">IF(A209="","",SUMIF(DITARI!$C:$C,A209,DITARI!$G:$G))</f>
        <v/>
      </c>
      <c r="E209" s="472" t="str">
        <f aca="false">IF(A209="","",C209-D209)</f>
        <v/>
      </c>
      <c r="F209" s="100" t="str">
        <f aca="false">IF(A209="","",COUNTIF(DITARI!$C:$C,A209))</f>
        <v/>
      </c>
      <c r="G209" s="473"/>
    </row>
    <row r="210" customFormat="false" ht="14.25" hidden="false" customHeight="true" outlineLevel="0" collapsed="false">
      <c r="A210" s="470" t="str">
        <f aca="false">IF(COUNTIF(DITARI!$C$6:C212,DITARI!C212)=1,DITARI!C212,"")</f>
        <v/>
      </c>
      <c r="B210" s="100" t="str">
        <f aca="false">IF(A210="","",IF(ABS(SUMIF(DITARI!$C:$C,A210,DITARI!$F:$F)-SUMIF(DITARI!$C:$C,A210,DITARI!$G:$G))&lt;0.005,"OK","ERROR"))</f>
        <v/>
      </c>
      <c r="C210" s="471" t="str">
        <f aca="false">IF(A210="","",SUMIF(DITARI!$C:$C,A210,DITARI!$F:$F))</f>
        <v/>
      </c>
      <c r="D210" s="471" t="str">
        <f aca="false">IF(A210="","",SUMIF(DITARI!$C:$C,A210,DITARI!$G:$G))</f>
        <v/>
      </c>
      <c r="E210" s="472" t="str">
        <f aca="false">IF(A210="","",C210-D210)</f>
        <v/>
      </c>
      <c r="F210" s="100" t="str">
        <f aca="false">IF(A210="","",COUNTIF(DITARI!$C:$C,A210))</f>
        <v/>
      </c>
      <c r="G210" s="473"/>
    </row>
    <row r="211" customFormat="false" ht="14.25" hidden="false" customHeight="true" outlineLevel="0" collapsed="false">
      <c r="A211" s="470" t="str">
        <f aca="false">IF(COUNTIF(DITARI!$C$6:C213,DITARI!C213)=1,DITARI!C213,"")</f>
        <v/>
      </c>
      <c r="B211" s="100" t="str">
        <f aca="false">IF(A211="","",IF(ABS(SUMIF(DITARI!$C:$C,A211,DITARI!$F:$F)-SUMIF(DITARI!$C:$C,A211,DITARI!$G:$G))&lt;0.005,"OK","ERROR"))</f>
        <v/>
      </c>
      <c r="C211" s="471" t="str">
        <f aca="false">IF(A211="","",SUMIF(DITARI!$C:$C,A211,DITARI!$F:$F))</f>
        <v/>
      </c>
      <c r="D211" s="471" t="str">
        <f aca="false">IF(A211="","",SUMIF(DITARI!$C:$C,A211,DITARI!$G:$G))</f>
        <v/>
      </c>
      <c r="E211" s="472" t="str">
        <f aca="false">IF(A211="","",C211-D211)</f>
        <v/>
      </c>
      <c r="F211" s="100" t="str">
        <f aca="false">IF(A211="","",COUNTIF(DITARI!$C:$C,A211))</f>
        <v/>
      </c>
      <c r="G211" s="473"/>
    </row>
    <row r="212" customFormat="false" ht="14.25" hidden="false" customHeight="true" outlineLevel="0" collapsed="false">
      <c r="A212" s="470" t="str">
        <f aca="false">IF(COUNTIF(DITARI!$C$6:C214,DITARI!C214)=1,DITARI!C214,"")</f>
        <v/>
      </c>
      <c r="B212" s="100" t="str">
        <f aca="false">IF(A212="","",IF(ABS(SUMIF(DITARI!$C:$C,A212,DITARI!$F:$F)-SUMIF(DITARI!$C:$C,A212,DITARI!$G:$G))&lt;0.005,"OK","ERROR"))</f>
        <v/>
      </c>
      <c r="C212" s="471" t="str">
        <f aca="false">IF(A212="","",SUMIF(DITARI!$C:$C,A212,DITARI!$F:$F))</f>
        <v/>
      </c>
      <c r="D212" s="471" t="str">
        <f aca="false">IF(A212="","",SUMIF(DITARI!$C:$C,A212,DITARI!$G:$G))</f>
        <v/>
      </c>
      <c r="E212" s="472" t="str">
        <f aca="false">IF(A212="","",C212-D212)</f>
        <v/>
      </c>
      <c r="F212" s="100" t="str">
        <f aca="false">IF(A212="","",COUNTIF(DITARI!$C:$C,A212))</f>
        <v/>
      </c>
      <c r="G212" s="473"/>
    </row>
    <row r="213" customFormat="false" ht="14.25" hidden="false" customHeight="true" outlineLevel="0" collapsed="false">
      <c r="A213" s="470" t="str">
        <f aca="false">IF(COUNTIF(DITARI!$C$6:C215,DITARI!C215)=1,DITARI!C215,"")</f>
        <v/>
      </c>
      <c r="B213" s="100" t="str">
        <f aca="false">IF(A213="","",IF(ABS(SUMIF(DITARI!$C:$C,A213,DITARI!$F:$F)-SUMIF(DITARI!$C:$C,A213,DITARI!$G:$G))&lt;0.005,"OK","ERROR"))</f>
        <v/>
      </c>
      <c r="C213" s="471" t="str">
        <f aca="false">IF(A213="","",SUMIF(DITARI!$C:$C,A213,DITARI!$F:$F))</f>
        <v/>
      </c>
      <c r="D213" s="471" t="str">
        <f aca="false">IF(A213="","",SUMIF(DITARI!$C:$C,A213,DITARI!$G:$G))</f>
        <v/>
      </c>
      <c r="E213" s="472" t="str">
        <f aca="false">IF(A213="","",C213-D213)</f>
        <v/>
      </c>
      <c r="F213" s="100" t="str">
        <f aca="false">IF(A213="","",COUNTIF(DITARI!$C:$C,A213))</f>
        <v/>
      </c>
      <c r="G213" s="473"/>
    </row>
    <row r="214" customFormat="false" ht="14.25" hidden="false" customHeight="true" outlineLevel="0" collapsed="false">
      <c r="A214" s="470" t="str">
        <f aca="false">IF(COUNTIF(DITARI!$C$6:C216,DITARI!C216)=1,DITARI!C216,"")</f>
        <v/>
      </c>
      <c r="B214" s="100" t="str">
        <f aca="false">IF(A214="","",IF(ABS(SUMIF(DITARI!$C:$C,A214,DITARI!$F:$F)-SUMIF(DITARI!$C:$C,A214,DITARI!$G:$G))&lt;0.005,"OK","ERROR"))</f>
        <v/>
      </c>
      <c r="C214" s="471" t="str">
        <f aca="false">IF(A214="","",SUMIF(DITARI!$C:$C,A214,DITARI!$F:$F))</f>
        <v/>
      </c>
      <c r="D214" s="471" t="str">
        <f aca="false">IF(A214="","",SUMIF(DITARI!$C:$C,A214,DITARI!$G:$G))</f>
        <v/>
      </c>
      <c r="E214" s="472" t="str">
        <f aca="false">IF(A214="","",C214-D214)</f>
        <v/>
      </c>
      <c r="F214" s="100" t="str">
        <f aca="false">IF(A214="","",COUNTIF(DITARI!$C:$C,A214))</f>
        <v/>
      </c>
      <c r="G214" s="473"/>
    </row>
    <row r="215" customFormat="false" ht="14.25" hidden="false" customHeight="true" outlineLevel="0" collapsed="false">
      <c r="A215" s="470" t="str">
        <f aca="false">IF(COUNTIF(DITARI!$C$6:C217,DITARI!C217)=1,DITARI!C217,"")</f>
        <v/>
      </c>
      <c r="B215" s="100" t="str">
        <f aca="false">IF(A215="","",IF(ABS(SUMIF(DITARI!$C:$C,A215,DITARI!$F:$F)-SUMIF(DITARI!$C:$C,A215,DITARI!$G:$G))&lt;0.005,"OK","ERROR"))</f>
        <v/>
      </c>
      <c r="C215" s="471" t="str">
        <f aca="false">IF(A215="","",SUMIF(DITARI!$C:$C,A215,DITARI!$F:$F))</f>
        <v/>
      </c>
      <c r="D215" s="471" t="str">
        <f aca="false">IF(A215="","",SUMIF(DITARI!$C:$C,A215,DITARI!$G:$G))</f>
        <v/>
      </c>
      <c r="E215" s="472" t="str">
        <f aca="false">IF(A215="","",C215-D215)</f>
        <v/>
      </c>
      <c r="F215" s="100" t="str">
        <f aca="false">IF(A215="","",COUNTIF(DITARI!$C:$C,A215))</f>
        <v/>
      </c>
      <c r="G215" s="473"/>
    </row>
    <row r="216" customFormat="false" ht="14.25" hidden="false" customHeight="true" outlineLevel="0" collapsed="false">
      <c r="A216" s="470" t="str">
        <f aca="false">IF(COUNTIF(DITARI!$C$6:C218,DITARI!C218)=1,DITARI!C218,"")</f>
        <v/>
      </c>
      <c r="B216" s="100" t="str">
        <f aca="false">IF(A216="","",IF(ABS(SUMIF(DITARI!$C:$C,A216,DITARI!$F:$F)-SUMIF(DITARI!$C:$C,A216,DITARI!$G:$G))&lt;0.005,"OK","ERROR"))</f>
        <v/>
      </c>
      <c r="C216" s="471" t="str">
        <f aca="false">IF(A216="","",SUMIF(DITARI!$C:$C,A216,DITARI!$F:$F))</f>
        <v/>
      </c>
      <c r="D216" s="471" t="str">
        <f aca="false">IF(A216="","",SUMIF(DITARI!$C:$C,A216,DITARI!$G:$G))</f>
        <v/>
      </c>
      <c r="E216" s="472" t="str">
        <f aca="false">IF(A216="","",C216-D216)</f>
        <v/>
      </c>
      <c r="F216" s="100" t="str">
        <f aca="false">IF(A216="","",COUNTIF(DITARI!$C:$C,A216))</f>
        <v/>
      </c>
      <c r="G216" s="473"/>
    </row>
    <row r="217" customFormat="false" ht="14.25" hidden="false" customHeight="true" outlineLevel="0" collapsed="false">
      <c r="A217" s="470" t="str">
        <f aca="false">IF(COUNTIF(DITARI!$C$6:C219,DITARI!C219)=1,DITARI!C219,"")</f>
        <v/>
      </c>
      <c r="B217" s="100" t="str">
        <f aca="false">IF(A217="","",IF(ABS(SUMIF(DITARI!$C:$C,A217,DITARI!$F:$F)-SUMIF(DITARI!$C:$C,A217,DITARI!$G:$G))&lt;0.005,"OK","ERROR"))</f>
        <v/>
      </c>
      <c r="C217" s="471" t="str">
        <f aca="false">IF(A217="","",SUMIF(DITARI!$C:$C,A217,DITARI!$F:$F))</f>
        <v/>
      </c>
      <c r="D217" s="471" t="str">
        <f aca="false">IF(A217="","",SUMIF(DITARI!$C:$C,A217,DITARI!$G:$G))</f>
        <v/>
      </c>
      <c r="E217" s="472" t="str">
        <f aca="false">IF(A217="","",C217-D217)</f>
        <v/>
      </c>
      <c r="F217" s="100" t="str">
        <f aca="false">IF(A217="","",COUNTIF(DITARI!$C:$C,A217))</f>
        <v/>
      </c>
      <c r="G217" s="473"/>
    </row>
    <row r="218" customFormat="false" ht="14.25" hidden="false" customHeight="true" outlineLevel="0" collapsed="false">
      <c r="A218" s="470" t="str">
        <f aca="false">IF(COUNTIF(DITARI!$C$6:C220,DITARI!C220)=1,DITARI!C220,"")</f>
        <v/>
      </c>
      <c r="B218" s="100" t="str">
        <f aca="false">IF(A218="","",IF(ABS(SUMIF(DITARI!$C:$C,A218,DITARI!$F:$F)-SUMIF(DITARI!$C:$C,A218,DITARI!$G:$G))&lt;0.005,"OK","ERROR"))</f>
        <v/>
      </c>
      <c r="C218" s="471" t="str">
        <f aca="false">IF(A218="","",SUMIF(DITARI!$C:$C,A218,DITARI!$F:$F))</f>
        <v/>
      </c>
      <c r="D218" s="471" t="str">
        <f aca="false">IF(A218="","",SUMIF(DITARI!$C:$C,A218,DITARI!$G:$G))</f>
        <v/>
      </c>
      <c r="E218" s="472" t="str">
        <f aca="false">IF(A218="","",C218-D218)</f>
        <v/>
      </c>
      <c r="F218" s="100" t="str">
        <f aca="false">IF(A218="","",COUNTIF(DITARI!$C:$C,A218))</f>
        <v/>
      </c>
      <c r="G218" s="473"/>
    </row>
    <row r="219" customFormat="false" ht="14.25" hidden="false" customHeight="true" outlineLevel="0" collapsed="false">
      <c r="A219" s="470" t="str">
        <f aca="false">IF(COUNTIF(DITARI!$C$6:C221,DITARI!C221)=1,DITARI!C221,"")</f>
        <v/>
      </c>
      <c r="B219" s="100" t="str">
        <f aca="false">IF(A219="","",IF(ABS(SUMIF(DITARI!$C:$C,A219,DITARI!$F:$F)-SUMIF(DITARI!$C:$C,A219,DITARI!$G:$G))&lt;0.005,"OK","ERROR"))</f>
        <v/>
      </c>
      <c r="C219" s="471" t="str">
        <f aca="false">IF(A219="","",SUMIF(DITARI!$C:$C,A219,DITARI!$F:$F))</f>
        <v/>
      </c>
      <c r="D219" s="471" t="str">
        <f aca="false">IF(A219="","",SUMIF(DITARI!$C:$C,A219,DITARI!$G:$G))</f>
        <v/>
      </c>
      <c r="E219" s="472" t="str">
        <f aca="false">IF(A219="","",C219-D219)</f>
        <v/>
      </c>
      <c r="F219" s="100" t="str">
        <f aca="false">IF(A219="","",COUNTIF(DITARI!$C:$C,A219))</f>
        <v/>
      </c>
      <c r="G219" s="473"/>
    </row>
    <row r="220" customFormat="false" ht="14.25" hidden="false" customHeight="true" outlineLevel="0" collapsed="false">
      <c r="A220" s="470" t="str">
        <f aca="false">IF(COUNTIF(DITARI!$C$6:C222,DITARI!C222)=1,DITARI!C222,"")</f>
        <v/>
      </c>
      <c r="B220" s="100" t="str">
        <f aca="false">IF(A220="","",IF(ABS(SUMIF(DITARI!$C:$C,A220,DITARI!$F:$F)-SUMIF(DITARI!$C:$C,A220,DITARI!$G:$G))&lt;0.005,"OK","ERROR"))</f>
        <v/>
      </c>
      <c r="C220" s="471" t="str">
        <f aca="false">IF(A220="","",SUMIF(DITARI!$C:$C,A220,DITARI!$F:$F))</f>
        <v/>
      </c>
      <c r="D220" s="471" t="str">
        <f aca="false">IF(A220="","",SUMIF(DITARI!$C:$C,A220,DITARI!$G:$G))</f>
        <v/>
      </c>
      <c r="E220" s="472" t="str">
        <f aca="false">IF(A220="","",C220-D220)</f>
        <v/>
      </c>
      <c r="F220" s="100" t="str">
        <f aca="false">IF(A220="","",COUNTIF(DITARI!$C:$C,A220))</f>
        <v/>
      </c>
      <c r="G220" s="473"/>
    </row>
    <row r="221" customFormat="false" ht="14.25" hidden="false" customHeight="true" outlineLevel="0" collapsed="false">
      <c r="A221" s="470" t="str">
        <f aca="false">IF(COUNTIF(DITARI!$C$6:C223,DITARI!C223)=1,DITARI!C223,"")</f>
        <v/>
      </c>
      <c r="B221" s="100" t="str">
        <f aca="false">IF(A221="","",IF(ABS(SUMIF(DITARI!$C:$C,A221,DITARI!$F:$F)-SUMIF(DITARI!$C:$C,A221,DITARI!$G:$G))&lt;0.005,"OK","ERROR"))</f>
        <v/>
      </c>
      <c r="C221" s="471" t="str">
        <f aca="false">IF(A221="","",SUMIF(DITARI!$C:$C,A221,DITARI!$F:$F))</f>
        <v/>
      </c>
      <c r="D221" s="471" t="str">
        <f aca="false">IF(A221="","",SUMIF(DITARI!$C:$C,A221,DITARI!$G:$G))</f>
        <v/>
      </c>
      <c r="E221" s="472" t="str">
        <f aca="false">IF(A221="","",C221-D221)</f>
        <v/>
      </c>
      <c r="F221" s="100" t="str">
        <f aca="false">IF(A221="","",COUNTIF(DITARI!$C:$C,A221))</f>
        <v/>
      </c>
      <c r="G221" s="473"/>
    </row>
    <row r="222" customFormat="false" ht="14.25" hidden="false" customHeight="true" outlineLevel="0" collapsed="false">
      <c r="A222" s="470" t="str">
        <f aca="false">IF(COUNTIF(DITARI!$C$6:C224,DITARI!C224)=1,DITARI!C224,"")</f>
        <v/>
      </c>
      <c r="B222" s="100" t="str">
        <f aca="false">IF(A222="","",IF(ABS(SUMIF(DITARI!$C:$C,A222,DITARI!$F:$F)-SUMIF(DITARI!$C:$C,A222,DITARI!$G:$G))&lt;0.005,"OK","ERROR"))</f>
        <v/>
      </c>
      <c r="C222" s="471" t="str">
        <f aca="false">IF(A222="","",SUMIF(DITARI!$C:$C,A222,DITARI!$F:$F))</f>
        <v/>
      </c>
      <c r="D222" s="471" t="str">
        <f aca="false">IF(A222="","",SUMIF(DITARI!$C:$C,A222,DITARI!$G:$G))</f>
        <v/>
      </c>
      <c r="E222" s="472" t="str">
        <f aca="false">IF(A222="","",C222-D222)</f>
        <v/>
      </c>
      <c r="F222" s="100" t="str">
        <f aca="false">IF(A222="","",COUNTIF(DITARI!$C:$C,A222))</f>
        <v/>
      </c>
      <c r="G222" s="473"/>
    </row>
    <row r="223" customFormat="false" ht="14.25" hidden="false" customHeight="true" outlineLevel="0" collapsed="false">
      <c r="A223" s="470" t="str">
        <f aca="false">IF(COUNTIF(DITARI!$C$6:C225,DITARI!C225)=1,DITARI!C225,"")</f>
        <v/>
      </c>
      <c r="B223" s="100" t="str">
        <f aca="false">IF(A223="","",IF(ABS(SUMIF(DITARI!$C:$C,A223,DITARI!$F:$F)-SUMIF(DITARI!$C:$C,A223,DITARI!$G:$G))&lt;0.005,"OK","ERROR"))</f>
        <v/>
      </c>
      <c r="C223" s="471" t="str">
        <f aca="false">IF(A223="","",SUMIF(DITARI!$C:$C,A223,DITARI!$F:$F))</f>
        <v/>
      </c>
      <c r="D223" s="471" t="str">
        <f aca="false">IF(A223="","",SUMIF(DITARI!$C:$C,A223,DITARI!$G:$G))</f>
        <v/>
      </c>
      <c r="E223" s="472" t="str">
        <f aca="false">IF(A223="","",C223-D223)</f>
        <v/>
      </c>
      <c r="F223" s="100" t="str">
        <f aca="false">IF(A223="","",COUNTIF(DITARI!$C:$C,A223))</f>
        <v/>
      </c>
      <c r="G223" s="473"/>
    </row>
    <row r="224" customFormat="false" ht="14.25" hidden="false" customHeight="true" outlineLevel="0" collapsed="false">
      <c r="A224" s="470" t="str">
        <f aca="false">IF(COUNTIF(DITARI!$C$6:C226,DITARI!C226)=1,DITARI!C226,"")</f>
        <v/>
      </c>
      <c r="B224" s="100" t="str">
        <f aca="false">IF(A224="","",IF(ABS(SUMIF(DITARI!$C:$C,A224,DITARI!$F:$F)-SUMIF(DITARI!$C:$C,A224,DITARI!$G:$G))&lt;0.005,"OK","ERROR"))</f>
        <v/>
      </c>
      <c r="C224" s="471" t="str">
        <f aca="false">IF(A224="","",SUMIF(DITARI!$C:$C,A224,DITARI!$F:$F))</f>
        <v/>
      </c>
      <c r="D224" s="471" t="str">
        <f aca="false">IF(A224="","",SUMIF(DITARI!$C:$C,A224,DITARI!$G:$G))</f>
        <v/>
      </c>
      <c r="E224" s="472" t="str">
        <f aca="false">IF(A224="","",C224-D224)</f>
        <v/>
      </c>
      <c r="F224" s="100" t="str">
        <f aca="false">IF(A224="","",COUNTIF(DITARI!$C:$C,A224))</f>
        <v/>
      </c>
      <c r="G224" s="473"/>
    </row>
    <row r="225" customFormat="false" ht="14.25" hidden="false" customHeight="true" outlineLevel="0" collapsed="false">
      <c r="A225" s="470" t="str">
        <f aca="false">IF(COUNTIF(DITARI!$C$6:C227,DITARI!C227)=1,DITARI!C227,"")</f>
        <v/>
      </c>
      <c r="B225" s="100" t="str">
        <f aca="false">IF(A225="","",IF(ABS(SUMIF(DITARI!$C:$C,A225,DITARI!$F:$F)-SUMIF(DITARI!$C:$C,A225,DITARI!$G:$G))&lt;0.005,"OK","ERROR"))</f>
        <v/>
      </c>
      <c r="C225" s="471" t="str">
        <f aca="false">IF(A225="","",SUMIF(DITARI!$C:$C,A225,DITARI!$F:$F))</f>
        <v/>
      </c>
      <c r="D225" s="471" t="str">
        <f aca="false">IF(A225="","",SUMIF(DITARI!$C:$C,A225,DITARI!$G:$G))</f>
        <v/>
      </c>
      <c r="E225" s="472" t="str">
        <f aca="false">IF(A225="","",C225-D225)</f>
        <v/>
      </c>
      <c r="F225" s="100" t="str">
        <f aca="false">IF(A225="","",COUNTIF(DITARI!$C:$C,A225))</f>
        <v/>
      </c>
      <c r="G225" s="473"/>
    </row>
    <row r="226" customFormat="false" ht="14.25" hidden="false" customHeight="true" outlineLevel="0" collapsed="false">
      <c r="A226" s="470" t="str">
        <f aca="false">IF(COUNTIF(DITARI!$C$6:C228,DITARI!C228)=1,DITARI!C228,"")</f>
        <v/>
      </c>
      <c r="B226" s="100" t="str">
        <f aca="false">IF(A226="","",IF(ABS(SUMIF(DITARI!$C:$C,A226,DITARI!$F:$F)-SUMIF(DITARI!$C:$C,A226,DITARI!$G:$G))&lt;0.005,"OK","ERROR"))</f>
        <v/>
      </c>
      <c r="C226" s="471" t="str">
        <f aca="false">IF(A226="","",SUMIF(DITARI!$C:$C,A226,DITARI!$F:$F))</f>
        <v/>
      </c>
      <c r="D226" s="471" t="str">
        <f aca="false">IF(A226="","",SUMIF(DITARI!$C:$C,A226,DITARI!$G:$G))</f>
        <v/>
      </c>
      <c r="E226" s="472" t="str">
        <f aca="false">IF(A226="","",C226-D226)</f>
        <v/>
      </c>
      <c r="F226" s="100" t="str">
        <f aca="false">IF(A226="","",COUNTIF(DITARI!$C:$C,A226))</f>
        <v/>
      </c>
      <c r="G226" s="473"/>
    </row>
    <row r="227" customFormat="false" ht="14.25" hidden="false" customHeight="true" outlineLevel="0" collapsed="false">
      <c r="A227" s="470" t="str">
        <f aca="false">IF(COUNTIF(DITARI!$C$6:C229,DITARI!C229)=1,DITARI!C229,"")</f>
        <v/>
      </c>
      <c r="B227" s="100" t="str">
        <f aca="false">IF(A227="","",IF(ABS(SUMIF(DITARI!$C:$C,A227,DITARI!$F:$F)-SUMIF(DITARI!$C:$C,A227,DITARI!$G:$G))&lt;0.005,"OK","ERROR"))</f>
        <v/>
      </c>
      <c r="C227" s="471" t="str">
        <f aca="false">IF(A227="","",SUMIF(DITARI!$C:$C,A227,DITARI!$F:$F))</f>
        <v/>
      </c>
      <c r="D227" s="471" t="str">
        <f aca="false">IF(A227="","",SUMIF(DITARI!$C:$C,A227,DITARI!$G:$G))</f>
        <v/>
      </c>
      <c r="E227" s="472" t="str">
        <f aca="false">IF(A227="","",C227-D227)</f>
        <v/>
      </c>
      <c r="F227" s="100" t="str">
        <f aca="false">IF(A227="","",COUNTIF(DITARI!$C:$C,A227))</f>
        <v/>
      </c>
      <c r="G227" s="473"/>
    </row>
    <row r="228" customFormat="false" ht="14.25" hidden="false" customHeight="true" outlineLevel="0" collapsed="false">
      <c r="A228" s="470" t="str">
        <f aca="false">IF(COUNTIF(DITARI!$C$6:C230,DITARI!C230)=1,DITARI!C230,"")</f>
        <v/>
      </c>
      <c r="B228" s="100" t="str">
        <f aca="false">IF(A228="","",IF(ABS(SUMIF(DITARI!$C:$C,A228,DITARI!$F:$F)-SUMIF(DITARI!$C:$C,A228,DITARI!$G:$G))&lt;0.005,"OK","ERROR"))</f>
        <v/>
      </c>
      <c r="C228" s="471" t="str">
        <f aca="false">IF(A228="","",SUMIF(DITARI!$C:$C,A228,DITARI!$F:$F))</f>
        <v/>
      </c>
      <c r="D228" s="471" t="str">
        <f aca="false">IF(A228="","",SUMIF(DITARI!$C:$C,A228,DITARI!$G:$G))</f>
        <v/>
      </c>
      <c r="E228" s="472" t="str">
        <f aca="false">IF(A228="","",C228-D228)</f>
        <v/>
      </c>
      <c r="F228" s="100" t="str">
        <f aca="false">IF(A228="","",COUNTIF(DITARI!$C:$C,A228))</f>
        <v/>
      </c>
      <c r="G228" s="473"/>
    </row>
    <row r="229" customFormat="false" ht="14.25" hidden="false" customHeight="true" outlineLevel="0" collapsed="false">
      <c r="A229" s="470" t="str">
        <f aca="false">IF(COUNTIF(DITARI!$C$6:C231,DITARI!C231)=1,DITARI!C231,"")</f>
        <v/>
      </c>
      <c r="B229" s="100" t="str">
        <f aca="false">IF(A229="","",IF(ABS(SUMIF(DITARI!$C:$C,A229,DITARI!$F:$F)-SUMIF(DITARI!$C:$C,A229,DITARI!$G:$G))&lt;0.005,"OK","ERROR"))</f>
        <v/>
      </c>
      <c r="C229" s="471" t="str">
        <f aca="false">IF(A229="","",SUMIF(DITARI!$C:$C,A229,DITARI!$F:$F))</f>
        <v/>
      </c>
      <c r="D229" s="471" t="str">
        <f aca="false">IF(A229="","",SUMIF(DITARI!$C:$C,A229,DITARI!$G:$G))</f>
        <v/>
      </c>
      <c r="E229" s="472" t="str">
        <f aca="false">IF(A229="","",C229-D229)</f>
        <v/>
      </c>
      <c r="F229" s="100" t="str">
        <f aca="false">IF(A229="","",COUNTIF(DITARI!$C:$C,A229))</f>
        <v/>
      </c>
      <c r="G229" s="473"/>
    </row>
    <row r="230" customFormat="false" ht="14.25" hidden="false" customHeight="true" outlineLevel="0" collapsed="false">
      <c r="A230" s="470" t="str">
        <f aca="false">IF(COUNTIF(DITARI!$C$6:C232,DITARI!C232)=1,DITARI!C232,"")</f>
        <v/>
      </c>
      <c r="B230" s="100" t="str">
        <f aca="false">IF(A230="","",IF(ABS(SUMIF(DITARI!$C:$C,A230,DITARI!$F:$F)-SUMIF(DITARI!$C:$C,A230,DITARI!$G:$G))&lt;0.005,"OK","ERROR"))</f>
        <v/>
      </c>
      <c r="C230" s="471" t="str">
        <f aca="false">IF(A230="","",SUMIF(DITARI!$C:$C,A230,DITARI!$F:$F))</f>
        <v/>
      </c>
      <c r="D230" s="471" t="str">
        <f aca="false">IF(A230="","",SUMIF(DITARI!$C:$C,A230,DITARI!$G:$G))</f>
        <v/>
      </c>
      <c r="E230" s="472" t="str">
        <f aca="false">IF(A230="","",C230-D230)</f>
        <v/>
      </c>
      <c r="F230" s="100" t="str">
        <f aca="false">IF(A230="","",COUNTIF(DITARI!$C:$C,A230))</f>
        <v/>
      </c>
      <c r="G230" s="473"/>
    </row>
    <row r="231" customFormat="false" ht="14.25" hidden="false" customHeight="true" outlineLevel="0" collapsed="false">
      <c r="A231" s="470" t="str">
        <f aca="false">IF(COUNTIF(DITARI!$C$6:C233,DITARI!C233)=1,DITARI!C233,"")</f>
        <v/>
      </c>
      <c r="B231" s="100" t="str">
        <f aca="false">IF(A231="","",IF(ABS(SUMIF(DITARI!$C:$C,A231,DITARI!$F:$F)-SUMIF(DITARI!$C:$C,A231,DITARI!$G:$G))&lt;0.005,"OK","ERROR"))</f>
        <v/>
      </c>
      <c r="C231" s="471" t="str">
        <f aca="false">IF(A231="","",SUMIF(DITARI!$C:$C,A231,DITARI!$F:$F))</f>
        <v/>
      </c>
      <c r="D231" s="471" t="str">
        <f aca="false">IF(A231="","",SUMIF(DITARI!$C:$C,A231,DITARI!$G:$G))</f>
        <v/>
      </c>
      <c r="E231" s="472" t="str">
        <f aca="false">IF(A231="","",C231-D231)</f>
        <v/>
      </c>
      <c r="F231" s="100" t="str">
        <f aca="false">IF(A231="","",COUNTIF(DITARI!$C:$C,A231))</f>
        <v/>
      </c>
      <c r="G231" s="473"/>
    </row>
    <row r="232" customFormat="false" ht="14.25" hidden="false" customHeight="true" outlineLevel="0" collapsed="false">
      <c r="A232" s="470" t="str">
        <f aca="false">IF(COUNTIF(DITARI!$C$6:C234,DITARI!C234)=1,DITARI!C234,"")</f>
        <v/>
      </c>
      <c r="B232" s="100" t="str">
        <f aca="false">IF(A232="","",IF(ABS(SUMIF(DITARI!$C:$C,A232,DITARI!$F:$F)-SUMIF(DITARI!$C:$C,A232,DITARI!$G:$G))&lt;0.005,"OK","ERROR"))</f>
        <v/>
      </c>
      <c r="C232" s="471" t="str">
        <f aca="false">IF(A232="","",SUMIF(DITARI!$C:$C,A232,DITARI!$F:$F))</f>
        <v/>
      </c>
      <c r="D232" s="471" t="str">
        <f aca="false">IF(A232="","",SUMIF(DITARI!$C:$C,A232,DITARI!$G:$G))</f>
        <v/>
      </c>
      <c r="E232" s="472" t="str">
        <f aca="false">IF(A232="","",C232-D232)</f>
        <v/>
      </c>
      <c r="F232" s="100" t="str">
        <f aca="false">IF(A232="","",COUNTIF(DITARI!$C:$C,A232))</f>
        <v/>
      </c>
      <c r="G232" s="473"/>
    </row>
    <row r="233" customFormat="false" ht="14.25" hidden="false" customHeight="true" outlineLevel="0" collapsed="false">
      <c r="A233" s="470" t="str">
        <f aca="false">IF(COUNTIF(DITARI!$C$6:C235,DITARI!C235)=1,DITARI!C235,"")</f>
        <v/>
      </c>
      <c r="B233" s="100" t="str">
        <f aca="false">IF(A233="","",IF(ABS(SUMIF(DITARI!$C:$C,A233,DITARI!$F:$F)-SUMIF(DITARI!$C:$C,A233,DITARI!$G:$G))&lt;0.005,"OK","ERROR"))</f>
        <v/>
      </c>
      <c r="C233" s="471" t="str">
        <f aca="false">IF(A233="","",SUMIF(DITARI!$C:$C,A233,DITARI!$F:$F))</f>
        <v/>
      </c>
      <c r="D233" s="471" t="str">
        <f aca="false">IF(A233="","",SUMIF(DITARI!$C:$C,A233,DITARI!$G:$G))</f>
        <v/>
      </c>
      <c r="E233" s="472" t="str">
        <f aca="false">IF(A233="","",C233-D233)</f>
        <v/>
      </c>
      <c r="F233" s="100" t="str">
        <f aca="false">IF(A233="","",COUNTIF(DITARI!$C:$C,A233))</f>
        <v/>
      </c>
      <c r="G233" s="473"/>
    </row>
    <row r="234" customFormat="false" ht="14.25" hidden="false" customHeight="true" outlineLevel="0" collapsed="false">
      <c r="A234" s="470" t="str">
        <f aca="false">IF(COUNTIF(DITARI!$C$6:C236,DITARI!C236)=1,DITARI!C236,"")</f>
        <v/>
      </c>
      <c r="B234" s="100" t="str">
        <f aca="false">IF(A234="","",IF(ABS(SUMIF(DITARI!$C:$C,A234,DITARI!$F:$F)-SUMIF(DITARI!$C:$C,A234,DITARI!$G:$G))&lt;0.005,"OK","ERROR"))</f>
        <v/>
      </c>
      <c r="C234" s="471" t="str">
        <f aca="false">IF(A234="","",SUMIF(DITARI!$C:$C,A234,DITARI!$F:$F))</f>
        <v/>
      </c>
      <c r="D234" s="471" t="str">
        <f aca="false">IF(A234="","",SUMIF(DITARI!$C:$C,A234,DITARI!$G:$G))</f>
        <v/>
      </c>
      <c r="E234" s="472" t="str">
        <f aca="false">IF(A234="","",C234-D234)</f>
        <v/>
      </c>
      <c r="F234" s="100" t="str">
        <f aca="false">IF(A234="","",COUNTIF(DITARI!$C:$C,A234))</f>
        <v/>
      </c>
      <c r="G234" s="473"/>
    </row>
    <row r="235" customFormat="false" ht="14.25" hidden="false" customHeight="true" outlineLevel="0" collapsed="false">
      <c r="A235" s="470" t="str">
        <f aca="false">IF(COUNTIF(DITARI!$C$6:C237,DITARI!C237)=1,DITARI!C237,"")</f>
        <v/>
      </c>
      <c r="B235" s="100" t="str">
        <f aca="false">IF(A235="","",IF(ABS(SUMIF(DITARI!$C:$C,A235,DITARI!$F:$F)-SUMIF(DITARI!$C:$C,A235,DITARI!$G:$G))&lt;0.005,"OK","ERROR"))</f>
        <v/>
      </c>
      <c r="C235" s="471" t="str">
        <f aca="false">IF(A235="","",SUMIF(DITARI!$C:$C,A235,DITARI!$F:$F))</f>
        <v/>
      </c>
      <c r="D235" s="471" t="str">
        <f aca="false">IF(A235="","",SUMIF(DITARI!$C:$C,A235,DITARI!$G:$G))</f>
        <v/>
      </c>
      <c r="E235" s="472" t="str">
        <f aca="false">IF(A235="","",C235-D235)</f>
        <v/>
      </c>
      <c r="F235" s="100" t="str">
        <f aca="false">IF(A235="","",COUNTIF(DITARI!$C:$C,A235))</f>
        <v/>
      </c>
      <c r="G235" s="473"/>
    </row>
    <row r="236" customFormat="false" ht="14.25" hidden="false" customHeight="true" outlineLevel="0" collapsed="false">
      <c r="A236" s="470" t="str">
        <f aca="false">IF(COUNTIF(DITARI!$C$6:C238,DITARI!C238)=1,DITARI!C238,"")</f>
        <v/>
      </c>
      <c r="B236" s="100" t="str">
        <f aca="false">IF(A236="","",IF(ABS(SUMIF(DITARI!$C:$C,A236,DITARI!$F:$F)-SUMIF(DITARI!$C:$C,A236,DITARI!$G:$G))&lt;0.005,"OK","ERROR"))</f>
        <v/>
      </c>
      <c r="C236" s="471" t="str">
        <f aca="false">IF(A236="","",SUMIF(DITARI!$C:$C,A236,DITARI!$F:$F))</f>
        <v/>
      </c>
      <c r="D236" s="471" t="str">
        <f aca="false">IF(A236="","",SUMIF(DITARI!$C:$C,A236,DITARI!$G:$G))</f>
        <v/>
      </c>
      <c r="E236" s="472" t="str">
        <f aca="false">IF(A236="","",C236-D236)</f>
        <v/>
      </c>
      <c r="F236" s="100" t="str">
        <f aca="false">IF(A236="","",COUNTIF(DITARI!$C:$C,A236))</f>
        <v/>
      </c>
      <c r="G236" s="473"/>
    </row>
    <row r="237" customFormat="false" ht="14.25" hidden="false" customHeight="true" outlineLevel="0" collapsed="false">
      <c r="A237" s="470" t="str">
        <f aca="false">IF(COUNTIF(DITARI!$C$6:C239,DITARI!C239)=1,DITARI!C239,"")</f>
        <v/>
      </c>
      <c r="B237" s="100" t="str">
        <f aca="false">IF(A237="","",IF(ABS(SUMIF(DITARI!$C:$C,A237,DITARI!$F:$F)-SUMIF(DITARI!$C:$C,A237,DITARI!$G:$G))&lt;0.005,"OK","ERROR"))</f>
        <v/>
      </c>
      <c r="C237" s="471" t="str">
        <f aca="false">IF(A237="","",SUMIF(DITARI!$C:$C,A237,DITARI!$F:$F))</f>
        <v/>
      </c>
      <c r="D237" s="471" t="str">
        <f aca="false">IF(A237="","",SUMIF(DITARI!$C:$C,A237,DITARI!$G:$G))</f>
        <v/>
      </c>
      <c r="E237" s="472" t="str">
        <f aca="false">IF(A237="","",C237-D237)</f>
        <v/>
      </c>
      <c r="F237" s="100" t="str">
        <f aca="false">IF(A237="","",COUNTIF(DITARI!$C:$C,A237))</f>
        <v/>
      </c>
      <c r="G237" s="473"/>
    </row>
    <row r="238" customFormat="false" ht="14.25" hidden="false" customHeight="true" outlineLevel="0" collapsed="false">
      <c r="A238" s="470" t="str">
        <f aca="false">IF(COUNTIF(DITARI!$C$6:C240,DITARI!C240)=1,DITARI!C240,"")</f>
        <v/>
      </c>
      <c r="B238" s="100" t="str">
        <f aca="false">IF(A238="","",IF(ABS(SUMIF(DITARI!$C:$C,A238,DITARI!$F:$F)-SUMIF(DITARI!$C:$C,A238,DITARI!$G:$G))&lt;0.005,"OK","ERROR"))</f>
        <v/>
      </c>
      <c r="C238" s="471" t="str">
        <f aca="false">IF(A238="","",SUMIF(DITARI!$C:$C,A238,DITARI!$F:$F))</f>
        <v/>
      </c>
      <c r="D238" s="471" t="str">
        <f aca="false">IF(A238="","",SUMIF(DITARI!$C:$C,A238,DITARI!$G:$G))</f>
        <v/>
      </c>
      <c r="E238" s="472" t="str">
        <f aca="false">IF(A238="","",C238-D238)</f>
        <v/>
      </c>
      <c r="F238" s="100" t="str">
        <f aca="false">IF(A238="","",COUNTIF(DITARI!$C:$C,A238))</f>
        <v/>
      </c>
      <c r="G238" s="473"/>
    </row>
    <row r="239" customFormat="false" ht="14.25" hidden="false" customHeight="true" outlineLevel="0" collapsed="false">
      <c r="A239" s="470" t="str">
        <f aca="false">IF(COUNTIF(DITARI!$C$6:C241,DITARI!C241)=1,DITARI!C241,"")</f>
        <v/>
      </c>
      <c r="B239" s="100" t="str">
        <f aca="false">IF(A239="","",IF(ABS(SUMIF(DITARI!$C:$C,A239,DITARI!$F:$F)-SUMIF(DITARI!$C:$C,A239,DITARI!$G:$G))&lt;0.005,"OK","ERROR"))</f>
        <v/>
      </c>
      <c r="C239" s="471" t="str">
        <f aca="false">IF(A239="","",SUMIF(DITARI!$C:$C,A239,DITARI!$F:$F))</f>
        <v/>
      </c>
      <c r="D239" s="471" t="str">
        <f aca="false">IF(A239="","",SUMIF(DITARI!$C:$C,A239,DITARI!$G:$G))</f>
        <v/>
      </c>
      <c r="E239" s="472" t="str">
        <f aca="false">IF(A239="","",C239-D239)</f>
        <v/>
      </c>
      <c r="F239" s="100" t="str">
        <f aca="false">IF(A239="","",COUNTIF(DITARI!$C:$C,A239))</f>
        <v/>
      </c>
      <c r="G239" s="473"/>
    </row>
    <row r="240" customFormat="false" ht="14.25" hidden="false" customHeight="true" outlineLevel="0" collapsed="false">
      <c r="A240" s="470" t="str">
        <f aca="false">IF(COUNTIF(DITARI!$C$6:C242,DITARI!C242)=1,DITARI!C242,"")</f>
        <v/>
      </c>
      <c r="B240" s="100" t="str">
        <f aca="false">IF(A240="","",IF(ABS(SUMIF(DITARI!$C:$C,A240,DITARI!$F:$F)-SUMIF(DITARI!$C:$C,A240,DITARI!$G:$G))&lt;0.005,"OK","ERROR"))</f>
        <v/>
      </c>
      <c r="C240" s="471" t="str">
        <f aca="false">IF(A240="","",SUMIF(DITARI!$C:$C,A240,DITARI!$F:$F))</f>
        <v/>
      </c>
      <c r="D240" s="471" t="str">
        <f aca="false">IF(A240="","",SUMIF(DITARI!$C:$C,A240,DITARI!$G:$G))</f>
        <v/>
      </c>
      <c r="E240" s="472" t="str">
        <f aca="false">IF(A240="","",C240-D240)</f>
        <v/>
      </c>
      <c r="F240" s="100" t="str">
        <f aca="false">IF(A240="","",COUNTIF(DITARI!$C:$C,A240))</f>
        <v/>
      </c>
      <c r="G240" s="473"/>
    </row>
    <row r="241" customFormat="false" ht="14.25" hidden="false" customHeight="true" outlineLevel="0" collapsed="false">
      <c r="A241" s="470" t="str">
        <f aca="false">IF(COUNTIF(DITARI!$C$6:C243,DITARI!C243)=1,DITARI!C243,"")</f>
        <v/>
      </c>
      <c r="B241" s="100" t="str">
        <f aca="false">IF(A241="","",IF(ABS(SUMIF(DITARI!$C:$C,A241,DITARI!$F:$F)-SUMIF(DITARI!$C:$C,A241,DITARI!$G:$G))&lt;0.005,"OK","ERROR"))</f>
        <v/>
      </c>
      <c r="C241" s="471" t="str">
        <f aca="false">IF(A241="","",SUMIF(DITARI!$C:$C,A241,DITARI!$F:$F))</f>
        <v/>
      </c>
      <c r="D241" s="471" t="str">
        <f aca="false">IF(A241="","",SUMIF(DITARI!$C:$C,A241,DITARI!$G:$G))</f>
        <v/>
      </c>
      <c r="E241" s="472" t="str">
        <f aca="false">IF(A241="","",C241-D241)</f>
        <v/>
      </c>
      <c r="F241" s="100" t="str">
        <f aca="false">IF(A241="","",COUNTIF(DITARI!$C:$C,A241))</f>
        <v/>
      </c>
      <c r="G241" s="473"/>
    </row>
    <row r="242" customFormat="false" ht="14.25" hidden="false" customHeight="true" outlineLevel="0" collapsed="false">
      <c r="A242" s="470" t="str">
        <f aca="false">IF(COUNTIF(DITARI!$C$6:C244,DITARI!C244)=1,DITARI!C244,"")</f>
        <v/>
      </c>
      <c r="B242" s="100" t="str">
        <f aca="false">IF(A242="","",IF(ABS(SUMIF(DITARI!$C:$C,A242,DITARI!$F:$F)-SUMIF(DITARI!$C:$C,A242,DITARI!$G:$G))&lt;0.005,"OK","ERROR"))</f>
        <v/>
      </c>
      <c r="C242" s="471" t="str">
        <f aca="false">IF(A242="","",SUMIF(DITARI!$C:$C,A242,DITARI!$F:$F))</f>
        <v/>
      </c>
      <c r="D242" s="471" t="str">
        <f aca="false">IF(A242="","",SUMIF(DITARI!$C:$C,A242,DITARI!$G:$G))</f>
        <v/>
      </c>
      <c r="E242" s="472" t="str">
        <f aca="false">IF(A242="","",C242-D242)</f>
        <v/>
      </c>
      <c r="F242" s="100" t="str">
        <f aca="false">IF(A242="","",COUNTIF(DITARI!$C:$C,A242))</f>
        <v/>
      </c>
      <c r="G242" s="473"/>
    </row>
    <row r="243" customFormat="false" ht="14.25" hidden="false" customHeight="true" outlineLevel="0" collapsed="false">
      <c r="A243" s="470" t="str">
        <f aca="false">IF(COUNTIF(DITARI!$C$6:C245,DITARI!C245)=1,DITARI!C245,"")</f>
        <v/>
      </c>
      <c r="B243" s="100" t="str">
        <f aca="false">IF(A243="","",IF(ABS(SUMIF(DITARI!$C:$C,A243,DITARI!$F:$F)-SUMIF(DITARI!$C:$C,A243,DITARI!$G:$G))&lt;0.005,"OK","ERROR"))</f>
        <v/>
      </c>
      <c r="C243" s="471" t="str">
        <f aca="false">IF(A243="","",SUMIF(DITARI!$C:$C,A243,DITARI!$F:$F))</f>
        <v/>
      </c>
      <c r="D243" s="471" t="str">
        <f aca="false">IF(A243="","",SUMIF(DITARI!$C:$C,A243,DITARI!$G:$G))</f>
        <v/>
      </c>
      <c r="E243" s="472" t="str">
        <f aca="false">IF(A243="","",C243-D243)</f>
        <v/>
      </c>
      <c r="F243" s="100" t="str">
        <f aca="false">IF(A243="","",COUNTIF(DITARI!$C:$C,A243))</f>
        <v/>
      </c>
      <c r="G243" s="473"/>
    </row>
    <row r="244" customFormat="false" ht="14.25" hidden="false" customHeight="true" outlineLevel="0" collapsed="false">
      <c r="A244" s="470" t="str">
        <f aca="false">IF(COUNTIF(DITARI!$C$6:C246,DITARI!C246)=1,DITARI!C246,"")</f>
        <v/>
      </c>
      <c r="B244" s="100" t="str">
        <f aca="false">IF(A244="","",IF(ABS(SUMIF(DITARI!$C:$C,A244,DITARI!$F:$F)-SUMIF(DITARI!$C:$C,A244,DITARI!$G:$G))&lt;0.005,"OK","ERROR"))</f>
        <v/>
      </c>
      <c r="C244" s="471" t="str">
        <f aca="false">IF(A244="","",SUMIF(DITARI!$C:$C,A244,DITARI!$F:$F))</f>
        <v/>
      </c>
      <c r="D244" s="471" t="str">
        <f aca="false">IF(A244="","",SUMIF(DITARI!$C:$C,A244,DITARI!$G:$G))</f>
        <v/>
      </c>
      <c r="E244" s="472" t="str">
        <f aca="false">IF(A244="","",C244-D244)</f>
        <v/>
      </c>
      <c r="F244" s="100" t="str">
        <f aca="false">IF(A244="","",COUNTIF(DITARI!$C:$C,A244))</f>
        <v/>
      </c>
      <c r="G244" s="473"/>
    </row>
    <row r="245" customFormat="false" ht="14.25" hidden="false" customHeight="true" outlineLevel="0" collapsed="false">
      <c r="A245" s="470" t="str">
        <f aca="false">IF(COUNTIF(DITARI!$C$6:C247,DITARI!C247)=1,DITARI!C247,"")</f>
        <v/>
      </c>
      <c r="B245" s="100" t="str">
        <f aca="false">IF(A245="","",IF(ABS(SUMIF(DITARI!$C:$C,A245,DITARI!$F:$F)-SUMIF(DITARI!$C:$C,A245,DITARI!$G:$G))&lt;0.005,"OK","ERROR"))</f>
        <v/>
      </c>
      <c r="C245" s="471" t="str">
        <f aca="false">IF(A245="","",SUMIF(DITARI!$C:$C,A245,DITARI!$F:$F))</f>
        <v/>
      </c>
      <c r="D245" s="471" t="str">
        <f aca="false">IF(A245="","",SUMIF(DITARI!$C:$C,A245,DITARI!$G:$G))</f>
        <v/>
      </c>
      <c r="E245" s="472" t="str">
        <f aca="false">IF(A245="","",C245-D245)</f>
        <v/>
      </c>
      <c r="F245" s="100" t="str">
        <f aca="false">IF(A245="","",COUNTIF(DITARI!$C:$C,A245))</f>
        <v/>
      </c>
      <c r="G245" s="473"/>
    </row>
    <row r="246" customFormat="false" ht="14.25" hidden="false" customHeight="true" outlineLevel="0" collapsed="false">
      <c r="A246" s="470" t="str">
        <f aca="false">IF(COUNTIF(DITARI!$C$6:C248,DITARI!C248)=1,DITARI!C248,"")</f>
        <v/>
      </c>
      <c r="B246" s="100" t="str">
        <f aca="false">IF(A246="","",IF(ABS(SUMIF(DITARI!$C:$C,A246,DITARI!$F:$F)-SUMIF(DITARI!$C:$C,A246,DITARI!$G:$G))&lt;0.005,"OK","ERROR"))</f>
        <v/>
      </c>
      <c r="C246" s="471" t="str">
        <f aca="false">IF(A246="","",SUMIF(DITARI!$C:$C,A246,DITARI!$F:$F))</f>
        <v/>
      </c>
      <c r="D246" s="471" t="str">
        <f aca="false">IF(A246="","",SUMIF(DITARI!$C:$C,A246,DITARI!$G:$G))</f>
        <v/>
      </c>
      <c r="E246" s="472" t="str">
        <f aca="false">IF(A246="","",C246-D246)</f>
        <v/>
      </c>
      <c r="F246" s="100" t="str">
        <f aca="false">IF(A246="","",COUNTIF(DITARI!$C:$C,A246))</f>
        <v/>
      </c>
      <c r="G246" s="473"/>
    </row>
    <row r="247" customFormat="false" ht="14.25" hidden="false" customHeight="true" outlineLevel="0" collapsed="false">
      <c r="A247" s="470" t="str">
        <f aca="false">IF(COUNTIF(DITARI!$C$6:C249,DITARI!C249)=1,DITARI!C249,"")</f>
        <v/>
      </c>
      <c r="B247" s="100" t="str">
        <f aca="false">IF(A247="","",IF(ABS(SUMIF(DITARI!$C:$C,A247,DITARI!$F:$F)-SUMIF(DITARI!$C:$C,A247,DITARI!$G:$G))&lt;0.005,"OK","ERROR"))</f>
        <v/>
      </c>
      <c r="C247" s="471" t="str">
        <f aca="false">IF(A247="","",SUMIF(DITARI!$C:$C,A247,DITARI!$F:$F))</f>
        <v/>
      </c>
      <c r="D247" s="471" t="str">
        <f aca="false">IF(A247="","",SUMIF(DITARI!$C:$C,A247,DITARI!$G:$G))</f>
        <v/>
      </c>
      <c r="E247" s="472" t="str">
        <f aca="false">IF(A247="","",C247-D247)</f>
        <v/>
      </c>
      <c r="F247" s="100" t="str">
        <f aca="false">IF(A247="","",COUNTIF(DITARI!$C:$C,A247))</f>
        <v/>
      </c>
      <c r="G247" s="473"/>
    </row>
    <row r="248" customFormat="false" ht="14.25" hidden="false" customHeight="true" outlineLevel="0" collapsed="false">
      <c r="A248" s="470" t="str">
        <f aca="false">IF(COUNTIF(DITARI!$C$6:C250,DITARI!C250)=1,DITARI!C250,"")</f>
        <v/>
      </c>
      <c r="B248" s="100" t="str">
        <f aca="false">IF(A248="","",IF(ABS(SUMIF(DITARI!$C:$C,A248,DITARI!$F:$F)-SUMIF(DITARI!$C:$C,A248,DITARI!$G:$G))&lt;0.005,"OK","ERROR"))</f>
        <v/>
      </c>
      <c r="C248" s="471" t="str">
        <f aca="false">IF(A248="","",SUMIF(DITARI!$C:$C,A248,DITARI!$F:$F))</f>
        <v/>
      </c>
      <c r="D248" s="471" t="str">
        <f aca="false">IF(A248="","",SUMIF(DITARI!$C:$C,A248,DITARI!$G:$G))</f>
        <v/>
      </c>
      <c r="E248" s="472" t="str">
        <f aca="false">IF(A248="","",C248-D248)</f>
        <v/>
      </c>
      <c r="F248" s="100" t="str">
        <f aca="false">IF(A248="","",COUNTIF(DITARI!$C:$C,A248))</f>
        <v/>
      </c>
      <c r="G248" s="473"/>
    </row>
    <row r="249" customFormat="false" ht="14.25" hidden="false" customHeight="true" outlineLevel="0" collapsed="false">
      <c r="A249" s="470" t="str">
        <f aca="false">IF(COUNTIF(DITARI!$C$6:C251,DITARI!C251)=1,DITARI!C251,"")</f>
        <v/>
      </c>
      <c r="B249" s="100" t="str">
        <f aca="false">IF(A249="","",IF(ABS(SUMIF(DITARI!$C:$C,A249,DITARI!$F:$F)-SUMIF(DITARI!$C:$C,A249,DITARI!$G:$G))&lt;0.005,"OK","ERROR"))</f>
        <v/>
      </c>
      <c r="C249" s="471" t="str">
        <f aca="false">IF(A249="","",SUMIF(DITARI!$C:$C,A249,DITARI!$F:$F))</f>
        <v/>
      </c>
      <c r="D249" s="471" t="str">
        <f aca="false">IF(A249="","",SUMIF(DITARI!$C:$C,A249,DITARI!$G:$G))</f>
        <v/>
      </c>
      <c r="E249" s="472" t="str">
        <f aca="false">IF(A249="","",C249-D249)</f>
        <v/>
      </c>
      <c r="F249" s="100" t="str">
        <f aca="false">IF(A249="","",COUNTIF(DITARI!$C:$C,A249))</f>
        <v/>
      </c>
      <c r="G249" s="473"/>
    </row>
    <row r="250" customFormat="false" ht="14.25" hidden="false" customHeight="true" outlineLevel="0" collapsed="false">
      <c r="A250" s="470" t="str">
        <f aca="false">IF(COUNTIF(DITARI!$C$6:C252,DITARI!C252)=1,DITARI!C252,"")</f>
        <v/>
      </c>
      <c r="B250" s="100" t="str">
        <f aca="false">IF(A250="","",IF(ABS(SUMIF(DITARI!$C:$C,A250,DITARI!$F:$F)-SUMIF(DITARI!$C:$C,A250,DITARI!$G:$G))&lt;0.005,"OK","ERROR"))</f>
        <v/>
      </c>
      <c r="C250" s="471" t="str">
        <f aca="false">IF(A250="","",SUMIF(DITARI!$C:$C,A250,DITARI!$F:$F))</f>
        <v/>
      </c>
      <c r="D250" s="471" t="str">
        <f aca="false">IF(A250="","",SUMIF(DITARI!$C:$C,A250,DITARI!$G:$G))</f>
        <v/>
      </c>
      <c r="E250" s="472" t="str">
        <f aca="false">IF(A250="","",C250-D250)</f>
        <v/>
      </c>
      <c r="F250" s="100" t="str">
        <f aca="false">IF(A250="","",COUNTIF(DITARI!$C:$C,A250))</f>
        <v/>
      </c>
      <c r="G250" s="473"/>
    </row>
    <row r="251" customFormat="false" ht="14.25" hidden="false" customHeight="true" outlineLevel="0" collapsed="false">
      <c r="A251" s="470" t="str">
        <f aca="false">IF(COUNTIF(DITARI!$C$6:C253,DITARI!C253)=1,DITARI!C253,"")</f>
        <v/>
      </c>
      <c r="B251" s="100" t="str">
        <f aca="false">IF(A251="","",IF(ABS(SUMIF(DITARI!$C:$C,A251,DITARI!$F:$F)-SUMIF(DITARI!$C:$C,A251,DITARI!$G:$G))&lt;0.005,"OK","ERROR"))</f>
        <v/>
      </c>
      <c r="C251" s="471" t="str">
        <f aca="false">IF(A251="","",SUMIF(DITARI!$C:$C,A251,DITARI!$F:$F))</f>
        <v/>
      </c>
      <c r="D251" s="471" t="str">
        <f aca="false">IF(A251="","",SUMIF(DITARI!$C:$C,A251,DITARI!$G:$G))</f>
        <v/>
      </c>
      <c r="E251" s="472" t="str">
        <f aca="false">IF(A251="","",C251-D251)</f>
        <v/>
      </c>
      <c r="F251" s="100" t="str">
        <f aca="false">IF(A251="","",COUNTIF(DITARI!$C:$C,A251))</f>
        <v/>
      </c>
      <c r="G251" s="473"/>
    </row>
    <row r="252" customFormat="false" ht="14.25" hidden="false" customHeight="true" outlineLevel="0" collapsed="false">
      <c r="A252" s="470" t="str">
        <f aca="false">IF(COUNTIF(DITARI!$C$6:C254,DITARI!C254)=1,DITARI!C254,"")</f>
        <v/>
      </c>
      <c r="B252" s="100" t="str">
        <f aca="false">IF(A252="","",IF(ABS(SUMIF(DITARI!$C:$C,A252,DITARI!$F:$F)-SUMIF(DITARI!$C:$C,A252,DITARI!$G:$G))&lt;0.005,"OK","ERROR"))</f>
        <v/>
      </c>
      <c r="C252" s="471" t="str">
        <f aca="false">IF(A252="","",SUMIF(DITARI!$C:$C,A252,DITARI!$F:$F))</f>
        <v/>
      </c>
      <c r="D252" s="471" t="str">
        <f aca="false">IF(A252="","",SUMIF(DITARI!$C:$C,A252,DITARI!$G:$G))</f>
        <v/>
      </c>
      <c r="E252" s="472" t="str">
        <f aca="false">IF(A252="","",C252-D252)</f>
        <v/>
      </c>
      <c r="F252" s="100" t="str">
        <f aca="false">IF(A252="","",COUNTIF(DITARI!$C:$C,A252))</f>
        <v/>
      </c>
      <c r="G252" s="473"/>
    </row>
    <row r="253" customFormat="false" ht="14.25" hidden="false" customHeight="true" outlineLevel="0" collapsed="false">
      <c r="A253" s="470" t="str">
        <f aca="false">IF(COUNTIF(DITARI!$C$6:C255,DITARI!C255)=1,DITARI!C255,"")</f>
        <v/>
      </c>
      <c r="B253" s="100" t="str">
        <f aca="false">IF(A253="","",IF(ABS(SUMIF(DITARI!$C:$C,A253,DITARI!$F:$F)-SUMIF(DITARI!$C:$C,A253,DITARI!$G:$G))&lt;0.005,"OK","ERROR"))</f>
        <v/>
      </c>
      <c r="C253" s="471" t="str">
        <f aca="false">IF(A253="","",SUMIF(DITARI!$C:$C,A253,DITARI!$F:$F))</f>
        <v/>
      </c>
      <c r="D253" s="471" t="str">
        <f aca="false">IF(A253="","",SUMIF(DITARI!$C:$C,A253,DITARI!$G:$G))</f>
        <v/>
      </c>
      <c r="E253" s="472" t="str">
        <f aca="false">IF(A253="","",C253-D253)</f>
        <v/>
      </c>
      <c r="F253" s="100" t="str">
        <f aca="false">IF(A253="","",COUNTIF(DITARI!$C:$C,A253))</f>
        <v/>
      </c>
      <c r="G253" s="473"/>
    </row>
    <row r="254" customFormat="false" ht="14.25" hidden="false" customHeight="true" outlineLevel="0" collapsed="false">
      <c r="A254" s="470" t="str">
        <f aca="false">IF(COUNTIF(DITARI!$C$6:C256,DITARI!C256)=1,DITARI!C256,"")</f>
        <v/>
      </c>
      <c r="B254" s="100" t="str">
        <f aca="false">IF(A254="","",IF(ABS(SUMIF(DITARI!$C:$C,A254,DITARI!$F:$F)-SUMIF(DITARI!$C:$C,A254,DITARI!$G:$G))&lt;0.005,"OK","ERROR"))</f>
        <v/>
      </c>
      <c r="C254" s="471" t="str">
        <f aca="false">IF(A254="","",SUMIF(DITARI!$C:$C,A254,DITARI!$F:$F))</f>
        <v/>
      </c>
      <c r="D254" s="471" t="str">
        <f aca="false">IF(A254="","",SUMIF(DITARI!$C:$C,A254,DITARI!$G:$G))</f>
        <v/>
      </c>
      <c r="E254" s="472" t="str">
        <f aca="false">IF(A254="","",C254-D254)</f>
        <v/>
      </c>
      <c r="F254" s="100" t="str">
        <f aca="false">IF(A254="","",COUNTIF(DITARI!$C:$C,A254))</f>
        <v/>
      </c>
      <c r="G254" s="473"/>
    </row>
    <row r="255" customFormat="false" ht="14.25" hidden="false" customHeight="true" outlineLevel="0" collapsed="false">
      <c r="A255" s="470" t="str">
        <f aca="false">IF(COUNTIF(DITARI!$C$6:C257,DITARI!C257)=1,DITARI!C257,"")</f>
        <v/>
      </c>
      <c r="B255" s="100" t="str">
        <f aca="false">IF(A255="","",IF(ABS(SUMIF(DITARI!$C:$C,A255,DITARI!$F:$F)-SUMIF(DITARI!$C:$C,A255,DITARI!$G:$G))&lt;0.005,"OK","ERROR"))</f>
        <v/>
      </c>
      <c r="C255" s="471" t="str">
        <f aca="false">IF(A255="","",SUMIF(DITARI!$C:$C,A255,DITARI!$F:$F))</f>
        <v/>
      </c>
      <c r="D255" s="471" t="str">
        <f aca="false">IF(A255="","",SUMIF(DITARI!$C:$C,A255,DITARI!$G:$G))</f>
        <v/>
      </c>
      <c r="E255" s="472" t="str">
        <f aca="false">IF(A255="","",C255-D255)</f>
        <v/>
      </c>
      <c r="F255" s="100" t="str">
        <f aca="false">IF(A255="","",COUNTIF(DITARI!$C:$C,A255))</f>
        <v/>
      </c>
      <c r="G255" s="473"/>
    </row>
    <row r="256" customFormat="false" ht="14.25" hidden="false" customHeight="true" outlineLevel="0" collapsed="false">
      <c r="A256" s="470" t="str">
        <f aca="false">IF(COUNTIF(DITARI!$C$6:C258,DITARI!C258)=1,DITARI!C258,"")</f>
        <v/>
      </c>
      <c r="B256" s="100" t="str">
        <f aca="false">IF(A256="","",IF(ABS(SUMIF(DITARI!$C:$C,A256,DITARI!$F:$F)-SUMIF(DITARI!$C:$C,A256,DITARI!$G:$G))&lt;0.005,"OK","ERROR"))</f>
        <v/>
      </c>
      <c r="C256" s="471" t="str">
        <f aca="false">IF(A256="","",SUMIF(DITARI!$C:$C,A256,DITARI!$F:$F))</f>
        <v/>
      </c>
      <c r="D256" s="471" t="str">
        <f aca="false">IF(A256="","",SUMIF(DITARI!$C:$C,A256,DITARI!$G:$G))</f>
        <v/>
      </c>
      <c r="E256" s="472" t="str">
        <f aca="false">IF(A256="","",C256-D256)</f>
        <v/>
      </c>
      <c r="F256" s="100" t="str">
        <f aca="false">IF(A256="","",COUNTIF(DITARI!$C:$C,A256))</f>
        <v/>
      </c>
      <c r="G256" s="473"/>
    </row>
    <row r="257" customFormat="false" ht="14.25" hidden="false" customHeight="true" outlineLevel="0" collapsed="false">
      <c r="A257" s="470" t="str">
        <f aca="false">IF(COUNTIF(DITARI!$C$6:C259,DITARI!C259)=1,DITARI!C259,"")</f>
        <v/>
      </c>
      <c r="B257" s="100" t="str">
        <f aca="false">IF(A257="","",IF(ABS(SUMIF(DITARI!$C:$C,A257,DITARI!$F:$F)-SUMIF(DITARI!$C:$C,A257,DITARI!$G:$G))&lt;0.005,"OK","ERROR"))</f>
        <v/>
      </c>
      <c r="C257" s="471" t="str">
        <f aca="false">IF(A257="","",SUMIF(DITARI!$C:$C,A257,DITARI!$F:$F))</f>
        <v/>
      </c>
      <c r="D257" s="471" t="str">
        <f aca="false">IF(A257="","",SUMIF(DITARI!$C:$C,A257,DITARI!$G:$G))</f>
        <v/>
      </c>
      <c r="E257" s="472" t="str">
        <f aca="false">IF(A257="","",C257-D257)</f>
        <v/>
      </c>
      <c r="F257" s="100" t="str">
        <f aca="false">IF(A257="","",COUNTIF(DITARI!$C:$C,A257))</f>
        <v/>
      </c>
      <c r="G257" s="473"/>
    </row>
    <row r="258" customFormat="false" ht="14.25" hidden="false" customHeight="true" outlineLevel="0" collapsed="false">
      <c r="A258" s="470" t="str">
        <f aca="false">IF(COUNTIF(DITARI!$C$6:C260,DITARI!C260)=1,DITARI!C260,"")</f>
        <v/>
      </c>
      <c r="B258" s="100" t="str">
        <f aca="false">IF(A258="","",IF(ABS(SUMIF(DITARI!$C:$C,A258,DITARI!$F:$F)-SUMIF(DITARI!$C:$C,A258,DITARI!$G:$G))&lt;0.005,"OK","ERROR"))</f>
        <v/>
      </c>
      <c r="C258" s="471" t="str">
        <f aca="false">IF(A258="","",SUMIF(DITARI!$C:$C,A258,DITARI!$F:$F))</f>
        <v/>
      </c>
      <c r="D258" s="471" t="str">
        <f aca="false">IF(A258="","",SUMIF(DITARI!$C:$C,A258,DITARI!$G:$G))</f>
        <v/>
      </c>
      <c r="E258" s="472" t="str">
        <f aca="false">IF(A258="","",C258-D258)</f>
        <v/>
      </c>
      <c r="F258" s="100" t="str">
        <f aca="false">IF(A258="","",COUNTIF(DITARI!$C:$C,A258))</f>
        <v/>
      </c>
      <c r="G258" s="473"/>
    </row>
    <row r="259" customFormat="false" ht="14.25" hidden="false" customHeight="true" outlineLevel="0" collapsed="false">
      <c r="A259" s="470" t="str">
        <f aca="false">IF(COUNTIF(DITARI!$C$6:C261,DITARI!C261)=1,DITARI!C261,"")</f>
        <v/>
      </c>
      <c r="B259" s="100" t="str">
        <f aca="false">IF(A259="","",IF(ABS(SUMIF(DITARI!$C:$C,A259,DITARI!$F:$F)-SUMIF(DITARI!$C:$C,A259,DITARI!$G:$G))&lt;0.005,"OK","ERROR"))</f>
        <v/>
      </c>
      <c r="C259" s="471" t="str">
        <f aca="false">IF(A259="","",SUMIF(DITARI!$C:$C,A259,DITARI!$F:$F))</f>
        <v/>
      </c>
      <c r="D259" s="471" t="str">
        <f aca="false">IF(A259="","",SUMIF(DITARI!$C:$C,A259,DITARI!$G:$G))</f>
        <v/>
      </c>
      <c r="E259" s="472" t="str">
        <f aca="false">IF(A259="","",C259-D259)</f>
        <v/>
      </c>
      <c r="F259" s="100" t="str">
        <f aca="false">IF(A259="","",COUNTIF(DITARI!$C:$C,A259))</f>
        <v/>
      </c>
      <c r="G259" s="473"/>
    </row>
    <row r="260" customFormat="false" ht="14.25" hidden="false" customHeight="true" outlineLevel="0" collapsed="false">
      <c r="A260" s="470" t="str">
        <f aca="false">IF(COUNTIF(DITARI!$C$6:C262,DITARI!C262)=1,DITARI!C262,"")</f>
        <v/>
      </c>
      <c r="B260" s="100" t="str">
        <f aca="false">IF(A260="","",IF(ABS(SUMIF(DITARI!$C:$C,A260,DITARI!$F:$F)-SUMIF(DITARI!$C:$C,A260,DITARI!$G:$G))&lt;0.005,"OK","ERROR"))</f>
        <v/>
      </c>
      <c r="C260" s="471" t="str">
        <f aca="false">IF(A260="","",SUMIF(DITARI!$C:$C,A260,DITARI!$F:$F))</f>
        <v/>
      </c>
      <c r="D260" s="471" t="str">
        <f aca="false">IF(A260="","",SUMIF(DITARI!$C:$C,A260,DITARI!$G:$G))</f>
        <v/>
      </c>
      <c r="E260" s="472" t="str">
        <f aca="false">IF(A260="","",C260-D260)</f>
        <v/>
      </c>
      <c r="F260" s="100" t="str">
        <f aca="false">IF(A260="","",COUNTIF(DITARI!$C:$C,A260))</f>
        <v/>
      </c>
      <c r="G260" s="473"/>
    </row>
    <row r="261" customFormat="false" ht="14.25" hidden="false" customHeight="true" outlineLevel="0" collapsed="false">
      <c r="A261" s="470" t="str">
        <f aca="false">IF(COUNTIF(DITARI!$C$6:C263,DITARI!C263)=1,DITARI!C263,"")</f>
        <v/>
      </c>
      <c r="B261" s="100" t="str">
        <f aca="false">IF(A261="","",IF(ABS(SUMIF(DITARI!$C:$C,A261,DITARI!$F:$F)-SUMIF(DITARI!$C:$C,A261,DITARI!$G:$G))&lt;0.005,"OK","ERROR"))</f>
        <v/>
      </c>
      <c r="C261" s="471" t="str">
        <f aca="false">IF(A261="","",SUMIF(DITARI!$C:$C,A261,DITARI!$F:$F))</f>
        <v/>
      </c>
      <c r="D261" s="471" t="str">
        <f aca="false">IF(A261="","",SUMIF(DITARI!$C:$C,A261,DITARI!$G:$G))</f>
        <v/>
      </c>
      <c r="E261" s="472" t="str">
        <f aca="false">IF(A261="","",C261-D261)</f>
        <v/>
      </c>
      <c r="F261" s="100" t="str">
        <f aca="false">IF(A261="","",COUNTIF(DITARI!$C:$C,A261))</f>
        <v/>
      </c>
      <c r="G261" s="473"/>
    </row>
    <row r="262" customFormat="false" ht="14.25" hidden="false" customHeight="true" outlineLevel="0" collapsed="false">
      <c r="A262" s="470" t="str">
        <f aca="false">IF(COUNTIF(DITARI!$C$6:C264,DITARI!C264)=1,DITARI!C264,"")</f>
        <v/>
      </c>
      <c r="B262" s="100" t="str">
        <f aca="false">IF(A262="","",IF(ABS(SUMIF(DITARI!$C:$C,A262,DITARI!$F:$F)-SUMIF(DITARI!$C:$C,A262,DITARI!$G:$G))&lt;0.005,"OK","ERROR"))</f>
        <v/>
      </c>
      <c r="C262" s="471" t="str">
        <f aca="false">IF(A262="","",SUMIF(DITARI!$C:$C,A262,DITARI!$F:$F))</f>
        <v/>
      </c>
      <c r="D262" s="471" t="str">
        <f aca="false">IF(A262="","",SUMIF(DITARI!$C:$C,A262,DITARI!$G:$G))</f>
        <v/>
      </c>
      <c r="E262" s="472" t="str">
        <f aca="false">IF(A262="","",C262-D262)</f>
        <v/>
      </c>
      <c r="F262" s="100" t="str">
        <f aca="false">IF(A262="","",COUNTIF(DITARI!$C:$C,A262))</f>
        <v/>
      </c>
      <c r="G262" s="473"/>
    </row>
    <row r="263" customFormat="false" ht="14.25" hidden="false" customHeight="true" outlineLevel="0" collapsed="false">
      <c r="A263" s="470" t="str">
        <f aca="false">IF(COUNTIF(DITARI!$C$6:C265,DITARI!C265)=1,DITARI!C265,"")</f>
        <v/>
      </c>
      <c r="B263" s="100" t="str">
        <f aca="false">IF(A263="","",IF(ABS(SUMIF(DITARI!$C:$C,A263,DITARI!$F:$F)-SUMIF(DITARI!$C:$C,A263,DITARI!$G:$G))&lt;0.005,"OK","ERROR"))</f>
        <v/>
      </c>
      <c r="C263" s="471" t="str">
        <f aca="false">IF(A263="","",SUMIF(DITARI!$C:$C,A263,DITARI!$F:$F))</f>
        <v/>
      </c>
      <c r="D263" s="471" t="str">
        <f aca="false">IF(A263="","",SUMIF(DITARI!$C:$C,A263,DITARI!$G:$G))</f>
        <v/>
      </c>
      <c r="E263" s="472" t="str">
        <f aca="false">IF(A263="","",C263-D263)</f>
        <v/>
      </c>
      <c r="F263" s="100" t="str">
        <f aca="false">IF(A263="","",COUNTIF(DITARI!$C:$C,A263))</f>
        <v/>
      </c>
      <c r="G263" s="473"/>
    </row>
    <row r="264" customFormat="false" ht="14.25" hidden="false" customHeight="true" outlineLevel="0" collapsed="false">
      <c r="A264" s="470" t="str">
        <f aca="false">IF(COUNTIF(DITARI!$C$6:C266,DITARI!C266)=1,DITARI!C266,"")</f>
        <v/>
      </c>
      <c r="B264" s="100" t="str">
        <f aca="false">IF(A264="","",IF(ABS(SUMIF(DITARI!$C:$C,A264,DITARI!$F:$F)-SUMIF(DITARI!$C:$C,A264,DITARI!$G:$G))&lt;0.005,"OK","ERROR"))</f>
        <v/>
      </c>
      <c r="C264" s="471" t="str">
        <f aca="false">IF(A264="","",SUMIF(DITARI!$C:$C,A264,DITARI!$F:$F))</f>
        <v/>
      </c>
      <c r="D264" s="471" t="str">
        <f aca="false">IF(A264="","",SUMIF(DITARI!$C:$C,A264,DITARI!$G:$G))</f>
        <v/>
      </c>
      <c r="E264" s="472" t="str">
        <f aca="false">IF(A264="","",C264-D264)</f>
        <v/>
      </c>
      <c r="F264" s="100" t="str">
        <f aca="false">IF(A264="","",COUNTIF(DITARI!$C:$C,A264))</f>
        <v/>
      </c>
      <c r="G264" s="473"/>
    </row>
    <row r="265" customFormat="false" ht="14.25" hidden="false" customHeight="true" outlineLevel="0" collapsed="false">
      <c r="A265" s="470" t="str">
        <f aca="false">IF(COUNTIF(DITARI!$C$6:C267,DITARI!C267)=1,DITARI!C267,"")</f>
        <v/>
      </c>
      <c r="B265" s="100" t="str">
        <f aca="false">IF(A265="","",IF(ABS(SUMIF(DITARI!$C:$C,A265,DITARI!$F:$F)-SUMIF(DITARI!$C:$C,A265,DITARI!$G:$G))&lt;0.005,"OK","ERROR"))</f>
        <v/>
      </c>
      <c r="C265" s="471" t="str">
        <f aca="false">IF(A265="","",SUMIF(DITARI!$C:$C,A265,DITARI!$F:$F))</f>
        <v/>
      </c>
      <c r="D265" s="471" t="str">
        <f aca="false">IF(A265="","",SUMIF(DITARI!$C:$C,A265,DITARI!$G:$G))</f>
        <v/>
      </c>
      <c r="E265" s="472" t="str">
        <f aca="false">IF(A265="","",C265-D265)</f>
        <v/>
      </c>
      <c r="F265" s="100" t="str">
        <f aca="false">IF(A265="","",COUNTIF(DITARI!$C:$C,A265))</f>
        <v/>
      </c>
      <c r="G265" s="473"/>
    </row>
    <row r="266" customFormat="false" ht="14.25" hidden="false" customHeight="true" outlineLevel="0" collapsed="false">
      <c r="A266" s="470" t="str">
        <f aca="false">IF(COUNTIF(DITARI!$C$6:C268,DITARI!C268)=1,DITARI!C268,"")</f>
        <v/>
      </c>
      <c r="B266" s="100" t="str">
        <f aca="false">IF(A266="","",IF(ABS(SUMIF(DITARI!$C:$C,A266,DITARI!$F:$F)-SUMIF(DITARI!$C:$C,A266,DITARI!$G:$G))&lt;0.005,"OK","ERROR"))</f>
        <v/>
      </c>
      <c r="C266" s="471" t="str">
        <f aca="false">IF(A266="","",SUMIF(DITARI!$C:$C,A266,DITARI!$F:$F))</f>
        <v/>
      </c>
      <c r="D266" s="471" t="str">
        <f aca="false">IF(A266="","",SUMIF(DITARI!$C:$C,A266,DITARI!$G:$G))</f>
        <v/>
      </c>
      <c r="E266" s="472" t="str">
        <f aca="false">IF(A266="","",C266-D266)</f>
        <v/>
      </c>
      <c r="F266" s="100" t="str">
        <f aca="false">IF(A266="","",COUNTIF(DITARI!$C:$C,A266))</f>
        <v/>
      </c>
      <c r="G266" s="473"/>
    </row>
    <row r="267" customFormat="false" ht="14.25" hidden="false" customHeight="true" outlineLevel="0" collapsed="false">
      <c r="A267" s="470" t="str">
        <f aca="false">IF(COUNTIF(DITARI!$C$6:C269,DITARI!C269)=1,DITARI!C269,"")</f>
        <v/>
      </c>
      <c r="B267" s="100" t="str">
        <f aca="false">IF(A267="","",IF(ABS(SUMIF(DITARI!$C:$C,A267,DITARI!$F:$F)-SUMIF(DITARI!$C:$C,A267,DITARI!$G:$G))&lt;0.005,"OK","ERROR"))</f>
        <v/>
      </c>
      <c r="C267" s="471" t="str">
        <f aca="false">IF(A267="","",SUMIF(DITARI!$C:$C,A267,DITARI!$F:$F))</f>
        <v/>
      </c>
      <c r="D267" s="471" t="str">
        <f aca="false">IF(A267="","",SUMIF(DITARI!$C:$C,A267,DITARI!$G:$G))</f>
        <v/>
      </c>
      <c r="E267" s="472" t="str">
        <f aca="false">IF(A267="","",C267-D267)</f>
        <v/>
      </c>
      <c r="F267" s="100" t="str">
        <f aca="false">IF(A267="","",COUNTIF(DITARI!$C:$C,A267))</f>
        <v/>
      </c>
      <c r="G267" s="473"/>
    </row>
    <row r="268" customFormat="false" ht="14.25" hidden="false" customHeight="true" outlineLevel="0" collapsed="false">
      <c r="A268" s="470" t="str">
        <f aca="false">IF(COUNTIF(DITARI!$C$6:C270,DITARI!C270)=1,DITARI!C270,"")</f>
        <v/>
      </c>
      <c r="B268" s="100" t="str">
        <f aca="false">IF(A268="","",IF(ABS(SUMIF(DITARI!$C:$C,A268,DITARI!$F:$F)-SUMIF(DITARI!$C:$C,A268,DITARI!$G:$G))&lt;0.005,"OK","ERROR"))</f>
        <v/>
      </c>
      <c r="C268" s="471" t="str">
        <f aca="false">IF(A268="","",SUMIF(DITARI!$C:$C,A268,DITARI!$F:$F))</f>
        <v/>
      </c>
      <c r="D268" s="471" t="str">
        <f aca="false">IF(A268="","",SUMIF(DITARI!$C:$C,A268,DITARI!$G:$G))</f>
        <v/>
      </c>
      <c r="E268" s="472" t="str">
        <f aca="false">IF(A268="","",C268-D268)</f>
        <v/>
      </c>
      <c r="F268" s="100" t="str">
        <f aca="false">IF(A268="","",COUNTIF(DITARI!$C:$C,A268))</f>
        <v/>
      </c>
      <c r="G268" s="473"/>
    </row>
    <row r="269" customFormat="false" ht="14.25" hidden="false" customHeight="true" outlineLevel="0" collapsed="false">
      <c r="A269" s="470" t="str">
        <f aca="false">IF(COUNTIF(DITARI!$C$6:C271,DITARI!C271)=1,DITARI!C271,"")</f>
        <v/>
      </c>
      <c r="B269" s="100" t="str">
        <f aca="false">IF(A269="","",IF(ABS(SUMIF(DITARI!$C:$C,A269,DITARI!$F:$F)-SUMIF(DITARI!$C:$C,A269,DITARI!$G:$G))&lt;0.005,"OK","ERROR"))</f>
        <v/>
      </c>
      <c r="C269" s="471" t="str">
        <f aca="false">IF(A269="","",SUMIF(DITARI!$C:$C,A269,DITARI!$F:$F))</f>
        <v/>
      </c>
      <c r="D269" s="471" t="str">
        <f aca="false">IF(A269="","",SUMIF(DITARI!$C:$C,A269,DITARI!$G:$G))</f>
        <v/>
      </c>
      <c r="E269" s="472" t="str">
        <f aca="false">IF(A269="","",C269-D269)</f>
        <v/>
      </c>
      <c r="F269" s="100" t="str">
        <f aca="false">IF(A269="","",COUNTIF(DITARI!$C:$C,A269))</f>
        <v/>
      </c>
      <c r="G269" s="473"/>
    </row>
    <row r="270" customFormat="false" ht="14.25" hidden="false" customHeight="true" outlineLevel="0" collapsed="false">
      <c r="A270" s="470" t="str">
        <f aca="false">IF(COUNTIF(DITARI!$C$6:C272,DITARI!C272)=1,DITARI!C272,"")</f>
        <v/>
      </c>
      <c r="B270" s="100" t="str">
        <f aca="false">IF(A270="","",IF(ABS(SUMIF(DITARI!$C:$C,A270,DITARI!$F:$F)-SUMIF(DITARI!$C:$C,A270,DITARI!$G:$G))&lt;0.005,"OK","ERROR"))</f>
        <v/>
      </c>
      <c r="C270" s="471" t="str">
        <f aca="false">IF(A270="","",SUMIF(DITARI!$C:$C,A270,DITARI!$F:$F))</f>
        <v/>
      </c>
      <c r="D270" s="471" t="str">
        <f aca="false">IF(A270="","",SUMIF(DITARI!$C:$C,A270,DITARI!$G:$G))</f>
        <v/>
      </c>
      <c r="E270" s="472" t="str">
        <f aca="false">IF(A270="","",C270-D270)</f>
        <v/>
      </c>
      <c r="F270" s="100" t="str">
        <f aca="false">IF(A270="","",COUNTIF(DITARI!$C:$C,A270))</f>
        <v/>
      </c>
      <c r="G270" s="473"/>
    </row>
    <row r="271" customFormat="false" ht="14.25" hidden="false" customHeight="true" outlineLevel="0" collapsed="false">
      <c r="A271" s="470" t="str">
        <f aca="false">IF(COUNTIF(DITARI!$C$6:C273,DITARI!C273)=1,DITARI!C273,"")</f>
        <v/>
      </c>
      <c r="B271" s="100" t="str">
        <f aca="false">IF(A271="","",IF(ABS(SUMIF(DITARI!$C:$C,A271,DITARI!$F:$F)-SUMIF(DITARI!$C:$C,A271,DITARI!$G:$G))&lt;0.005,"OK","ERROR"))</f>
        <v/>
      </c>
      <c r="C271" s="471" t="str">
        <f aca="false">IF(A271="","",SUMIF(DITARI!$C:$C,A271,DITARI!$F:$F))</f>
        <v/>
      </c>
      <c r="D271" s="471" t="str">
        <f aca="false">IF(A271="","",SUMIF(DITARI!$C:$C,A271,DITARI!$G:$G))</f>
        <v/>
      </c>
      <c r="E271" s="472" t="str">
        <f aca="false">IF(A271="","",C271-D271)</f>
        <v/>
      </c>
      <c r="F271" s="100" t="str">
        <f aca="false">IF(A271="","",COUNTIF(DITARI!$C:$C,A271))</f>
        <v/>
      </c>
      <c r="G271" s="473"/>
    </row>
    <row r="272" customFormat="false" ht="14.25" hidden="false" customHeight="true" outlineLevel="0" collapsed="false">
      <c r="A272" s="470" t="str">
        <f aca="false">IF(COUNTIF(DITARI!$C$6:C274,DITARI!C274)=1,DITARI!C274,"")</f>
        <v/>
      </c>
      <c r="B272" s="100" t="str">
        <f aca="false">IF(A272="","",IF(ABS(SUMIF(DITARI!$C:$C,A272,DITARI!$F:$F)-SUMIF(DITARI!$C:$C,A272,DITARI!$G:$G))&lt;0.005,"OK","ERROR"))</f>
        <v/>
      </c>
      <c r="C272" s="471" t="str">
        <f aca="false">IF(A272="","",SUMIF(DITARI!$C:$C,A272,DITARI!$F:$F))</f>
        <v/>
      </c>
      <c r="D272" s="471" t="str">
        <f aca="false">IF(A272="","",SUMIF(DITARI!$C:$C,A272,DITARI!$G:$G))</f>
        <v/>
      </c>
      <c r="E272" s="472" t="str">
        <f aca="false">IF(A272="","",C272-D272)</f>
        <v/>
      </c>
      <c r="F272" s="100" t="str">
        <f aca="false">IF(A272="","",COUNTIF(DITARI!$C:$C,A272))</f>
        <v/>
      </c>
      <c r="G272" s="473"/>
    </row>
    <row r="273" customFormat="false" ht="14.25" hidden="false" customHeight="true" outlineLevel="0" collapsed="false">
      <c r="A273" s="470" t="str">
        <f aca="false">IF(COUNTIF(DITARI!$C$6:C275,DITARI!C275)=1,DITARI!C275,"")</f>
        <v/>
      </c>
      <c r="B273" s="100" t="str">
        <f aca="false">IF(A273="","",IF(ABS(SUMIF(DITARI!$C:$C,A273,DITARI!$F:$F)-SUMIF(DITARI!$C:$C,A273,DITARI!$G:$G))&lt;0.005,"OK","ERROR"))</f>
        <v/>
      </c>
      <c r="C273" s="471" t="str">
        <f aca="false">IF(A273="","",SUMIF(DITARI!$C:$C,A273,DITARI!$F:$F))</f>
        <v/>
      </c>
      <c r="D273" s="471" t="str">
        <f aca="false">IF(A273="","",SUMIF(DITARI!$C:$C,A273,DITARI!$G:$G))</f>
        <v/>
      </c>
      <c r="E273" s="472" t="str">
        <f aca="false">IF(A273="","",C273-D273)</f>
        <v/>
      </c>
      <c r="F273" s="100" t="str">
        <f aca="false">IF(A273="","",COUNTIF(DITARI!$C:$C,A273))</f>
        <v/>
      </c>
      <c r="G273" s="473"/>
    </row>
    <row r="274" customFormat="false" ht="14.25" hidden="false" customHeight="true" outlineLevel="0" collapsed="false">
      <c r="A274" s="470" t="str">
        <f aca="false">IF(COUNTIF(DITARI!$C$6:C276,DITARI!C276)=1,DITARI!C276,"")</f>
        <v/>
      </c>
      <c r="B274" s="100" t="str">
        <f aca="false">IF(A274="","",IF(ABS(SUMIF(DITARI!$C:$C,A274,DITARI!$F:$F)-SUMIF(DITARI!$C:$C,A274,DITARI!$G:$G))&lt;0.005,"OK","ERROR"))</f>
        <v/>
      </c>
      <c r="C274" s="471" t="str">
        <f aca="false">IF(A274="","",SUMIF(DITARI!$C:$C,A274,DITARI!$F:$F))</f>
        <v/>
      </c>
      <c r="D274" s="471" t="str">
        <f aca="false">IF(A274="","",SUMIF(DITARI!$C:$C,A274,DITARI!$G:$G))</f>
        <v/>
      </c>
      <c r="E274" s="472" t="str">
        <f aca="false">IF(A274="","",C274-D274)</f>
        <v/>
      </c>
      <c r="F274" s="100" t="str">
        <f aca="false">IF(A274="","",COUNTIF(DITARI!$C:$C,A274))</f>
        <v/>
      </c>
      <c r="G274" s="473"/>
    </row>
    <row r="275" customFormat="false" ht="14.25" hidden="false" customHeight="true" outlineLevel="0" collapsed="false">
      <c r="A275" s="470" t="str">
        <f aca="false">IF(COUNTIF(DITARI!$C$6:C277,DITARI!C277)=1,DITARI!C277,"")</f>
        <v/>
      </c>
      <c r="B275" s="100" t="str">
        <f aca="false">IF(A275="","",IF(ABS(SUMIF(DITARI!$C:$C,A275,DITARI!$F:$F)-SUMIF(DITARI!$C:$C,A275,DITARI!$G:$G))&lt;0.005,"OK","ERROR"))</f>
        <v/>
      </c>
      <c r="C275" s="471" t="str">
        <f aca="false">IF(A275="","",SUMIF(DITARI!$C:$C,A275,DITARI!$F:$F))</f>
        <v/>
      </c>
      <c r="D275" s="471" t="str">
        <f aca="false">IF(A275="","",SUMIF(DITARI!$C:$C,A275,DITARI!$G:$G))</f>
        <v/>
      </c>
      <c r="E275" s="472" t="str">
        <f aca="false">IF(A275="","",C275-D275)</f>
        <v/>
      </c>
      <c r="F275" s="100" t="str">
        <f aca="false">IF(A275="","",COUNTIF(DITARI!$C:$C,A275))</f>
        <v/>
      </c>
      <c r="G275" s="473"/>
    </row>
    <row r="276" customFormat="false" ht="14.25" hidden="false" customHeight="true" outlineLevel="0" collapsed="false">
      <c r="A276" s="470" t="str">
        <f aca="false">IF(COUNTIF(DITARI!$C$6:C278,DITARI!C278)=1,DITARI!C278,"")</f>
        <v/>
      </c>
      <c r="B276" s="100" t="str">
        <f aca="false">IF(A276="","",IF(ABS(SUMIF(DITARI!$C:$C,A276,DITARI!$F:$F)-SUMIF(DITARI!$C:$C,A276,DITARI!$G:$G))&lt;0.005,"OK","ERROR"))</f>
        <v/>
      </c>
      <c r="C276" s="471" t="str">
        <f aca="false">IF(A276="","",SUMIF(DITARI!$C:$C,A276,DITARI!$F:$F))</f>
        <v/>
      </c>
      <c r="D276" s="471" t="str">
        <f aca="false">IF(A276="","",SUMIF(DITARI!$C:$C,A276,DITARI!$G:$G))</f>
        <v/>
      </c>
      <c r="E276" s="472" t="str">
        <f aca="false">IF(A276="","",C276-D276)</f>
        <v/>
      </c>
      <c r="F276" s="100" t="str">
        <f aca="false">IF(A276="","",COUNTIF(DITARI!$C:$C,A276))</f>
        <v/>
      </c>
      <c r="G276" s="473"/>
    </row>
    <row r="277" customFormat="false" ht="14.25" hidden="false" customHeight="true" outlineLevel="0" collapsed="false">
      <c r="A277" s="470" t="str">
        <f aca="false">IF(COUNTIF(DITARI!$C$6:C279,DITARI!C279)=1,DITARI!C279,"")</f>
        <v/>
      </c>
      <c r="B277" s="100" t="str">
        <f aca="false">IF(A277="","",IF(ABS(SUMIF(DITARI!$C:$C,A277,DITARI!$F:$F)-SUMIF(DITARI!$C:$C,A277,DITARI!$G:$G))&lt;0.005,"OK","ERROR"))</f>
        <v/>
      </c>
      <c r="C277" s="471" t="str">
        <f aca="false">IF(A277="","",SUMIF(DITARI!$C:$C,A277,DITARI!$F:$F))</f>
        <v/>
      </c>
      <c r="D277" s="471" t="str">
        <f aca="false">IF(A277="","",SUMIF(DITARI!$C:$C,A277,DITARI!$G:$G))</f>
        <v/>
      </c>
      <c r="E277" s="472" t="str">
        <f aca="false">IF(A277="","",C277-D277)</f>
        <v/>
      </c>
      <c r="F277" s="100" t="str">
        <f aca="false">IF(A277="","",COUNTIF(DITARI!$C:$C,A277))</f>
        <v/>
      </c>
      <c r="G277" s="473"/>
    </row>
    <row r="278" customFormat="false" ht="14.25" hidden="false" customHeight="true" outlineLevel="0" collapsed="false">
      <c r="A278" s="470" t="str">
        <f aca="false">IF(COUNTIF(DITARI!$C$6:C280,DITARI!C280)=1,DITARI!C280,"")</f>
        <v/>
      </c>
      <c r="B278" s="100" t="str">
        <f aca="false">IF(A278="","",IF(ABS(SUMIF(DITARI!$C:$C,A278,DITARI!$F:$F)-SUMIF(DITARI!$C:$C,A278,DITARI!$G:$G))&lt;0.005,"OK","ERROR"))</f>
        <v/>
      </c>
      <c r="C278" s="471" t="str">
        <f aca="false">IF(A278="","",SUMIF(DITARI!$C:$C,A278,DITARI!$F:$F))</f>
        <v/>
      </c>
      <c r="D278" s="471" t="str">
        <f aca="false">IF(A278="","",SUMIF(DITARI!$C:$C,A278,DITARI!$G:$G))</f>
        <v/>
      </c>
      <c r="E278" s="472" t="str">
        <f aca="false">IF(A278="","",C278-D278)</f>
        <v/>
      </c>
      <c r="F278" s="100" t="str">
        <f aca="false">IF(A278="","",COUNTIF(DITARI!$C:$C,A278))</f>
        <v/>
      </c>
      <c r="G278" s="473"/>
    </row>
    <row r="279" customFormat="false" ht="14.25" hidden="false" customHeight="true" outlineLevel="0" collapsed="false">
      <c r="A279" s="470" t="str">
        <f aca="false">IF(COUNTIF(DITARI!$C$6:C281,DITARI!C281)=1,DITARI!C281,"")</f>
        <v/>
      </c>
      <c r="B279" s="100" t="str">
        <f aca="false">IF(A279="","",IF(ABS(SUMIF(DITARI!$C:$C,A279,DITARI!$F:$F)-SUMIF(DITARI!$C:$C,A279,DITARI!$G:$G))&lt;0.005,"OK","ERROR"))</f>
        <v/>
      </c>
      <c r="C279" s="471" t="str">
        <f aca="false">IF(A279="","",SUMIF(DITARI!$C:$C,A279,DITARI!$F:$F))</f>
        <v/>
      </c>
      <c r="D279" s="471" t="str">
        <f aca="false">IF(A279="","",SUMIF(DITARI!$C:$C,A279,DITARI!$G:$G))</f>
        <v/>
      </c>
      <c r="E279" s="472" t="str">
        <f aca="false">IF(A279="","",C279-D279)</f>
        <v/>
      </c>
      <c r="F279" s="100" t="str">
        <f aca="false">IF(A279="","",COUNTIF(DITARI!$C:$C,A279))</f>
        <v/>
      </c>
      <c r="G279" s="473"/>
    </row>
    <row r="280" customFormat="false" ht="14.25" hidden="false" customHeight="true" outlineLevel="0" collapsed="false">
      <c r="A280" s="470" t="str">
        <f aca="false">IF(COUNTIF(DITARI!$C$6:C282,DITARI!C282)=1,DITARI!C282,"")</f>
        <v/>
      </c>
      <c r="B280" s="100" t="str">
        <f aca="false">IF(A280="","",IF(ABS(SUMIF(DITARI!$C:$C,A280,DITARI!$F:$F)-SUMIF(DITARI!$C:$C,A280,DITARI!$G:$G))&lt;0.005,"OK","ERROR"))</f>
        <v/>
      </c>
      <c r="C280" s="471" t="str">
        <f aca="false">IF(A280="","",SUMIF(DITARI!$C:$C,A280,DITARI!$F:$F))</f>
        <v/>
      </c>
      <c r="D280" s="471" t="str">
        <f aca="false">IF(A280="","",SUMIF(DITARI!$C:$C,A280,DITARI!$G:$G))</f>
        <v/>
      </c>
      <c r="E280" s="472" t="str">
        <f aca="false">IF(A280="","",C280-D280)</f>
        <v/>
      </c>
      <c r="F280" s="100" t="str">
        <f aca="false">IF(A280="","",COUNTIF(DITARI!$C:$C,A280))</f>
        <v/>
      </c>
      <c r="G280" s="473"/>
    </row>
    <row r="281" customFormat="false" ht="14.25" hidden="false" customHeight="true" outlineLevel="0" collapsed="false">
      <c r="A281" s="470" t="str">
        <f aca="false">IF(COUNTIF(DITARI!$C$6:C283,DITARI!C283)=1,DITARI!C283,"")</f>
        <v/>
      </c>
      <c r="B281" s="100" t="str">
        <f aca="false">IF(A281="","",IF(ABS(SUMIF(DITARI!$C:$C,A281,DITARI!$F:$F)-SUMIF(DITARI!$C:$C,A281,DITARI!$G:$G))&lt;0.005,"OK","ERROR"))</f>
        <v/>
      </c>
      <c r="C281" s="471" t="str">
        <f aca="false">IF(A281="","",SUMIF(DITARI!$C:$C,A281,DITARI!$F:$F))</f>
        <v/>
      </c>
      <c r="D281" s="471" t="str">
        <f aca="false">IF(A281="","",SUMIF(DITARI!$C:$C,A281,DITARI!$G:$G))</f>
        <v/>
      </c>
      <c r="E281" s="472" t="str">
        <f aca="false">IF(A281="","",C281-D281)</f>
        <v/>
      </c>
      <c r="F281" s="100" t="str">
        <f aca="false">IF(A281="","",COUNTIF(DITARI!$C:$C,A281))</f>
        <v/>
      </c>
      <c r="G281" s="473"/>
    </row>
    <row r="282" customFormat="false" ht="14.25" hidden="false" customHeight="true" outlineLevel="0" collapsed="false">
      <c r="A282" s="470" t="str">
        <f aca="false">IF(COUNTIF(DITARI!$C$6:C284,DITARI!C284)=1,DITARI!C284,"")</f>
        <v/>
      </c>
      <c r="B282" s="100" t="str">
        <f aca="false">IF(A282="","",IF(ABS(SUMIF(DITARI!$C:$C,A282,DITARI!$F:$F)-SUMIF(DITARI!$C:$C,A282,DITARI!$G:$G))&lt;0.005,"OK","ERROR"))</f>
        <v/>
      </c>
      <c r="C282" s="471" t="str">
        <f aca="false">IF(A282="","",SUMIF(DITARI!$C:$C,A282,DITARI!$F:$F))</f>
        <v/>
      </c>
      <c r="D282" s="471" t="str">
        <f aca="false">IF(A282="","",SUMIF(DITARI!$C:$C,A282,DITARI!$G:$G))</f>
        <v/>
      </c>
      <c r="E282" s="472" t="str">
        <f aca="false">IF(A282="","",C282-D282)</f>
        <v/>
      </c>
      <c r="F282" s="100" t="str">
        <f aca="false">IF(A282="","",COUNTIF(DITARI!$C:$C,A282))</f>
        <v/>
      </c>
      <c r="G282" s="473"/>
    </row>
    <row r="283" customFormat="false" ht="14.25" hidden="false" customHeight="true" outlineLevel="0" collapsed="false">
      <c r="A283" s="470" t="str">
        <f aca="false">IF(COUNTIF(DITARI!$C$6:C285,DITARI!C285)=1,DITARI!C285,"")</f>
        <v/>
      </c>
      <c r="B283" s="100" t="str">
        <f aca="false">IF(A283="","",IF(ABS(SUMIF(DITARI!$C:$C,A283,DITARI!$F:$F)-SUMIF(DITARI!$C:$C,A283,DITARI!$G:$G))&lt;0.005,"OK","ERROR"))</f>
        <v/>
      </c>
      <c r="C283" s="471" t="str">
        <f aca="false">IF(A283="","",SUMIF(DITARI!$C:$C,A283,DITARI!$F:$F))</f>
        <v/>
      </c>
      <c r="D283" s="471" t="str">
        <f aca="false">IF(A283="","",SUMIF(DITARI!$C:$C,A283,DITARI!$G:$G))</f>
        <v/>
      </c>
      <c r="E283" s="472" t="str">
        <f aca="false">IF(A283="","",C283-D283)</f>
        <v/>
      </c>
      <c r="F283" s="100" t="str">
        <f aca="false">IF(A283="","",COUNTIF(DITARI!$C:$C,A283))</f>
        <v/>
      </c>
      <c r="G283" s="473"/>
    </row>
    <row r="284" customFormat="false" ht="14.25" hidden="false" customHeight="true" outlineLevel="0" collapsed="false">
      <c r="A284" s="470" t="str">
        <f aca="false">IF(COUNTIF(DITARI!$C$6:C286,DITARI!C286)=1,DITARI!C286,"")</f>
        <v/>
      </c>
      <c r="B284" s="100" t="str">
        <f aca="false">IF(A284="","",IF(ABS(SUMIF(DITARI!$C:$C,A284,DITARI!$F:$F)-SUMIF(DITARI!$C:$C,A284,DITARI!$G:$G))&lt;0.005,"OK","ERROR"))</f>
        <v/>
      </c>
      <c r="C284" s="471" t="str">
        <f aca="false">IF(A284="","",SUMIF(DITARI!$C:$C,A284,DITARI!$F:$F))</f>
        <v/>
      </c>
      <c r="D284" s="471" t="str">
        <f aca="false">IF(A284="","",SUMIF(DITARI!$C:$C,A284,DITARI!$G:$G))</f>
        <v/>
      </c>
      <c r="E284" s="472" t="str">
        <f aca="false">IF(A284="","",C284-D284)</f>
        <v/>
      </c>
      <c r="F284" s="100" t="str">
        <f aca="false">IF(A284="","",COUNTIF(DITARI!$C:$C,A284))</f>
        <v/>
      </c>
      <c r="G284" s="473"/>
    </row>
    <row r="285" customFormat="false" ht="14.25" hidden="false" customHeight="true" outlineLevel="0" collapsed="false">
      <c r="A285" s="470" t="str">
        <f aca="false">IF(COUNTIF(DITARI!$C$6:C287,DITARI!C287)=1,DITARI!C287,"")</f>
        <v/>
      </c>
      <c r="B285" s="100" t="str">
        <f aca="false">IF(A285="","",IF(ABS(SUMIF(DITARI!$C:$C,A285,DITARI!$F:$F)-SUMIF(DITARI!$C:$C,A285,DITARI!$G:$G))&lt;0.005,"OK","ERROR"))</f>
        <v/>
      </c>
      <c r="C285" s="471" t="str">
        <f aca="false">IF(A285="","",SUMIF(DITARI!$C:$C,A285,DITARI!$F:$F))</f>
        <v/>
      </c>
      <c r="D285" s="471" t="str">
        <f aca="false">IF(A285="","",SUMIF(DITARI!$C:$C,A285,DITARI!$G:$G))</f>
        <v/>
      </c>
      <c r="E285" s="472" t="str">
        <f aca="false">IF(A285="","",C285-D285)</f>
        <v/>
      </c>
      <c r="F285" s="100" t="str">
        <f aca="false">IF(A285="","",COUNTIF(DITARI!$C:$C,A285))</f>
        <v/>
      </c>
      <c r="G285" s="473"/>
    </row>
    <row r="286" customFormat="false" ht="14.25" hidden="false" customHeight="true" outlineLevel="0" collapsed="false">
      <c r="A286" s="470" t="str">
        <f aca="false">IF(COUNTIF(DITARI!$C$6:C288,DITARI!C288)=1,DITARI!C288,"")</f>
        <v/>
      </c>
      <c r="B286" s="100" t="str">
        <f aca="false">IF(A286="","",IF(ABS(SUMIF(DITARI!$C:$C,A286,DITARI!$F:$F)-SUMIF(DITARI!$C:$C,A286,DITARI!$G:$G))&lt;0.005,"OK","ERROR"))</f>
        <v/>
      </c>
      <c r="C286" s="471" t="str">
        <f aca="false">IF(A286="","",SUMIF(DITARI!$C:$C,A286,DITARI!$F:$F))</f>
        <v/>
      </c>
      <c r="D286" s="471" t="str">
        <f aca="false">IF(A286="","",SUMIF(DITARI!$C:$C,A286,DITARI!$G:$G))</f>
        <v/>
      </c>
      <c r="E286" s="472" t="str">
        <f aca="false">IF(A286="","",C286-D286)</f>
        <v/>
      </c>
      <c r="F286" s="100" t="str">
        <f aca="false">IF(A286="","",COUNTIF(DITARI!$C:$C,A286))</f>
        <v/>
      </c>
      <c r="G286" s="473"/>
    </row>
    <row r="287" customFormat="false" ht="14.25" hidden="false" customHeight="true" outlineLevel="0" collapsed="false">
      <c r="A287" s="470" t="str">
        <f aca="false">IF(COUNTIF(DITARI!$C$6:C289,DITARI!C289)=1,DITARI!C289,"")</f>
        <v/>
      </c>
      <c r="B287" s="100" t="str">
        <f aca="false">IF(A287="","",IF(ABS(SUMIF(DITARI!$C:$C,A287,DITARI!$F:$F)-SUMIF(DITARI!$C:$C,A287,DITARI!$G:$G))&lt;0.005,"OK","ERROR"))</f>
        <v/>
      </c>
      <c r="C287" s="471" t="str">
        <f aca="false">IF(A287="","",SUMIF(DITARI!$C:$C,A287,DITARI!$F:$F))</f>
        <v/>
      </c>
      <c r="D287" s="471" t="str">
        <f aca="false">IF(A287="","",SUMIF(DITARI!$C:$C,A287,DITARI!$G:$G))</f>
        <v/>
      </c>
      <c r="E287" s="472" t="str">
        <f aca="false">IF(A287="","",C287-D287)</f>
        <v/>
      </c>
      <c r="F287" s="100" t="str">
        <f aca="false">IF(A287="","",COUNTIF(DITARI!$C:$C,A287))</f>
        <v/>
      </c>
      <c r="G287" s="473"/>
    </row>
    <row r="288" customFormat="false" ht="14.25" hidden="false" customHeight="true" outlineLevel="0" collapsed="false">
      <c r="A288" s="470" t="str">
        <f aca="false">IF(COUNTIF(DITARI!$C$6:C290,DITARI!C290)=1,DITARI!C290,"")</f>
        <v/>
      </c>
      <c r="B288" s="100" t="str">
        <f aca="false">IF(A288="","",IF(ABS(SUMIF(DITARI!$C:$C,A288,DITARI!$F:$F)-SUMIF(DITARI!$C:$C,A288,DITARI!$G:$G))&lt;0.005,"OK","ERROR"))</f>
        <v/>
      </c>
      <c r="C288" s="471" t="str">
        <f aca="false">IF(A288="","",SUMIF(DITARI!$C:$C,A288,DITARI!$F:$F))</f>
        <v/>
      </c>
      <c r="D288" s="471" t="str">
        <f aca="false">IF(A288="","",SUMIF(DITARI!$C:$C,A288,DITARI!$G:$G))</f>
        <v/>
      </c>
      <c r="E288" s="472" t="str">
        <f aca="false">IF(A288="","",C288-D288)</f>
        <v/>
      </c>
      <c r="F288" s="100" t="str">
        <f aca="false">IF(A288="","",COUNTIF(DITARI!$C:$C,A288))</f>
        <v/>
      </c>
      <c r="G288" s="473"/>
    </row>
    <row r="289" customFormat="false" ht="14.25" hidden="false" customHeight="true" outlineLevel="0" collapsed="false">
      <c r="A289" s="470" t="str">
        <f aca="false">IF(COUNTIF(DITARI!$C$6:C291,DITARI!C291)=1,DITARI!C291,"")</f>
        <v/>
      </c>
      <c r="B289" s="100" t="str">
        <f aca="false">IF(A289="","",IF(ABS(SUMIF(DITARI!$C:$C,A289,DITARI!$F:$F)-SUMIF(DITARI!$C:$C,A289,DITARI!$G:$G))&lt;0.005,"OK","ERROR"))</f>
        <v/>
      </c>
      <c r="C289" s="471" t="str">
        <f aca="false">IF(A289="","",SUMIF(DITARI!$C:$C,A289,DITARI!$F:$F))</f>
        <v/>
      </c>
      <c r="D289" s="471" t="str">
        <f aca="false">IF(A289="","",SUMIF(DITARI!$C:$C,A289,DITARI!$G:$G))</f>
        <v/>
      </c>
      <c r="E289" s="472" t="str">
        <f aca="false">IF(A289="","",C289-D289)</f>
        <v/>
      </c>
      <c r="F289" s="100" t="str">
        <f aca="false">IF(A289="","",COUNTIF(DITARI!$C:$C,A289))</f>
        <v/>
      </c>
      <c r="G289" s="473"/>
    </row>
    <row r="290" customFormat="false" ht="14.25" hidden="false" customHeight="true" outlineLevel="0" collapsed="false">
      <c r="A290" s="470" t="str">
        <f aca="false">IF(COUNTIF(DITARI!$C$6:C292,DITARI!C292)=1,DITARI!C292,"")</f>
        <v/>
      </c>
      <c r="B290" s="100" t="str">
        <f aca="false">IF(A290="","",IF(ABS(SUMIF(DITARI!$C:$C,A290,DITARI!$F:$F)-SUMIF(DITARI!$C:$C,A290,DITARI!$G:$G))&lt;0.005,"OK","ERROR"))</f>
        <v/>
      </c>
      <c r="C290" s="471" t="str">
        <f aca="false">IF(A290="","",SUMIF(DITARI!$C:$C,A290,DITARI!$F:$F))</f>
        <v/>
      </c>
      <c r="D290" s="471" t="str">
        <f aca="false">IF(A290="","",SUMIF(DITARI!$C:$C,A290,DITARI!$G:$G))</f>
        <v/>
      </c>
      <c r="E290" s="472" t="str">
        <f aca="false">IF(A290="","",C290-D290)</f>
        <v/>
      </c>
      <c r="F290" s="100" t="str">
        <f aca="false">IF(A290="","",COUNTIF(DITARI!$C:$C,A290))</f>
        <v/>
      </c>
      <c r="G290" s="473"/>
    </row>
    <row r="291" customFormat="false" ht="14.25" hidden="false" customHeight="true" outlineLevel="0" collapsed="false">
      <c r="A291" s="470" t="str">
        <f aca="false">IF(COUNTIF(DITARI!$C$6:C293,DITARI!C293)=1,DITARI!C293,"")</f>
        <v/>
      </c>
      <c r="B291" s="100" t="str">
        <f aca="false">IF(A291="","",IF(ABS(SUMIF(DITARI!$C:$C,A291,DITARI!$F:$F)-SUMIF(DITARI!$C:$C,A291,DITARI!$G:$G))&lt;0.005,"OK","ERROR"))</f>
        <v/>
      </c>
      <c r="C291" s="471" t="str">
        <f aca="false">IF(A291="","",SUMIF(DITARI!$C:$C,A291,DITARI!$F:$F))</f>
        <v/>
      </c>
      <c r="D291" s="471" t="str">
        <f aca="false">IF(A291="","",SUMIF(DITARI!$C:$C,A291,DITARI!$G:$G))</f>
        <v/>
      </c>
      <c r="E291" s="472" t="str">
        <f aca="false">IF(A291="","",C291-D291)</f>
        <v/>
      </c>
      <c r="F291" s="100" t="str">
        <f aca="false">IF(A291="","",COUNTIF(DITARI!$C:$C,A291))</f>
        <v/>
      </c>
      <c r="G291" s="473"/>
    </row>
    <row r="292" customFormat="false" ht="14.25" hidden="false" customHeight="true" outlineLevel="0" collapsed="false">
      <c r="A292" s="470" t="str">
        <f aca="false">IF(COUNTIF(DITARI!$C$6:C294,DITARI!C294)=1,DITARI!C294,"")</f>
        <v/>
      </c>
      <c r="B292" s="100" t="str">
        <f aca="false">IF(A292="","",IF(ABS(SUMIF(DITARI!$C:$C,A292,DITARI!$F:$F)-SUMIF(DITARI!$C:$C,A292,DITARI!$G:$G))&lt;0.005,"OK","ERROR"))</f>
        <v/>
      </c>
      <c r="C292" s="471" t="str">
        <f aca="false">IF(A292="","",SUMIF(DITARI!$C:$C,A292,DITARI!$F:$F))</f>
        <v/>
      </c>
      <c r="D292" s="471" t="str">
        <f aca="false">IF(A292="","",SUMIF(DITARI!$C:$C,A292,DITARI!$G:$G))</f>
        <v/>
      </c>
      <c r="E292" s="472" t="str">
        <f aca="false">IF(A292="","",C292-D292)</f>
        <v/>
      </c>
      <c r="F292" s="100" t="str">
        <f aca="false">IF(A292="","",COUNTIF(DITARI!$C:$C,A292))</f>
        <v/>
      </c>
      <c r="G292" s="473"/>
    </row>
    <row r="293" customFormat="false" ht="14.25" hidden="false" customHeight="true" outlineLevel="0" collapsed="false">
      <c r="A293" s="470" t="str">
        <f aca="false">IF(COUNTIF(DITARI!$C$6:C295,DITARI!C295)=1,DITARI!C295,"")</f>
        <v/>
      </c>
      <c r="B293" s="100" t="str">
        <f aca="false">IF(A293="","",IF(ABS(SUMIF(DITARI!$C:$C,A293,DITARI!$F:$F)-SUMIF(DITARI!$C:$C,A293,DITARI!$G:$G))&lt;0.005,"OK","ERROR"))</f>
        <v/>
      </c>
      <c r="C293" s="471" t="str">
        <f aca="false">IF(A293="","",SUMIF(DITARI!$C:$C,A293,DITARI!$F:$F))</f>
        <v/>
      </c>
      <c r="D293" s="471" t="str">
        <f aca="false">IF(A293="","",SUMIF(DITARI!$C:$C,A293,DITARI!$G:$G))</f>
        <v/>
      </c>
      <c r="E293" s="472" t="str">
        <f aca="false">IF(A293="","",C293-D293)</f>
        <v/>
      </c>
      <c r="F293" s="100" t="str">
        <f aca="false">IF(A293="","",COUNTIF(DITARI!$C:$C,A293))</f>
        <v/>
      </c>
      <c r="G293" s="473"/>
    </row>
    <row r="294" customFormat="false" ht="14.25" hidden="false" customHeight="true" outlineLevel="0" collapsed="false">
      <c r="A294" s="470" t="str">
        <f aca="false">IF(COUNTIF(DITARI!$C$6:C296,DITARI!C296)=1,DITARI!C296,"")</f>
        <v/>
      </c>
      <c r="B294" s="100" t="str">
        <f aca="false">IF(A294="","",IF(ABS(SUMIF(DITARI!$C:$C,A294,DITARI!$F:$F)-SUMIF(DITARI!$C:$C,A294,DITARI!$G:$G))&lt;0.005,"OK","ERROR"))</f>
        <v/>
      </c>
      <c r="C294" s="471" t="str">
        <f aca="false">IF(A294="","",SUMIF(DITARI!$C:$C,A294,DITARI!$F:$F))</f>
        <v/>
      </c>
      <c r="D294" s="471" t="str">
        <f aca="false">IF(A294="","",SUMIF(DITARI!$C:$C,A294,DITARI!$G:$G))</f>
        <v/>
      </c>
      <c r="E294" s="472" t="str">
        <f aca="false">IF(A294="","",C294-D294)</f>
        <v/>
      </c>
      <c r="F294" s="100" t="str">
        <f aca="false">IF(A294="","",COUNTIF(DITARI!$C:$C,A294))</f>
        <v/>
      </c>
      <c r="G294" s="473"/>
    </row>
    <row r="295" customFormat="false" ht="14.25" hidden="false" customHeight="true" outlineLevel="0" collapsed="false">
      <c r="A295" s="470" t="str">
        <f aca="false">IF(COUNTIF(DITARI!$C$6:C297,DITARI!C297)=1,DITARI!C297,"")</f>
        <v/>
      </c>
      <c r="B295" s="100" t="str">
        <f aca="false">IF(A295="","",IF(ABS(SUMIF(DITARI!$C:$C,A295,DITARI!$F:$F)-SUMIF(DITARI!$C:$C,A295,DITARI!$G:$G))&lt;0.005,"OK","ERROR"))</f>
        <v/>
      </c>
      <c r="C295" s="471" t="str">
        <f aca="false">IF(A295="","",SUMIF(DITARI!$C:$C,A295,DITARI!$F:$F))</f>
        <v/>
      </c>
      <c r="D295" s="471" t="str">
        <f aca="false">IF(A295="","",SUMIF(DITARI!$C:$C,A295,DITARI!$G:$G))</f>
        <v/>
      </c>
      <c r="E295" s="472" t="str">
        <f aca="false">IF(A295="","",C295-D295)</f>
        <v/>
      </c>
      <c r="F295" s="100" t="str">
        <f aca="false">IF(A295="","",COUNTIF(DITARI!$C:$C,A295))</f>
        <v/>
      </c>
      <c r="G295" s="473"/>
    </row>
    <row r="296" customFormat="false" ht="14.25" hidden="false" customHeight="true" outlineLevel="0" collapsed="false">
      <c r="A296" s="470" t="str">
        <f aca="false">IF(COUNTIF(DITARI!$C$6:C298,DITARI!C298)=1,DITARI!C298,"")</f>
        <v/>
      </c>
      <c r="B296" s="100" t="str">
        <f aca="false">IF(A296="","",IF(ABS(SUMIF(DITARI!$C:$C,A296,DITARI!$F:$F)-SUMIF(DITARI!$C:$C,A296,DITARI!$G:$G))&lt;0.005,"OK","ERROR"))</f>
        <v/>
      </c>
      <c r="C296" s="471" t="str">
        <f aca="false">IF(A296="","",SUMIF(DITARI!$C:$C,A296,DITARI!$F:$F))</f>
        <v/>
      </c>
      <c r="D296" s="471" t="str">
        <f aca="false">IF(A296="","",SUMIF(DITARI!$C:$C,A296,DITARI!$G:$G))</f>
        <v/>
      </c>
      <c r="E296" s="472" t="str">
        <f aca="false">IF(A296="","",C296-D296)</f>
        <v/>
      </c>
      <c r="F296" s="100" t="str">
        <f aca="false">IF(A296="","",COUNTIF(DITARI!$C:$C,A296))</f>
        <v/>
      </c>
      <c r="G296" s="473"/>
    </row>
    <row r="297" customFormat="false" ht="14.25" hidden="false" customHeight="true" outlineLevel="0" collapsed="false">
      <c r="A297" s="470" t="str">
        <f aca="false">IF(COUNTIF(DITARI!$C$6:C299,DITARI!C299)=1,DITARI!C299,"")</f>
        <v/>
      </c>
      <c r="B297" s="100" t="str">
        <f aca="false">IF(A297="","",IF(ABS(SUMIF(DITARI!$C:$C,A297,DITARI!$F:$F)-SUMIF(DITARI!$C:$C,A297,DITARI!$G:$G))&lt;0.005,"OK","ERROR"))</f>
        <v/>
      </c>
      <c r="C297" s="471" t="str">
        <f aca="false">IF(A297="","",SUMIF(DITARI!$C:$C,A297,DITARI!$F:$F))</f>
        <v/>
      </c>
      <c r="D297" s="471" t="str">
        <f aca="false">IF(A297="","",SUMIF(DITARI!$C:$C,A297,DITARI!$G:$G))</f>
        <v/>
      </c>
      <c r="E297" s="472" t="str">
        <f aca="false">IF(A297="","",C297-D297)</f>
        <v/>
      </c>
      <c r="F297" s="100" t="str">
        <f aca="false">IF(A297="","",COUNTIF(DITARI!$C:$C,A297))</f>
        <v/>
      </c>
      <c r="G297" s="473"/>
    </row>
    <row r="298" customFormat="false" ht="14.25" hidden="false" customHeight="true" outlineLevel="0" collapsed="false">
      <c r="A298" s="470" t="str">
        <f aca="false">IF(COUNTIF(DITARI!$C$6:C300,DITARI!C300)=1,DITARI!C300,"")</f>
        <v/>
      </c>
      <c r="B298" s="100" t="str">
        <f aca="false">IF(A298="","",IF(ABS(SUMIF(DITARI!$C:$C,A298,DITARI!$F:$F)-SUMIF(DITARI!$C:$C,A298,DITARI!$G:$G))&lt;0.005,"OK","ERROR"))</f>
        <v/>
      </c>
      <c r="C298" s="471" t="str">
        <f aca="false">IF(A298="","",SUMIF(DITARI!$C:$C,A298,DITARI!$F:$F))</f>
        <v/>
      </c>
      <c r="D298" s="471" t="str">
        <f aca="false">IF(A298="","",SUMIF(DITARI!$C:$C,A298,DITARI!$G:$G))</f>
        <v/>
      </c>
      <c r="E298" s="472" t="str">
        <f aca="false">IF(A298="","",C298-D298)</f>
        <v/>
      </c>
      <c r="F298" s="100" t="str">
        <f aca="false">IF(A298="","",COUNTIF(DITARI!$C:$C,A298))</f>
        <v/>
      </c>
      <c r="G298" s="473"/>
    </row>
    <row r="299" customFormat="false" ht="14.25" hidden="false" customHeight="true" outlineLevel="0" collapsed="false">
      <c r="A299" s="470" t="str">
        <f aca="false">IF(COUNTIF(DITARI!$C$6:C301,DITARI!C301)=1,DITARI!C301,"")</f>
        <v/>
      </c>
      <c r="B299" s="100" t="str">
        <f aca="false">IF(A299="","",IF(ABS(SUMIF(DITARI!$C:$C,A299,DITARI!$F:$F)-SUMIF(DITARI!$C:$C,A299,DITARI!$G:$G))&lt;0.005,"OK","ERROR"))</f>
        <v/>
      </c>
      <c r="C299" s="471" t="str">
        <f aca="false">IF(A299="","",SUMIF(DITARI!$C:$C,A299,DITARI!$F:$F))</f>
        <v/>
      </c>
      <c r="D299" s="471" t="str">
        <f aca="false">IF(A299="","",SUMIF(DITARI!$C:$C,A299,DITARI!$G:$G))</f>
        <v/>
      </c>
      <c r="E299" s="472" t="str">
        <f aca="false">IF(A299="","",C299-D299)</f>
        <v/>
      </c>
      <c r="F299" s="100" t="str">
        <f aca="false">IF(A299="","",COUNTIF(DITARI!$C:$C,A299))</f>
        <v/>
      </c>
      <c r="G299" s="473"/>
    </row>
    <row r="300" customFormat="false" ht="14.25" hidden="false" customHeight="true" outlineLevel="0" collapsed="false">
      <c r="A300" s="470" t="str">
        <f aca="false">IF(COUNTIF(DITARI!$C$6:C302,DITARI!C302)=1,DITARI!C302,"")</f>
        <v/>
      </c>
      <c r="B300" s="100" t="str">
        <f aca="false">IF(A300="","",IF(ABS(SUMIF(DITARI!$C:$C,A300,DITARI!$F:$F)-SUMIF(DITARI!$C:$C,A300,DITARI!$G:$G))&lt;0.005,"OK","ERROR"))</f>
        <v/>
      </c>
      <c r="C300" s="471" t="str">
        <f aca="false">IF(A300="","",SUMIF(DITARI!$C:$C,A300,DITARI!$F:$F))</f>
        <v/>
      </c>
      <c r="D300" s="471" t="str">
        <f aca="false">IF(A300="","",SUMIF(DITARI!$C:$C,A300,DITARI!$G:$G))</f>
        <v/>
      </c>
      <c r="E300" s="472" t="str">
        <f aca="false">IF(A300="","",C300-D300)</f>
        <v/>
      </c>
      <c r="F300" s="100" t="str">
        <f aca="false">IF(A300="","",COUNTIF(DITARI!$C:$C,A300))</f>
        <v/>
      </c>
      <c r="G300" s="473"/>
    </row>
    <row r="301" customFormat="false" ht="14.25" hidden="false" customHeight="true" outlineLevel="0" collapsed="false">
      <c r="A301" s="470" t="str">
        <f aca="false">IF(COUNTIF(DITARI!$C$6:C303,DITARI!C303)=1,DITARI!C303,"")</f>
        <v/>
      </c>
      <c r="B301" s="100" t="str">
        <f aca="false">IF(A301="","",IF(ABS(SUMIF(DITARI!$C:$C,A301,DITARI!$F:$F)-SUMIF(DITARI!$C:$C,A301,DITARI!$G:$G))&lt;0.005,"OK","ERROR"))</f>
        <v/>
      </c>
      <c r="C301" s="471" t="str">
        <f aca="false">IF(A301="","",SUMIF(DITARI!$C:$C,A301,DITARI!$F:$F))</f>
        <v/>
      </c>
      <c r="D301" s="471" t="str">
        <f aca="false">IF(A301="","",SUMIF(DITARI!$C:$C,A301,DITARI!$G:$G))</f>
        <v/>
      </c>
      <c r="E301" s="472" t="str">
        <f aca="false">IF(A301="","",C301-D301)</f>
        <v/>
      </c>
      <c r="F301" s="100" t="str">
        <f aca="false">IF(A301="","",COUNTIF(DITARI!$C:$C,A301))</f>
        <v/>
      </c>
      <c r="G301" s="473"/>
    </row>
    <row r="302" customFormat="false" ht="14.25" hidden="false" customHeight="true" outlineLevel="0" collapsed="false">
      <c r="A302" s="470" t="str">
        <f aca="false">IF(COUNTIF(DITARI!$C$6:C304,DITARI!C304)=1,DITARI!C304,"")</f>
        <v/>
      </c>
      <c r="B302" s="100" t="str">
        <f aca="false">IF(A302="","",IF(ABS(SUMIF(DITARI!$C:$C,A302,DITARI!$F:$F)-SUMIF(DITARI!$C:$C,A302,DITARI!$G:$G))&lt;0.005,"OK","ERROR"))</f>
        <v/>
      </c>
      <c r="C302" s="471" t="str">
        <f aca="false">IF(A302="","",SUMIF(DITARI!$C:$C,A302,DITARI!$F:$F))</f>
        <v/>
      </c>
      <c r="D302" s="471" t="str">
        <f aca="false">IF(A302="","",SUMIF(DITARI!$C:$C,A302,DITARI!$G:$G))</f>
        <v/>
      </c>
      <c r="E302" s="472" t="str">
        <f aca="false">IF(A302="","",C302-D302)</f>
        <v/>
      </c>
      <c r="F302" s="100" t="str">
        <f aca="false">IF(A302="","",COUNTIF(DITARI!$C:$C,A302))</f>
        <v/>
      </c>
      <c r="G302" s="473"/>
    </row>
    <row r="303" customFormat="false" ht="14.25" hidden="false" customHeight="true" outlineLevel="0" collapsed="false">
      <c r="A303" s="470" t="str">
        <f aca="false">IF(COUNTIF(DITARI!$C$6:C305,DITARI!C305)=1,DITARI!C305,"")</f>
        <v/>
      </c>
      <c r="B303" s="100" t="str">
        <f aca="false">IF(A303="","",IF(ABS(SUMIF(DITARI!$C:$C,A303,DITARI!$F:$F)-SUMIF(DITARI!$C:$C,A303,DITARI!$G:$G))&lt;0.005,"OK","ERROR"))</f>
        <v/>
      </c>
      <c r="C303" s="471" t="str">
        <f aca="false">IF(A303="","",SUMIF(DITARI!$C:$C,A303,DITARI!$F:$F))</f>
        <v/>
      </c>
      <c r="D303" s="471" t="str">
        <f aca="false">IF(A303="","",SUMIF(DITARI!$C:$C,A303,DITARI!$G:$G))</f>
        <v/>
      </c>
      <c r="E303" s="472" t="str">
        <f aca="false">IF(A303="","",C303-D303)</f>
        <v/>
      </c>
      <c r="F303" s="100" t="str">
        <f aca="false">IF(A303="","",COUNTIF(DITARI!$C:$C,A303))</f>
        <v/>
      </c>
      <c r="G303" s="473"/>
    </row>
    <row r="304" customFormat="false" ht="14.25" hidden="false" customHeight="true" outlineLevel="0" collapsed="false">
      <c r="A304" s="470" t="str">
        <f aca="false">IF(COUNTIF(DITARI!$C$6:C306,DITARI!C306)=1,DITARI!C306,"")</f>
        <v/>
      </c>
      <c r="B304" s="100" t="str">
        <f aca="false">IF(A304="","",IF(ABS(SUMIF(DITARI!$C:$C,A304,DITARI!$F:$F)-SUMIF(DITARI!$C:$C,A304,DITARI!$G:$G))&lt;0.005,"OK","ERROR"))</f>
        <v/>
      </c>
      <c r="C304" s="471" t="str">
        <f aca="false">IF(A304="","",SUMIF(DITARI!$C:$C,A304,DITARI!$F:$F))</f>
        <v/>
      </c>
      <c r="D304" s="471" t="str">
        <f aca="false">IF(A304="","",SUMIF(DITARI!$C:$C,A304,DITARI!$G:$G))</f>
        <v/>
      </c>
      <c r="E304" s="472" t="str">
        <f aca="false">IF(A304="","",C304-D304)</f>
        <v/>
      </c>
      <c r="F304" s="100" t="str">
        <f aca="false">IF(A304="","",COUNTIF(DITARI!$C:$C,A304))</f>
        <v/>
      </c>
      <c r="G304" s="473"/>
    </row>
    <row r="305" customFormat="false" ht="14.25" hidden="false" customHeight="true" outlineLevel="0" collapsed="false">
      <c r="A305" s="470" t="str">
        <f aca="false">IF(COUNTIF(DITARI!$C$6:C307,DITARI!C307)=1,DITARI!C307,"")</f>
        <v/>
      </c>
      <c r="B305" s="100" t="str">
        <f aca="false">IF(A305="","",IF(ABS(SUMIF(DITARI!$C:$C,A305,DITARI!$F:$F)-SUMIF(DITARI!$C:$C,A305,DITARI!$G:$G))&lt;0.005,"OK","ERROR"))</f>
        <v/>
      </c>
      <c r="C305" s="471" t="str">
        <f aca="false">IF(A305="","",SUMIF(DITARI!$C:$C,A305,DITARI!$F:$F))</f>
        <v/>
      </c>
      <c r="D305" s="471" t="str">
        <f aca="false">IF(A305="","",SUMIF(DITARI!$C:$C,A305,DITARI!$G:$G))</f>
        <v/>
      </c>
      <c r="E305" s="472" t="str">
        <f aca="false">IF(A305="","",C305-D305)</f>
        <v/>
      </c>
      <c r="F305" s="100" t="str">
        <f aca="false">IF(A305="","",COUNTIF(DITARI!$C:$C,A305))</f>
        <v/>
      </c>
      <c r="G305" s="473"/>
    </row>
    <row r="306" customFormat="false" ht="14.25" hidden="false" customHeight="true" outlineLevel="0" collapsed="false">
      <c r="A306" s="470" t="str">
        <f aca="false">IF(COUNTIF(DITARI!$C$6:C308,DITARI!C308)=1,DITARI!C308,"")</f>
        <v/>
      </c>
      <c r="B306" s="100" t="str">
        <f aca="false">IF(A306="","",IF(ABS(SUMIF(DITARI!$C:$C,A306,DITARI!$F:$F)-SUMIF(DITARI!$C:$C,A306,DITARI!$G:$G))&lt;0.005,"OK","ERROR"))</f>
        <v/>
      </c>
      <c r="C306" s="471" t="str">
        <f aca="false">IF(A306="","",SUMIF(DITARI!$C:$C,A306,DITARI!$F:$F))</f>
        <v/>
      </c>
      <c r="D306" s="471" t="str">
        <f aca="false">IF(A306="","",SUMIF(DITARI!$C:$C,A306,DITARI!$G:$G))</f>
        <v/>
      </c>
      <c r="E306" s="472" t="str">
        <f aca="false">IF(A306="","",C306-D306)</f>
        <v/>
      </c>
      <c r="F306" s="100" t="str">
        <f aca="false">IF(A306="","",COUNTIF(DITARI!$C:$C,A306))</f>
        <v/>
      </c>
      <c r="G306" s="473"/>
    </row>
    <row r="307" customFormat="false" ht="14.25" hidden="false" customHeight="true" outlineLevel="0" collapsed="false">
      <c r="A307" s="470" t="str">
        <f aca="false">IF(COUNTIF(DITARI!$C$6:C309,DITARI!C309)=1,DITARI!C309,"")</f>
        <v/>
      </c>
      <c r="B307" s="100" t="str">
        <f aca="false">IF(A307="","",IF(ABS(SUMIF(DITARI!$C:$C,A307,DITARI!$F:$F)-SUMIF(DITARI!$C:$C,A307,DITARI!$G:$G))&lt;0.005,"OK","ERROR"))</f>
        <v/>
      </c>
      <c r="C307" s="471" t="str">
        <f aca="false">IF(A307="","",SUMIF(DITARI!$C:$C,A307,DITARI!$F:$F))</f>
        <v/>
      </c>
      <c r="D307" s="471" t="str">
        <f aca="false">IF(A307="","",SUMIF(DITARI!$C:$C,A307,DITARI!$G:$G))</f>
        <v/>
      </c>
      <c r="E307" s="472" t="str">
        <f aca="false">IF(A307="","",C307-D307)</f>
        <v/>
      </c>
      <c r="F307" s="100" t="str">
        <f aca="false">IF(A307="","",COUNTIF(DITARI!$C:$C,A307))</f>
        <v/>
      </c>
      <c r="G307" s="473"/>
    </row>
    <row r="308" customFormat="false" ht="14.25" hidden="false" customHeight="true" outlineLevel="0" collapsed="false">
      <c r="A308" s="470" t="str">
        <f aca="false">IF(COUNTIF(DITARI!$C$6:C310,DITARI!C310)=1,DITARI!C310,"")</f>
        <v/>
      </c>
      <c r="B308" s="100" t="str">
        <f aca="false">IF(A308="","",IF(ABS(SUMIF(DITARI!$C:$C,A308,DITARI!$F:$F)-SUMIF(DITARI!$C:$C,A308,DITARI!$G:$G))&lt;0.005,"OK","ERROR"))</f>
        <v/>
      </c>
      <c r="C308" s="471" t="str">
        <f aca="false">IF(A308="","",SUMIF(DITARI!$C:$C,A308,DITARI!$F:$F))</f>
        <v/>
      </c>
      <c r="D308" s="471" t="str">
        <f aca="false">IF(A308="","",SUMIF(DITARI!$C:$C,A308,DITARI!$G:$G))</f>
        <v/>
      </c>
      <c r="E308" s="472" t="str">
        <f aca="false">IF(A308="","",C308-D308)</f>
        <v/>
      </c>
      <c r="F308" s="100" t="str">
        <f aca="false">IF(A308="","",COUNTIF(DITARI!$C:$C,A308))</f>
        <v/>
      </c>
      <c r="G308" s="473"/>
    </row>
    <row r="309" customFormat="false" ht="14.25" hidden="false" customHeight="true" outlineLevel="0" collapsed="false">
      <c r="A309" s="470" t="str">
        <f aca="false">IF(COUNTIF(DITARI!$C$6:C311,DITARI!C311)=1,DITARI!C311,"")</f>
        <v/>
      </c>
      <c r="B309" s="100" t="str">
        <f aca="false">IF(A309="","",IF(ABS(SUMIF(DITARI!$C:$C,A309,DITARI!$F:$F)-SUMIF(DITARI!$C:$C,A309,DITARI!$G:$G))&lt;0.005,"OK","ERROR"))</f>
        <v/>
      </c>
      <c r="C309" s="471" t="str">
        <f aca="false">IF(A309="","",SUMIF(DITARI!$C:$C,A309,DITARI!$F:$F))</f>
        <v/>
      </c>
      <c r="D309" s="471" t="str">
        <f aca="false">IF(A309="","",SUMIF(DITARI!$C:$C,A309,DITARI!$G:$G))</f>
        <v/>
      </c>
      <c r="E309" s="472" t="str">
        <f aca="false">IF(A309="","",C309-D309)</f>
        <v/>
      </c>
      <c r="F309" s="100" t="str">
        <f aca="false">IF(A309="","",COUNTIF(DITARI!$C:$C,A309))</f>
        <v/>
      </c>
      <c r="G309" s="473"/>
    </row>
    <row r="310" customFormat="false" ht="14.25" hidden="false" customHeight="true" outlineLevel="0" collapsed="false">
      <c r="A310" s="470" t="str">
        <f aca="false">IF(COUNTIF(DITARI!$C$6:C312,DITARI!C312)=1,DITARI!C312,"")</f>
        <v/>
      </c>
      <c r="B310" s="100" t="str">
        <f aca="false">IF(A310="","",IF(ABS(SUMIF(DITARI!$C:$C,A310,DITARI!$F:$F)-SUMIF(DITARI!$C:$C,A310,DITARI!$G:$G))&lt;0.005,"OK","ERROR"))</f>
        <v/>
      </c>
      <c r="C310" s="471" t="str">
        <f aca="false">IF(A310="","",SUMIF(DITARI!$C:$C,A310,DITARI!$F:$F))</f>
        <v/>
      </c>
      <c r="D310" s="471" t="str">
        <f aca="false">IF(A310="","",SUMIF(DITARI!$C:$C,A310,DITARI!$G:$G))</f>
        <v/>
      </c>
      <c r="E310" s="472" t="str">
        <f aca="false">IF(A310="","",C310-D310)</f>
        <v/>
      </c>
      <c r="F310" s="100" t="str">
        <f aca="false">IF(A310="","",COUNTIF(DITARI!$C:$C,A310))</f>
        <v/>
      </c>
      <c r="G310" s="473"/>
    </row>
    <row r="311" customFormat="false" ht="14.25" hidden="false" customHeight="true" outlineLevel="0" collapsed="false">
      <c r="A311" s="470" t="str">
        <f aca="false">IF(COUNTIF(DITARI!$C$6:C313,DITARI!C313)=1,DITARI!C313,"")</f>
        <v/>
      </c>
      <c r="B311" s="100" t="str">
        <f aca="false">IF(A311="","",IF(ABS(SUMIF(DITARI!$C:$C,A311,DITARI!$F:$F)-SUMIF(DITARI!$C:$C,A311,DITARI!$G:$G))&lt;0.005,"OK","ERROR"))</f>
        <v/>
      </c>
      <c r="C311" s="471" t="str">
        <f aca="false">IF(A311="","",SUMIF(DITARI!$C:$C,A311,DITARI!$F:$F))</f>
        <v/>
      </c>
      <c r="D311" s="471" t="str">
        <f aca="false">IF(A311="","",SUMIF(DITARI!$C:$C,A311,DITARI!$G:$G))</f>
        <v/>
      </c>
      <c r="E311" s="472" t="str">
        <f aca="false">IF(A311="","",C311-D311)</f>
        <v/>
      </c>
      <c r="F311" s="100" t="str">
        <f aca="false">IF(A311="","",COUNTIF(DITARI!$C:$C,A311))</f>
        <v/>
      </c>
      <c r="G311" s="473"/>
    </row>
    <row r="312" customFormat="false" ht="14.25" hidden="false" customHeight="true" outlineLevel="0" collapsed="false">
      <c r="A312" s="470" t="str">
        <f aca="false">IF(COUNTIF(DITARI!$C$6:C314,DITARI!C314)=1,DITARI!C314,"")</f>
        <v/>
      </c>
      <c r="B312" s="100" t="str">
        <f aca="false">IF(A312="","",IF(ABS(SUMIF(DITARI!$C:$C,A312,DITARI!$F:$F)-SUMIF(DITARI!$C:$C,A312,DITARI!$G:$G))&lt;0.005,"OK","ERROR"))</f>
        <v/>
      </c>
      <c r="C312" s="471" t="str">
        <f aca="false">IF(A312="","",SUMIF(DITARI!$C:$C,A312,DITARI!$F:$F))</f>
        <v/>
      </c>
      <c r="D312" s="471" t="str">
        <f aca="false">IF(A312="","",SUMIF(DITARI!$C:$C,A312,DITARI!$G:$G))</f>
        <v/>
      </c>
      <c r="E312" s="472" t="str">
        <f aca="false">IF(A312="","",C312-D312)</f>
        <v/>
      </c>
      <c r="F312" s="100" t="str">
        <f aca="false">IF(A312="","",COUNTIF(DITARI!$C:$C,A312))</f>
        <v/>
      </c>
      <c r="G312" s="473"/>
    </row>
    <row r="313" customFormat="false" ht="14.25" hidden="false" customHeight="true" outlineLevel="0" collapsed="false">
      <c r="A313" s="470" t="str">
        <f aca="false">IF(COUNTIF(DITARI!$C$6:C315,DITARI!C315)=1,DITARI!C315,"")</f>
        <v/>
      </c>
      <c r="B313" s="100" t="str">
        <f aca="false">IF(A313="","",IF(ABS(SUMIF(DITARI!$C:$C,A313,DITARI!$F:$F)-SUMIF(DITARI!$C:$C,A313,DITARI!$G:$G))&lt;0.005,"OK","ERROR"))</f>
        <v/>
      </c>
      <c r="C313" s="471" t="str">
        <f aca="false">IF(A313="","",SUMIF(DITARI!$C:$C,A313,DITARI!$F:$F))</f>
        <v/>
      </c>
      <c r="D313" s="471" t="str">
        <f aca="false">IF(A313="","",SUMIF(DITARI!$C:$C,A313,DITARI!$G:$G))</f>
        <v/>
      </c>
      <c r="E313" s="472" t="str">
        <f aca="false">IF(A313="","",C313-D313)</f>
        <v/>
      </c>
      <c r="F313" s="100" t="str">
        <f aca="false">IF(A313="","",COUNTIF(DITARI!$C:$C,A313))</f>
        <v/>
      </c>
      <c r="G313" s="473"/>
    </row>
    <row r="314" customFormat="false" ht="14.25" hidden="false" customHeight="true" outlineLevel="0" collapsed="false">
      <c r="A314" s="470" t="str">
        <f aca="false">IF(COUNTIF(DITARI!$C$6:C316,DITARI!C316)=1,DITARI!C316,"")</f>
        <v/>
      </c>
      <c r="B314" s="100" t="str">
        <f aca="false">IF(A314="","",IF(ABS(SUMIF(DITARI!$C:$C,A314,DITARI!$F:$F)-SUMIF(DITARI!$C:$C,A314,DITARI!$G:$G))&lt;0.005,"OK","ERROR"))</f>
        <v/>
      </c>
      <c r="C314" s="471" t="str">
        <f aca="false">IF(A314="","",SUMIF(DITARI!$C:$C,A314,DITARI!$F:$F))</f>
        <v/>
      </c>
      <c r="D314" s="471" t="str">
        <f aca="false">IF(A314="","",SUMIF(DITARI!$C:$C,A314,DITARI!$G:$G))</f>
        <v/>
      </c>
      <c r="E314" s="472" t="str">
        <f aca="false">IF(A314="","",C314-D314)</f>
        <v/>
      </c>
      <c r="F314" s="100" t="str">
        <f aca="false">IF(A314="","",COUNTIF(DITARI!$C:$C,A314))</f>
        <v/>
      </c>
      <c r="G314" s="473"/>
    </row>
    <row r="315" customFormat="false" ht="14.25" hidden="false" customHeight="true" outlineLevel="0" collapsed="false">
      <c r="A315" s="470" t="str">
        <f aca="false">IF(COUNTIF(DITARI!$C$6:C317,DITARI!C317)=1,DITARI!C317,"")</f>
        <v/>
      </c>
      <c r="B315" s="100" t="str">
        <f aca="false">IF(A315="","",IF(ABS(SUMIF(DITARI!$C:$C,A315,DITARI!$F:$F)-SUMIF(DITARI!$C:$C,A315,DITARI!$G:$G))&lt;0.005,"OK","ERROR"))</f>
        <v/>
      </c>
      <c r="C315" s="471" t="str">
        <f aca="false">IF(A315="","",SUMIF(DITARI!$C:$C,A315,DITARI!$F:$F))</f>
        <v/>
      </c>
      <c r="D315" s="471" t="str">
        <f aca="false">IF(A315="","",SUMIF(DITARI!$C:$C,A315,DITARI!$G:$G))</f>
        <v/>
      </c>
      <c r="E315" s="472" t="str">
        <f aca="false">IF(A315="","",C315-D315)</f>
        <v/>
      </c>
      <c r="F315" s="100" t="str">
        <f aca="false">IF(A315="","",COUNTIF(DITARI!$C:$C,A315))</f>
        <v/>
      </c>
      <c r="G315" s="473"/>
    </row>
    <row r="316" customFormat="false" ht="14.25" hidden="false" customHeight="true" outlineLevel="0" collapsed="false">
      <c r="A316" s="470" t="str">
        <f aca="false">IF(COUNTIF(DITARI!$C$6:C318,DITARI!C318)=1,DITARI!C318,"")</f>
        <v/>
      </c>
      <c r="B316" s="100" t="str">
        <f aca="false">IF(A316="","",IF(ABS(SUMIF(DITARI!$C:$C,A316,DITARI!$F:$F)-SUMIF(DITARI!$C:$C,A316,DITARI!$G:$G))&lt;0.005,"OK","ERROR"))</f>
        <v/>
      </c>
      <c r="C316" s="471" t="str">
        <f aca="false">IF(A316="","",SUMIF(DITARI!$C:$C,A316,DITARI!$F:$F))</f>
        <v/>
      </c>
      <c r="D316" s="471" t="str">
        <f aca="false">IF(A316="","",SUMIF(DITARI!$C:$C,A316,DITARI!$G:$G))</f>
        <v/>
      </c>
      <c r="E316" s="472" t="str">
        <f aca="false">IF(A316="","",C316-D316)</f>
        <v/>
      </c>
      <c r="F316" s="100" t="str">
        <f aca="false">IF(A316="","",COUNTIF(DITARI!$C:$C,A316))</f>
        <v/>
      </c>
      <c r="G316" s="473"/>
    </row>
    <row r="317" customFormat="false" ht="14.25" hidden="false" customHeight="true" outlineLevel="0" collapsed="false">
      <c r="A317" s="470" t="str">
        <f aca="false">IF(COUNTIF(DITARI!$C$6:C319,DITARI!C319)=1,DITARI!C319,"")</f>
        <v/>
      </c>
      <c r="B317" s="100" t="str">
        <f aca="false">IF(A317="","",IF(ABS(SUMIF(DITARI!$C:$C,A317,DITARI!$F:$F)-SUMIF(DITARI!$C:$C,A317,DITARI!$G:$G))&lt;0.005,"OK","ERROR"))</f>
        <v/>
      </c>
      <c r="C317" s="471" t="str">
        <f aca="false">IF(A317="","",SUMIF(DITARI!$C:$C,A317,DITARI!$F:$F))</f>
        <v/>
      </c>
      <c r="D317" s="471" t="str">
        <f aca="false">IF(A317="","",SUMIF(DITARI!$C:$C,A317,DITARI!$G:$G))</f>
        <v/>
      </c>
      <c r="E317" s="472" t="str">
        <f aca="false">IF(A317="","",C317-D317)</f>
        <v/>
      </c>
      <c r="F317" s="100" t="str">
        <f aca="false">IF(A317="","",COUNTIF(DITARI!$C:$C,A317))</f>
        <v/>
      </c>
      <c r="G317" s="473"/>
    </row>
    <row r="318" customFormat="false" ht="14.25" hidden="false" customHeight="true" outlineLevel="0" collapsed="false">
      <c r="A318" s="470" t="str">
        <f aca="false">IF(COUNTIF(DITARI!$C$6:C320,DITARI!C320)=1,DITARI!C320,"")</f>
        <v/>
      </c>
      <c r="B318" s="100" t="str">
        <f aca="false">IF(A318="","",IF(ABS(SUMIF(DITARI!$C:$C,A318,DITARI!$F:$F)-SUMIF(DITARI!$C:$C,A318,DITARI!$G:$G))&lt;0.005,"OK","ERROR"))</f>
        <v/>
      </c>
      <c r="C318" s="471" t="str">
        <f aca="false">IF(A318="","",SUMIF(DITARI!$C:$C,A318,DITARI!$F:$F))</f>
        <v/>
      </c>
      <c r="D318" s="471" t="str">
        <f aca="false">IF(A318="","",SUMIF(DITARI!$C:$C,A318,DITARI!$G:$G))</f>
        <v/>
      </c>
      <c r="E318" s="472" t="str">
        <f aca="false">IF(A318="","",C318-D318)</f>
        <v/>
      </c>
      <c r="F318" s="100" t="str">
        <f aca="false">IF(A318="","",COUNTIF(DITARI!$C:$C,A318))</f>
        <v/>
      </c>
      <c r="G318" s="473"/>
    </row>
    <row r="319" customFormat="false" ht="14.25" hidden="false" customHeight="true" outlineLevel="0" collapsed="false">
      <c r="A319" s="470" t="str">
        <f aca="false">IF(COUNTIF(DITARI!$C$6:C321,DITARI!C321)=1,DITARI!C321,"")</f>
        <v/>
      </c>
      <c r="B319" s="100" t="str">
        <f aca="false">IF(A319="","",IF(ABS(SUMIF(DITARI!$C:$C,A319,DITARI!$F:$F)-SUMIF(DITARI!$C:$C,A319,DITARI!$G:$G))&lt;0.005,"OK","ERROR"))</f>
        <v/>
      </c>
      <c r="C319" s="471" t="str">
        <f aca="false">IF(A319="","",SUMIF(DITARI!$C:$C,A319,DITARI!$F:$F))</f>
        <v/>
      </c>
      <c r="D319" s="471" t="str">
        <f aca="false">IF(A319="","",SUMIF(DITARI!$C:$C,A319,DITARI!$G:$G))</f>
        <v/>
      </c>
      <c r="E319" s="472" t="str">
        <f aca="false">IF(A319="","",C319-D319)</f>
        <v/>
      </c>
      <c r="F319" s="100" t="str">
        <f aca="false">IF(A319="","",COUNTIF(DITARI!$C:$C,A319))</f>
        <v/>
      </c>
      <c r="G319" s="473"/>
    </row>
    <row r="320" customFormat="false" ht="14.25" hidden="false" customHeight="true" outlineLevel="0" collapsed="false">
      <c r="A320" s="470" t="str">
        <f aca="false">IF(COUNTIF(DITARI!$C$6:C322,DITARI!C322)=1,DITARI!C322,"")</f>
        <v/>
      </c>
      <c r="B320" s="100" t="str">
        <f aca="false">IF(A320="","",IF(ABS(SUMIF(DITARI!$C:$C,A320,DITARI!$F:$F)-SUMIF(DITARI!$C:$C,A320,DITARI!$G:$G))&lt;0.005,"OK","ERROR"))</f>
        <v/>
      </c>
      <c r="C320" s="471" t="str">
        <f aca="false">IF(A320="","",SUMIF(DITARI!$C:$C,A320,DITARI!$F:$F))</f>
        <v/>
      </c>
      <c r="D320" s="471" t="str">
        <f aca="false">IF(A320="","",SUMIF(DITARI!$C:$C,A320,DITARI!$G:$G))</f>
        <v/>
      </c>
      <c r="E320" s="472" t="str">
        <f aca="false">IF(A320="","",C320-D320)</f>
        <v/>
      </c>
      <c r="F320" s="100" t="str">
        <f aca="false">IF(A320="","",COUNTIF(DITARI!$C:$C,A320))</f>
        <v/>
      </c>
      <c r="G320" s="473"/>
    </row>
    <row r="321" customFormat="false" ht="14.25" hidden="false" customHeight="true" outlineLevel="0" collapsed="false">
      <c r="A321" s="470" t="str">
        <f aca="false">IF(COUNTIF(DITARI!$C$6:C323,DITARI!C323)=1,DITARI!C323,"")</f>
        <v/>
      </c>
      <c r="B321" s="100" t="str">
        <f aca="false">IF(A321="","",IF(ABS(SUMIF(DITARI!$C:$C,A321,DITARI!$F:$F)-SUMIF(DITARI!$C:$C,A321,DITARI!$G:$G))&lt;0.005,"OK","ERROR"))</f>
        <v/>
      </c>
      <c r="C321" s="471" t="str">
        <f aca="false">IF(A321="","",SUMIF(DITARI!$C:$C,A321,DITARI!$F:$F))</f>
        <v/>
      </c>
      <c r="D321" s="471" t="str">
        <f aca="false">IF(A321="","",SUMIF(DITARI!$C:$C,A321,DITARI!$G:$G))</f>
        <v/>
      </c>
      <c r="E321" s="472" t="str">
        <f aca="false">IF(A321="","",C321-D321)</f>
        <v/>
      </c>
      <c r="F321" s="100" t="str">
        <f aca="false">IF(A321="","",COUNTIF(DITARI!$C:$C,A321))</f>
        <v/>
      </c>
      <c r="G321" s="473"/>
    </row>
    <row r="322" customFormat="false" ht="14.25" hidden="false" customHeight="true" outlineLevel="0" collapsed="false">
      <c r="A322" s="470" t="str">
        <f aca="false">IF(COUNTIF(DITARI!$C$6:C324,DITARI!C324)=1,DITARI!C324,"")</f>
        <v/>
      </c>
      <c r="B322" s="100" t="str">
        <f aca="false">IF(A322="","",IF(ABS(SUMIF(DITARI!$C:$C,A322,DITARI!$F:$F)-SUMIF(DITARI!$C:$C,A322,DITARI!$G:$G))&lt;0.005,"OK","ERROR"))</f>
        <v/>
      </c>
      <c r="C322" s="471" t="str">
        <f aca="false">IF(A322="","",SUMIF(DITARI!$C:$C,A322,DITARI!$F:$F))</f>
        <v/>
      </c>
      <c r="D322" s="471" t="str">
        <f aca="false">IF(A322="","",SUMIF(DITARI!$C:$C,A322,DITARI!$G:$G))</f>
        <v/>
      </c>
      <c r="E322" s="472" t="str">
        <f aca="false">IF(A322="","",C322-D322)</f>
        <v/>
      </c>
      <c r="F322" s="100" t="str">
        <f aca="false">IF(A322="","",COUNTIF(DITARI!$C:$C,A322))</f>
        <v/>
      </c>
      <c r="G322" s="473"/>
    </row>
    <row r="323" customFormat="false" ht="14.25" hidden="false" customHeight="true" outlineLevel="0" collapsed="false">
      <c r="A323" s="470" t="str">
        <f aca="false">IF(COUNTIF(DITARI!$C$6:C325,DITARI!C325)=1,DITARI!C325,"")</f>
        <v/>
      </c>
      <c r="B323" s="100" t="str">
        <f aca="false">IF(A323="","",IF(ABS(SUMIF(DITARI!$C:$C,A323,DITARI!$F:$F)-SUMIF(DITARI!$C:$C,A323,DITARI!$G:$G))&lt;0.005,"OK","ERROR"))</f>
        <v/>
      </c>
      <c r="C323" s="471" t="str">
        <f aca="false">IF(A323="","",SUMIF(DITARI!$C:$C,A323,DITARI!$F:$F))</f>
        <v/>
      </c>
      <c r="D323" s="471" t="str">
        <f aca="false">IF(A323="","",SUMIF(DITARI!$C:$C,A323,DITARI!$G:$G))</f>
        <v/>
      </c>
      <c r="E323" s="472" t="str">
        <f aca="false">IF(A323="","",C323-D323)</f>
        <v/>
      </c>
      <c r="F323" s="100" t="str">
        <f aca="false">IF(A323="","",COUNTIF(DITARI!$C:$C,A323))</f>
        <v/>
      </c>
      <c r="G323" s="473"/>
    </row>
    <row r="324" customFormat="false" ht="14.25" hidden="false" customHeight="true" outlineLevel="0" collapsed="false">
      <c r="A324" s="470" t="str">
        <f aca="false">IF(COUNTIF(DITARI!$C$6:C326,DITARI!C326)=1,DITARI!C326,"")</f>
        <v/>
      </c>
      <c r="B324" s="100" t="str">
        <f aca="false">IF(A324="","",IF(ABS(SUMIF(DITARI!$C:$C,A324,DITARI!$F:$F)-SUMIF(DITARI!$C:$C,A324,DITARI!$G:$G))&lt;0.005,"OK","ERROR"))</f>
        <v/>
      </c>
      <c r="C324" s="471" t="str">
        <f aca="false">IF(A324="","",SUMIF(DITARI!$C:$C,A324,DITARI!$F:$F))</f>
        <v/>
      </c>
      <c r="D324" s="471" t="str">
        <f aca="false">IF(A324="","",SUMIF(DITARI!$C:$C,A324,DITARI!$G:$G))</f>
        <v/>
      </c>
      <c r="E324" s="472" t="str">
        <f aca="false">IF(A324="","",C324-D324)</f>
        <v/>
      </c>
      <c r="F324" s="100" t="str">
        <f aca="false">IF(A324="","",COUNTIF(DITARI!$C:$C,A324))</f>
        <v/>
      </c>
      <c r="G324" s="473"/>
    </row>
    <row r="325" customFormat="false" ht="14.25" hidden="false" customHeight="true" outlineLevel="0" collapsed="false">
      <c r="A325" s="470" t="str">
        <f aca="false">IF(COUNTIF(DITARI!$C$6:C327,DITARI!C327)=1,DITARI!C327,"")</f>
        <v/>
      </c>
      <c r="B325" s="100" t="str">
        <f aca="false">IF(A325="","",IF(ABS(SUMIF(DITARI!$C:$C,A325,DITARI!$F:$F)-SUMIF(DITARI!$C:$C,A325,DITARI!$G:$G))&lt;0.005,"OK","ERROR"))</f>
        <v/>
      </c>
      <c r="C325" s="471" t="str">
        <f aca="false">IF(A325="","",SUMIF(DITARI!$C:$C,A325,DITARI!$F:$F))</f>
        <v/>
      </c>
      <c r="D325" s="471" t="str">
        <f aca="false">IF(A325="","",SUMIF(DITARI!$C:$C,A325,DITARI!$G:$G))</f>
        <v/>
      </c>
      <c r="E325" s="472" t="str">
        <f aca="false">IF(A325="","",C325-D325)</f>
        <v/>
      </c>
      <c r="F325" s="100" t="str">
        <f aca="false">IF(A325="","",COUNTIF(DITARI!$C:$C,A325))</f>
        <v/>
      </c>
      <c r="G325" s="473"/>
    </row>
    <row r="326" customFormat="false" ht="14.25" hidden="false" customHeight="true" outlineLevel="0" collapsed="false">
      <c r="A326" s="470" t="str">
        <f aca="false">IF(COUNTIF(DITARI!$C$6:C328,DITARI!C328)=1,DITARI!C328,"")</f>
        <v/>
      </c>
      <c r="B326" s="100" t="str">
        <f aca="false">IF(A326="","",IF(ABS(SUMIF(DITARI!$C:$C,A326,DITARI!$F:$F)-SUMIF(DITARI!$C:$C,A326,DITARI!$G:$G))&lt;0.005,"OK","ERROR"))</f>
        <v/>
      </c>
      <c r="C326" s="471" t="str">
        <f aca="false">IF(A326="","",SUMIF(DITARI!$C:$C,A326,DITARI!$F:$F))</f>
        <v/>
      </c>
      <c r="D326" s="471" t="str">
        <f aca="false">IF(A326="","",SUMIF(DITARI!$C:$C,A326,DITARI!$G:$G))</f>
        <v/>
      </c>
      <c r="E326" s="472" t="str">
        <f aca="false">IF(A326="","",C326-D326)</f>
        <v/>
      </c>
      <c r="F326" s="100" t="str">
        <f aca="false">IF(A326="","",COUNTIF(DITARI!$C:$C,A326))</f>
        <v/>
      </c>
      <c r="G326" s="473"/>
    </row>
    <row r="327" customFormat="false" ht="14.25" hidden="false" customHeight="true" outlineLevel="0" collapsed="false">
      <c r="A327" s="470" t="str">
        <f aca="false">IF(COUNTIF(DITARI!$C$6:C329,DITARI!C329)=1,DITARI!C329,"")</f>
        <v/>
      </c>
      <c r="B327" s="100" t="str">
        <f aca="false">IF(A327="","",IF(ABS(SUMIF(DITARI!$C:$C,A327,DITARI!$F:$F)-SUMIF(DITARI!$C:$C,A327,DITARI!$G:$G))&lt;0.005,"OK","ERROR"))</f>
        <v/>
      </c>
      <c r="C327" s="471" t="str">
        <f aca="false">IF(A327="","",SUMIF(DITARI!$C:$C,A327,DITARI!$F:$F))</f>
        <v/>
      </c>
      <c r="D327" s="471" t="str">
        <f aca="false">IF(A327="","",SUMIF(DITARI!$C:$C,A327,DITARI!$G:$G))</f>
        <v/>
      </c>
      <c r="E327" s="472" t="str">
        <f aca="false">IF(A327="","",C327-D327)</f>
        <v/>
      </c>
      <c r="F327" s="100" t="str">
        <f aca="false">IF(A327="","",COUNTIF(DITARI!$C:$C,A327))</f>
        <v/>
      </c>
      <c r="G327" s="473"/>
    </row>
    <row r="328" customFormat="false" ht="14.25" hidden="false" customHeight="true" outlineLevel="0" collapsed="false">
      <c r="A328" s="470" t="str">
        <f aca="false">IF(COUNTIF(DITARI!$C$6:C330,DITARI!C330)=1,DITARI!C330,"")</f>
        <v/>
      </c>
      <c r="B328" s="100" t="str">
        <f aca="false">IF(A328="","",IF(ABS(SUMIF(DITARI!$C:$C,A328,DITARI!$F:$F)-SUMIF(DITARI!$C:$C,A328,DITARI!$G:$G))&lt;0.005,"OK","ERROR"))</f>
        <v/>
      </c>
      <c r="C328" s="471" t="str">
        <f aca="false">IF(A328="","",SUMIF(DITARI!$C:$C,A328,DITARI!$F:$F))</f>
        <v/>
      </c>
      <c r="D328" s="471" t="str">
        <f aca="false">IF(A328="","",SUMIF(DITARI!$C:$C,A328,DITARI!$G:$G))</f>
        <v/>
      </c>
      <c r="E328" s="472" t="str">
        <f aca="false">IF(A328="","",C328-D328)</f>
        <v/>
      </c>
      <c r="F328" s="100" t="str">
        <f aca="false">IF(A328="","",COUNTIF(DITARI!$C:$C,A328))</f>
        <v/>
      </c>
      <c r="G328" s="473"/>
    </row>
    <row r="329" customFormat="false" ht="14.25" hidden="false" customHeight="true" outlineLevel="0" collapsed="false">
      <c r="A329" s="470" t="str">
        <f aca="false">IF(COUNTIF(DITARI!$C$6:C331,DITARI!C331)=1,DITARI!C331,"")</f>
        <v/>
      </c>
      <c r="B329" s="100" t="str">
        <f aca="false">IF(A329="","",IF(ABS(SUMIF(DITARI!$C:$C,A329,DITARI!$F:$F)-SUMIF(DITARI!$C:$C,A329,DITARI!$G:$G))&lt;0.005,"OK","ERROR"))</f>
        <v/>
      </c>
      <c r="C329" s="471" t="str">
        <f aca="false">IF(A329="","",SUMIF(DITARI!$C:$C,A329,DITARI!$F:$F))</f>
        <v/>
      </c>
      <c r="D329" s="471" t="str">
        <f aca="false">IF(A329="","",SUMIF(DITARI!$C:$C,A329,DITARI!$G:$G))</f>
        <v/>
      </c>
      <c r="E329" s="472" t="str">
        <f aca="false">IF(A329="","",C329-D329)</f>
        <v/>
      </c>
      <c r="F329" s="100" t="str">
        <f aca="false">IF(A329="","",COUNTIF(DITARI!$C:$C,A329))</f>
        <v/>
      </c>
      <c r="G329" s="473"/>
    </row>
    <row r="330" customFormat="false" ht="14.25" hidden="false" customHeight="true" outlineLevel="0" collapsed="false">
      <c r="A330" s="470" t="str">
        <f aca="false">IF(COUNTIF(DITARI!$C$6:C332,DITARI!C332)=1,DITARI!C332,"")</f>
        <v/>
      </c>
      <c r="B330" s="100" t="str">
        <f aca="false">IF(A330="","",IF(ABS(SUMIF(DITARI!$C:$C,A330,DITARI!$F:$F)-SUMIF(DITARI!$C:$C,A330,DITARI!$G:$G))&lt;0.005,"OK","ERROR"))</f>
        <v/>
      </c>
      <c r="C330" s="471" t="str">
        <f aca="false">IF(A330="","",SUMIF(DITARI!$C:$C,A330,DITARI!$F:$F))</f>
        <v/>
      </c>
      <c r="D330" s="471" t="str">
        <f aca="false">IF(A330="","",SUMIF(DITARI!$C:$C,A330,DITARI!$G:$G))</f>
        <v/>
      </c>
      <c r="E330" s="472" t="str">
        <f aca="false">IF(A330="","",C330-D330)</f>
        <v/>
      </c>
      <c r="F330" s="100" t="str">
        <f aca="false">IF(A330="","",COUNTIF(DITARI!$C:$C,A330))</f>
        <v/>
      </c>
      <c r="G330" s="473"/>
    </row>
    <row r="331" customFormat="false" ht="14.25" hidden="false" customHeight="true" outlineLevel="0" collapsed="false">
      <c r="A331" s="470" t="str">
        <f aca="false">IF(COUNTIF(DITARI!$C$6:C333,DITARI!C333)=1,DITARI!C333,"")</f>
        <v/>
      </c>
      <c r="B331" s="100" t="str">
        <f aca="false">IF(A331="","",IF(ABS(SUMIF(DITARI!$C:$C,A331,DITARI!$F:$F)-SUMIF(DITARI!$C:$C,A331,DITARI!$G:$G))&lt;0.005,"OK","ERROR"))</f>
        <v/>
      </c>
      <c r="C331" s="471" t="str">
        <f aca="false">IF(A331="","",SUMIF(DITARI!$C:$C,A331,DITARI!$F:$F))</f>
        <v/>
      </c>
      <c r="D331" s="471" t="str">
        <f aca="false">IF(A331="","",SUMIF(DITARI!$C:$C,A331,DITARI!$G:$G))</f>
        <v/>
      </c>
      <c r="E331" s="472" t="str">
        <f aca="false">IF(A331="","",C331-D331)</f>
        <v/>
      </c>
      <c r="F331" s="100" t="str">
        <f aca="false">IF(A331="","",COUNTIF(DITARI!$C:$C,A331))</f>
        <v/>
      </c>
      <c r="G331" s="473"/>
    </row>
    <row r="332" customFormat="false" ht="14.25" hidden="false" customHeight="true" outlineLevel="0" collapsed="false">
      <c r="A332" s="470" t="str">
        <f aca="false">IF(COUNTIF(DITARI!$C$6:C334,DITARI!C334)=1,DITARI!C334,"")</f>
        <v/>
      </c>
      <c r="B332" s="100" t="str">
        <f aca="false">IF(A332="","",IF(ABS(SUMIF(DITARI!$C:$C,A332,DITARI!$F:$F)-SUMIF(DITARI!$C:$C,A332,DITARI!$G:$G))&lt;0.005,"OK","ERROR"))</f>
        <v/>
      </c>
      <c r="C332" s="471" t="str">
        <f aca="false">IF(A332="","",SUMIF(DITARI!$C:$C,A332,DITARI!$F:$F))</f>
        <v/>
      </c>
      <c r="D332" s="471" t="str">
        <f aca="false">IF(A332="","",SUMIF(DITARI!$C:$C,A332,DITARI!$G:$G))</f>
        <v/>
      </c>
      <c r="E332" s="472" t="str">
        <f aca="false">IF(A332="","",C332-D332)</f>
        <v/>
      </c>
      <c r="F332" s="100" t="str">
        <f aca="false">IF(A332="","",COUNTIF(DITARI!$C:$C,A332))</f>
        <v/>
      </c>
      <c r="G332" s="473"/>
    </row>
    <row r="333" customFormat="false" ht="14.25" hidden="false" customHeight="true" outlineLevel="0" collapsed="false">
      <c r="A333" s="470" t="str">
        <f aca="false">IF(COUNTIF(DITARI!$C$6:C335,DITARI!C335)=1,DITARI!C335,"")</f>
        <v/>
      </c>
      <c r="B333" s="100" t="str">
        <f aca="false">IF(A333="","",IF(ABS(SUMIF(DITARI!$C:$C,A333,DITARI!$F:$F)-SUMIF(DITARI!$C:$C,A333,DITARI!$G:$G))&lt;0.005,"OK","ERROR"))</f>
        <v/>
      </c>
      <c r="C333" s="471" t="str">
        <f aca="false">IF(A333="","",SUMIF(DITARI!$C:$C,A333,DITARI!$F:$F))</f>
        <v/>
      </c>
      <c r="D333" s="471" t="str">
        <f aca="false">IF(A333="","",SUMIF(DITARI!$C:$C,A333,DITARI!$G:$G))</f>
        <v/>
      </c>
      <c r="E333" s="472" t="str">
        <f aca="false">IF(A333="","",C333-D333)</f>
        <v/>
      </c>
      <c r="F333" s="100" t="str">
        <f aca="false">IF(A333="","",COUNTIF(DITARI!$C:$C,A333))</f>
        <v/>
      </c>
      <c r="G333" s="473"/>
    </row>
    <row r="334" customFormat="false" ht="14.25" hidden="false" customHeight="true" outlineLevel="0" collapsed="false">
      <c r="A334" s="470" t="str">
        <f aca="false">IF(COUNTIF(DITARI!$C$6:C336,DITARI!C336)=1,DITARI!C336,"")</f>
        <v/>
      </c>
      <c r="B334" s="100" t="str">
        <f aca="false">IF(A334="","",IF(ABS(SUMIF(DITARI!$C:$C,A334,DITARI!$F:$F)-SUMIF(DITARI!$C:$C,A334,DITARI!$G:$G))&lt;0.005,"OK","ERROR"))</f>
        <v/>
      </c>
      <c r="C334" s="471" t="str">
        <f aca="false">IF(A334="","",SUMIF(DITARI!$C:$C,A334,DITARI!$F:$F))</f>
        <v/>
      </c>
      <c r="D334" s="471" t="str">
        <f aca="false">IF(A334="","",SUMIF(DITARI!$C:$C,A334,DITARI!$G:$G))</f>
        <v/>
      </c>
      <c r="E334" s="472" t="str">
        <f aca="false">IF(A334="","",C334-D334)</f>
        <v/>
      </c>
      <c r="F334" s="100" t="str">
        <f aca="false">IF(A334="","",COUNTIF(DITARI!$C:$C,A334))</f>
        <v/>
      </c>
      <c r="G334" s="473"/>
    </row>
    <row r="335" customFormat="false" ht="14.25" hidden="false" customHeight="true" outlineLevel="0" collapsed="false">
      <c r="A335" s="470" t="str">
        <f aca="false">IF(COUNTIF(DITARI!$C$6:C337,DITARI!C337)=1,DITARI!C337,"")</f>
        <v/>
      </c>
      <c r="B335" s="100" t="str">
        <f aca="false">IF(A335="","",IF(ABS(SUMIF(DITARI!$C:$C,A335,DITARI!$F:$F)-SUMIF(DITARI!$C:$C,A335,DITARI!$G:$G))&lt;0.005,"OK","ERROR"))</f>
        <v/>
      </c>
      <c r="C335" s="471" t="str">
        <f aca="false">IF(A335="","",SUMIF(DITARI!$C:$C,A335,DITARI!$F:$F))</f>
        <v/>
      </c>
      <c r="D335" s="471" t="str">
        <f aca="false">IF(A335="","",SUMIF(DITARI!$C:$C,A335,DITARI!$G:$G))</f>
        <v/>
      </c>
      <c r="E335" s="472" t="str">
        <f aca="false">IF(A335="","",C335-D335)</f>
        <v/>
      </c>
      <c r="F335" s="100" t="str">
        <f aca="false">IF(A335="","",COUNTIF(DITARI!$C:$C,A335))</f>
        <v/>
      </c>
      <c r="G335" s="473"/>
    </row>
    <row r="336" customFormat="false" ht="14.25" hidden="false" customHeight="true" outlineLevel="0" collapsed="false">
      <c r="A336" s="470" t="str">
        <f aca="false">IF(COUNTIF(DITARI!$C$6:C338,DITARI!C338)=1,DITARI!C338,"")</f>
        <v/>
      </c>
      <c r="B336" s="100" t="str">
        <f aca="false">IF(A336="","",IF(ABS(SUMIF(DITARI!$C:$C,A336,DITARI!$F:$F)-SUMIF(DITARI!$C:$C,A336,DITARI!$G:$G))&lt;0.005,"OK","ERROR"))</f>
        <v/>
      </c>
      <c r="C336" s="471" t="str">
        <f aca="false">IF(A336="","",SUMIF(DITARI!$C:$C,A336,DITARI!$F:$F))</f>
        <v/>
      </c>
      <c r="D336" s="471" t="str">
        <f aca="false">IF(A336="","",SUMIF(DITARI!$C:$C,A336,DITARI!$G:$G))</f>
        <v/>
      </c>
      <c r="E336" s="472" t="str">
        <f aca="false">IF(A336="","",C336-D336)</f>
        <v/>
      </c>
      <c r="F336" s="100" t="str">
        <f aca="false">IF(A336="","",COUNTIF(DITARI!$C:$C,A336))</f>
        <v/>
      </c>
      <c r="G336" s="473"/>
    </row>
    <row r="337" customFormat="false" ht="14.25" hidden="false" customHeight="true" outlineLevel="0" collapsed="false">
      <c r="A337" s="470" t="str">
        <f aca="false">IF(COUNTIF(DITARI!$C$6:C339,DITARI!C339)=1,DITARI!C339,"")</f>
        <v/>
      </c>
      <c r="B337" s="100" t="str">
        <f aca="false">IF(A337="","",IF(ABS(SUMIF(DITARI!$C:$C,A337,DITARI!$F:$F)-SUMIF(DITARI!$C:$C,A337,DITARI!$G:$G))&lt;0.005,"OK","ERROR"))</f>
        <v/>
      </c>
      <c r="C337" s="471" t="str">
        <f aca="false">IF(A337="","",SUMIF(DITARI!$C:$C,A337,DITARI!$F:$F))</f>
        <v/>
      </c>
      <c r="D337" s="471" t="str">
        <f aca="false">IF(A337="","",SUMIF(DITARI!$C:$C,A337,DITARI!$G:$G))</f>
        <v/>
      </c>
      <c r="E337" s="472" t="str">
        <f aca="false">IF(A337="","",C337-D337)</f>
        <v/>
      </c>
      <c r="F337" s="100" t="str">
        <f aca="false">IF(A337="","",COUNTIF(DITARI!$C:$C,A337))</f>
        <v/>
      </c>
      <c r="G337" s="473"/>
    </row>
    <row r="338" customFormat="false" ht="14.25" hidden="false" customHeight="true" outlineLevel="0" collapsed="false">
      <c r="A338" s="470" t="str">
        <f aca="false">IF(COUNTIF(DITARI!$C$6:C340,DITARI!C340)=1,DITARI!C340,"")</f>
        <v/>
      </c>
      <c r="B338" s="100" t="str">
        <f aca="false">IF(A338="","",IF(ABS(SUMIF(DITARI!$C:$C,A338,DITARI!$F:$F)-SUMIF(DITARI!$C:$C,A338,DITARI!$G:$G))&lt;0.005,"OK","ERROR"))</f>
        <v/>
      </c>
      <c r="C338" s="471" t="str">
        <f aca="false">IF(A338="","",SUMIF(DITARI!$C:$C,A338,DITARI!$F:$F))</f>
        <v/>
      </c>
      <c r="D338" s="471" t="str">
        <f aca="false">IF(A338="","",SUMIF(DITARI!$C:$C,A338,DITARI!$G:$G))</f>
        <v/>
      </c>
      <c r="E338" s="472" t="str">
        <f aca="false">IF(A338="","",C338-D338)</f>
        <v/>
      </c>
      <c r="F338" s="100" t="str">
        <f aca="false">IF(A338="","",COUNTIF(DITARI!$C:$C,A338))</f>
        <v/>
      </c>
      <c r="G338" s="473"/>
    </row>
    <row r="339" customFormat="false" ht="14.25" hidden="false" customHeight="true" outlineLevel="0" collapsed="false">
      <c r="A339" s="470" t="str">
        <f aca="false">IF(COUNTIF(DITARI!$C$6:C341,DITARI!C341)=1,DITARI!C341,"")</f>
        <v/>
      </c>
      <c r="B339" s="100" t="str">
        <f aca="false">IF(A339="","",IF(ABS(SUMIF(DITARI!$C:$C,A339,DITARI!$F:$F)-SUMIF(DITARI!$C:$C,A339,DITARI!$G:$G))&lt;0.005,"OK","ERROR"))</f>
        <v/>
      </c>
      <c r="C339" s="471" t="str">
        <f aca="false">IF(A339="","",SUMIF(DITARI!$C:$C,A339,DITARI!$F:$F))</f>
        <v/>
      </c>
      <c r="D339" s="471" t="str">
        <f aca="false">IF(A339="","",SUMIF(DITARI!$C:$C,A339,DITARI!$G:$G))</f>
        <v/>
      </c>
      <c r="E339" s="472" t="str">
        <f aca="false">IF(A339="","",C339-D339)</f>
        <v/>
      </c>
      <c r="F339" s="100" t="str">
        <f aca="false">IF(A339="","",COUNTIF(DITARI!$C:$C,A339))</f>
        <v/>
      </c>
      <c r="G339" s="473"/>
    </row>
    <row r="340" customFormat="false" ht="14.25" hidden="false" customHeight="true" outlineLevel="0" collapsed="false">
      <c r="A340" s="470" t="str">
        <f aca="false">IF(COUNTIF(DITARI!$C$6:C342,DITARI!C342)=1,DITARI!C342,"")</f>
        <v/>
      </c>
      <c r="B340" s="100" t="str">
        <f aca="false">IF(A340="","",IF(ABS(SUMIF(DITARI!$C:$C,A340,DITARI!$F:$F)-SUMIF(DITARI!$C:$C,A340,DITARI!$G:$G))&lt;0.005,"OK","ERROR"))</f>
        <v/>
      </c>
      <c r="C340" s="471" t="str">
        <f aca="false">IF(A340="","",SUMIF(DITARI!$C:$C,A340,DITARI!$F:$F))</f>
        <v/>
      </c>
      <c r="D340" s="471" t="str">
        <f aca="false">IF(A340="","",SUMIF(DITARI!$C:$C,A340,DITARI!$G:$G))</f>
        <v/>
      </c>
      <c r="E340" s="472" t="str">
        <f aca="false">IF(A340="","",C340-D340)</f>
        <v/>
      </c>
      <c r="F340" s="100" t="str">
        <f aca="false">IF(A340="","",COUNTIF(DITARI!$C:$C,A340))</f>
        <v/>
      </c>
      <c r="G340" s="473"/>
    </row>
    <row r="341" customFormat="false" ht="14.25" hidden="false" customHeight="true" outlineLevel="0" collapsed="false">
      <c r="A341" s="470" t="str">
        <f aca="false">IF(COUNTIF(DITARI!$C$6:C343,DITARI!C343)=1,DITARI!C343,"")</f>
        <v/>
      </c>
      <c r="B341" s="100" t="str">
        <f aca="false">IF(A341="","",IF(ABS(SUMIF(DITARI!$C:$C,A341,DITARI!$F:$F)-SUMIF(DITARI!$C:$C,A341,DITARI!$G:$G))&lt;0.005,"OK","ERROR"))</f>
        <v/>
      </c>
      <c r="C341" s="471" t="str">
        <f aca="false">IF(A341="","",SUMIF(DITARI!$C:$C,A341,DITARI!$F:$F))</f>
        <v/>
      </c>
      <c r="D341" s="471" t="str">
        <f aca="false">IF(A341="","",SUMIF(DITARI!$C:$C,A341,DITARI!$G:$G))</f>
        <v/>
      </c>
      <c r="E341" s="472" t="str">
        <f aca="false">IF(A341="","",C341-D341)</f>
        <v/>
      </c>
      <c r="F341" s="100" t="str">
        <f aca="false">IF(A341="","",COUNTIF(DITARI!$C:$C,A341))</f>
        <v/>
      </c>
      <c r="G341" s="473"/>
    </row>
    <row r="342" customFormat="false" ht="14.25" hidden="false" customHeight="true" outlineLevel="0" collapsed="false">
      <c r="A342" s="470" t="str">
        <f aca="false">IF(COUNTIF(DITARI!$C$6:C344,DITARI!C344)=1,DITARI!C344,"")</f>
        <v/>
      </c>
      <c r="B342" s="100" t="str">
        <f aca="false">IF(A342="","",IF(ABS(SUMIF(DITARI!$C:$C,A342,DITARI!$F:$F)-SUMIF(DITARI!$C:$C,A342,DITARI!$G:$G))&lt;0.005,"OK","ERROR"))</f>
        <v/>
      </c>
      <c r="C342" s="471" t="str">
        <f aca="false">IF(A342="","",SUMIF(DITARI!$C:$C,A342,DITARI!$F:$F))</f>
        <v/>
      </c>
      <c r="D342" s="471" t="str">
        <f aca="false">IF(A342="","",SUMIF(DITARI!$C:$C,A342,DITARI!$G:$G))</f>
        <v/>
      </c>
      <c r="E342" s="472" t="str">
        <f aca="false">IF(A342="","",C342-D342)</f>
        <v/>
      </c>
      <c r="F342" s="100" t="str">
        <f aca="false">IF(A342="","",COUNTIF(DITARI!$C:$C,A342))</f>
        <v/>
      </c>
      <c r="G342" s="473"/>
    </row>
    <row r="343" customFormat="false" ht="14.25" hidden="false" customHeight="true" outlineLevel="0" collapsed="false">
      <c r="A343" s="470" t="str">
        <f aca="false">IF(COUNTIF(DITARI!$C$6:C345,DITARI!C345)=1,DITARI!C345,"")</f>
        <v/>
      </c>
      <c r="B343" s="100" t="str">
        <f aca="false">IF(A343="","",IF(ABS(SUMIF(DITARI!$C:$C,A343,DITARI!$F:$F)-SUMIF(DITARI!$C:$C,A343,DITARI!$G:$G))&lt;0.005,"OK","ERROR"))</f>
        <v/>
      </c>
      <c r="C343" s="471" t="str">
        <f aca="false">IF(A343="","",SUMIF(DITARI!$C:$C,A343,DITARI!$F:$F))</f>
        <v/>
      </c>
      <c r="D343" s="471" t="str">
        <f aca="false">IF(A343="","",SUMIF(DITARI!$C:$C,A343,DITARI!$G:$G))</f>
        <v/>
      </c>
      <c r="E343" s="472" t="str">
        <f aca="false">IF(A343="","",C343-D343)</f>
        <v/>
      </c>
      <c r="F343" s="100" t="str">
        <f aca="false">IF(A343="","",COUNTIF(DITARI!$C:$C,A343))</f>
        <v/>
      </c>
      <c r="G343" s="473"/>
    </row>
    <row r="344" customFormat="false" ht="14.25" hidden="false" customHeight="true" outlineLevel="0" collapsed="false">
      <c r="A344" s="470" t="str">
        <f aca="false">IF(COUNTIF(DITARI!$C$6:C346,DITARI!C346)=1,DITARI!C346,"")</f>
        <v/>
      </c>
      <c r="B344" s="100" t="str">
        <f aca="false">IF(A344="","",IF(ABS(SUMIF(DITARI!$C:$C,A344,DITARI!$F:$F)-SUMIF(DITARI!$C:$C,A344,DITARI!$G:$G))&lt;0.005,"OK","ERROR"))</f>
        <v/>
      </c>
      <c r="C344" s="471" t="str">
        <f aca="false">IF(A344="","",SUMIF(DITARI!$C:$C,A344,DITARI!$F:$F))</f>
        <v/>
      </c>
      <c r="D344" s="471" t="str">
        <f aca="false">IF(A344="","",SUMIF(DITARI!$C:$C,A344,DITARI!$G:$G))</f>
        <v/>
      </c>
      <c r="E344" s="472" t="str">
        <f aca="false">IF(A344="","",C344-D344)</f>
        <v/>
      </c>
      <c r="F344" s="100" t="str">
        <f aca="false">IF(A344="","",COUNTIF(DITARI!$C:$C,A344))</f>
        <v/>
      </c>
      <c r="G344" s="473"/>
    </row>
    <row r="345" customFormat="false" ht="14.25" hidden="false" customHeight="true" outlineLevel="0" collapsed="false">
      <c r="A345" s="470" t="str">
        <f aca="false">IF(COUNTIF(DITARI!$C$6:C347,DITARI!C347)=1,DITARI!C347,"")</f>
        <v/>
      </c>
      <c r="B345" s="100" t="str">
        <f aca="false">IF(A345="","",IF(ABS(SUMIF(DITARI!$C:$C,A345,DITARI!$F:$F)-SUMIF(DITARI!$C:$C,A345,DITARI!$G:$G))&lt;0.005,"OK","ERROR"))</f>
        <v/>
      </c>
      <c r="C345" s="471" t="str">
        <f aca="false">IF(A345="","",SUMIF(DITARI!$C:$C,A345,DITARI!$F:$F))</f>
        <v/>
      </c>
      <c r="D345" s="471" t="str">
        <f aca="false">IF(A345="","",SUMIF(DITARI!$C:$C,A345,DITARI!$G:$G))</f>
        <v/>
      </c>
      <c r="E345" s="472" t="str">
        <f aca="false">IF(A345="","",C345-D345)</f>
        <v/>
      </c>
      <c r="F345" s="100" t="str">
        <f aca="false">IF(A345="","",COUNTIF(DITARI!$C:$C,A345))</f>
        <v/>
      </c>
      <c r="G345" s="473"/>
    </row>
    <row r="346" customFormat="false" ht="14.25" hidden="false" customHeight="true" outlineLevel="0" collapsed="false">
      <c r="A346" s="470" t="str">
        <f aca="false">IF(COUNTIF(DITARI!$C$6:C348,DITARI!C348)=1,DITARI!C348,"")</f>
        <v/>
      </c>
      <c r="B346" s="100" t="str">
        <f aca="false">IF(A346="","",IF(ABS(SUMIF(DITARI!$C:$C,A346,DITARI!$F:$F)-SUMIF(DITARI!$C:$C,A346,DITARI!$G:$G))&lt;0.005,"OK","ERROR"))</f>
        <v/>
      </c>
      <c r="C346" s="471" t="str">
        <f aca="false">IF(A346="","",SUMIF(DITARI!$C:$C,A346,DITARI!$F:$F))</f>
        <v/>
      </c>
      <c r="D346" s="471" t="str">
        <f aca="false">IF(A346="","",SUMIF(DITARI!$C:$C,A346,DITARI!$G:$G))</f>
        <v/>
      </c>
      <c r="E346" s="472" t="str">
        <f aca="false">IF(A346="","",C346-D346)</f>
        <v/>
      </c>
      <c r="F346" s="100" t="str">
        <f aca="false">IF(A346="","",COUNTIF(DITARI!$C:$C,A346))</f>
        <v/>
      </c>
      <c r="G346" s="473"/>
    </row>
    <row r="347" customFormat="false" ht="14.25" hidden="false" customHeight="true" outlineLevel="0" collapsed="false">
      <c r="A347" s="470" t="str">
        <f aca="false">IF(COUNTIF(DITARI!$C$6:C349,DITARI!C349)=1,DITARI!C349,"")</f>
        <v/>
      </c>
      <c r="B347" s="100" t="str">
        <f aca="false">IF(A347="","",IF(ABS(SUMIF(DITARI!$C:$C,A347,DITARI!$F:$F)-SUMIF(DITARI!$C:$C,A347,DITARI!$G:$G))&lt;0.005,"OK","ERROR"))</f>
        <v/>
      </c>
      <c r="C347" s="471" t="str">
        <f aca="false">IF(A347="","",SUMIF(DITARI!$C:$C,A347,DITARI!$F:$F))</f>
        <v/>
      </c>
      <c r="D347" s="471" t="str">
        <f aca="false">IF(A347="","",SUMIF(DITARI!$C:$C,A347,DITARI!$G:$G))</f>
        <v/>
      </c>
      <c r="E347" s="472" t="str">
        <f aca="false">IF(A347="","",C347-D347)</f>
        <v/>
      </c>
      <c r="F347" s="100" t="str">
        <f aca="false">IF(A347="","",COUNTIF(DITARI!$C:$C,A347))</f>
        <v/>
      </c>
      <c r="G347" s="473"/>
    </row>
    <row r="348" customFormat="false" ht="14.25" hidden="false" customHeight="true" outlineLevel="0" collapsed="false">
      <c r="A348" s="470" t="str">
        <f aca="false">IF(COUNTIF(DITARI!$C$6:C350,DITARI!C350)=1,DITARI!C350,"")</f>
        <v/>
      </c>
      <c r="B348" s="100" t="str">
        <f aca="false">IF(A348="","",IF(ABS(SUMIF(DITARI!$C:$C,A348,DITARI!$F:$F)-SUMIF(DITARI!$C:$C,A348,DITARI!$G:$G))&lt;0.005,"OK","ERROR"))</f>
        <v/>
      </c>
      <c r="C348" s="471" t="str">
        <f aca="false">IF(A348="","",SUMIF(DITARI!$C:$C,A348,DITARI!$F:$F))</f>
        <v/>
      </c>
      <c r="D348" s="471" t="str">
        <f aca="false">IF(A348="","",SUMIF(DITARI!$C:$C,A348,DITARI!$G:$G))</f>
        <v/>
      </c>
      <c r="E348" s="472" t="str">
        <f aca="false">IF(A348="","",C348-D348)</f>
        <v/>
      </c>
      <c r="F348" s="100" t="str">
        <f aca="false">IF(A348="","",COUNTIF(DITARI!$C:$C,A348))</f>
        <v/>
      </c>
      <c r="G348" s="473"/>
    </row>
    <row r="349" customFormat="false" ht="14.25" hidden="false" customHeight="true" outlineLevel="0" collapsed="false">
      <c r="A349" s="470" t="str">
        <f aca="false">IF(COUNTIF(DITARI!$C$6:C351,DITARI!C351)=1,DITARI!C351,"")</f>
        <v/>
      </c>
      <c r="B349" s="100" t="str">
        <f aca="false">IF(A349="","",IF(ABS(SUMIF(DITARI!$C:$C,A349,DITARI!$F:$F)-SUMIF(DITARI!$C:$C,A349,DITARI!$G:$G))&lt;0.005,"OK","ERROR"))</f>
        <v/>
      </c>
      <c r="C349" s="471" t="str">
        <f aca="false">IF(A349="","",SUMIF(DITARI!$C:$C,A349,DITARI!$F:$F))</f>
        <v/>
      </c>
      <c r="D349" s="471" t="str">
        <f aca="false">IF(A349="","",SUMIF(DITARI!$C:$C,A349,DITARI!$G:$G))</f>
        <v/>
      </c>
      <c r="E349" s="472" t="str">
        <f aca="false">IF(A349="","",C349-D349)</f>
        <v/>
      </c>
      <c r="F349" s="100" t="str">
        <f aca="false">IF(A349="","",COUNTIF(DITARI!$C:$C,A349))</f>
        <v/>
      </c>
      <c r="G349" s="473"/>
    </row>
    <row r="350" customFormat="false" ht="14.25" hidden="false" customHeight="true" outlineLevel="0" collapsed="false">
      <c r="A350" s="470" t="str">
        <f aca="false">IF(COUNTIF(DITARI!$C$6:C352,DITARI!C352)=1,DITARI!C352,"")</f>
        <v/>
      </c>
      <c r="B350" s="100" t="str">
        <f aca="false">IF(A350="","",IF(ABS(SUMIF(DITARI!$C:$C,A350,DITARI!$F:$F)-SUMIF(DITARI!$C:$C,A350,DITARI!$G:$G))&lt;0.005,"OK","ERROR"))</f>
        <v/>
      </c>
      <c r="C350" s="471" t="str">
        <f aca="false">IF(A350="","",SUMIF(DITARI!$C:$C,A350,DITARI!$F:$F))</f>
        <v/>
      </c>
      <c r="D350" s="471" t="str">
        <f aca="false">IF(A350="","",SUMIF(DITARI!$C:$C,A350,DITARI!$G:$G))</f>
        <v/>
      </c>
      <c r="E350" s="472" t="str">
        <f aca="false">IF(A350="","",C350-D350)</f>
        <v/>
      </c>
      <c r="F350" s="100" t="str">
        <f aca="false">IF(A350="","",COUNTIF(DITARI!$C:$C,A350))</f>
        <v/>
      </c>
      <c r="G350" s="473"/>
    </row>
    <row r="351" customFormat="false" ht="14.25" hidden="false" customHeight="true" outlineLevel="0" collapsed="false">
      <c r="A351" s="470" t="str">
        <f aca="false">IF(COUNTIF(DITARI!$C$6:C353,DITARI!C353)=1,DITARI!C353,"")</f>
        <v/>
      </c>
      <c r="B351" s="100" t="str">
        <f aca="false">IF(A351="","",IF(ABS(SUMIF(DITARI!$C:$C,A351,DITARI!$F:$F)-SUMIF(DITARI!$C:$C,A351,DITARI!$G:$G))&lt;0.005,"OK","ERROR"))</f>
        <v/>
      </c>
      <c r="C351" s="471" t="str">
        <f aca="false">IF(A351="","",SUMIF(DITARI!$C:$C,A351,DITARI!$F:$F))</f>
        <v/>
      </c>
      <c r="D351" s="471" t="str">
        <f aca="false">IF(A351="","",SUMIF(DITARI!$C:$C,A351,DITARI!$G:$G))</f>
        <v/>
      </c>
      <c r="E351" s="472" t="str">
        <f aca="false">IF(A351="","",C351-D351)</f>
        <v/>
      </c>
      <c r="F351" s="100" t="str">
        <f aca="false">IF(A351="","",COUNTIF(DITARI!$C:$C,A351))</f>
        <v/>
      </c>
      <c r="G351" s="473"/>
    </row>
    <row r="352" customFormat="false" ht="14.25" hidden="false" customHeight="true" outlineLevel="0" collapsed="false">
      <c r="A352" s="470" t="str">
        <f aca="false">IF(COUNTIF(DITARI!$C$6:C354,DITARI!C354)=1,DITARI!C354,"")</f>
        <v/>
      </c>
      <c r="B352" s="100" t="str">
        <f aca="false">IF(A352="","",IF(ABS(SUMIF(DITARI!$C:$C,A352,DITARI!$F:$F)-SUMIF(DITARI!$C:$C,A352,DITARI!$G:$G))&lt;0.005,"OK","ERROR"))</f>
        <v/>
      </c>
      <c r="C352" s="471" t="str">
        <f aca="false">IF(A352="","",SUMIF(DITARI!$C:$C,A352,DITARI!$F:$F))</f>
        <v/>
      </c>
      <c r="D352" s="471" t="str">
        <f aca="false">IF(A352="","",SUMIF(DITARI!$C:$C,A352,DITARI!$G:$G))</f>
        <v/>
      </c>
      <c r="E352" s="472" t="str">
        <f aca="false">IF(A352="","",C352-D352)</f>
        <v/>
      </c>
      <c r="F352" s="100" t="str">
        <f aca="false">IF(A352="","",COUNTIF(DITARI!$C:$C,A352))</f>
        <v/>
      </c>
      <c r="G352" s="473"/>
    </row>
    <row r="353" customFormat="false" ht="14.25" hidden="false" customHeight="true" outlineLevel="0" collapsed="false">
      <c r="A353" s="470" t="str">
        <f aca="false">IF(COUNTIF(DITARI!$C$6:C355,DITARI!C355)=1,DITARI!C355,"")</f>
        <v/>
      </c>
      <c r="B353" s="100" t="str">
        <f aca="false">IF(A353="","",IF(ABS(SUMIF(DITARI!$C:$C,A353,DITARI!$F:$F)-SUMIF(DITARI!$C:$C,A353,DITARI!$G:$G))&lt;0.005,"OK","ERROR"))</f>
        <v/>
      </c>
      <c r="C353" s="471" t="str">
        <f aca="false">IF(A353="","",SUMIF(DITARI!$C:$C,A353,DITARI!$F:$F))</f>
        <v/>
      </c>
      <c r="D353" s="471" t="str">
        <f aca="false">IF(A353="","",SUMIF(DITARI!$C:$C,A353,DITARI!$G:$G))</f>
        <v/>
      </c>
      <c r="E353" s="472" t="str">
        <f aca="false">IF(A353="","",C353-D353)</f>
        <v/>
      </c>
      <c r="F353" s="100" t="str">
        <f aca="false">IF(A353="","",COUNTIF(DITARI!$C:$C,A353))</f>
        <v/>
      </c>
      <c r="G353" s="473"/>
    </row>
    <row r="354" customFormat="false" ht="14.25" hidden="false" customHeight="true" outlineLevel="0" collapsed="false">
      <c r="A354" s="470" t="str">
        <f aca="false">IF(COUNTIF(DITARI!$C$6:C356,DITARI!C356)=1,DITARI!C356,"")</f>
        <v/>
      </c>
      <c r="B354" s="100" t="str">
        <f aca="false">IF(A354="","",IF(ABS(SUMIF(DITARI!$C:$C,A354,DITARI!$F:$F)-SUMIF(DITARI!$C:$C,A354,DITARI!$G:$G))&lt;0.005,"OK","ERROR"))</f>
        <v/>
      </c>
      <c r="C354" s="471" t="str">
        <f aca="false">IF(A354="","",SUMIF(DITARI!$C:$C,A354,DITARI!$F:$F))</f>
        <v/>
      </c>
      <c r="D354" s="471" t="str">
        <f aca="false">IF(A354="","",SUMIF(DITARI!$C:$C,A354,DITARI!$G:$G))</f>
        <v/>
      </c>
      <c r="E354" s="472" t="str">
        <f aca="false">IF(A354="","",C354-D354)</f>
        <v/>
      </c>
      <c r="F354" s="100" t="str">
        <f aca="false">IF(A354="","",COUNTIF(DITARI!$C:$C,A354))</f>
        <v/>
      </c>
      <c r="G354" s="473"/>
    </row>
    <row r="355" customFormat="false" ht="14.25" hidden="false" customHeight="true" outlineLevel="0" collapsed="false">
      <c r="A355" s="470" t="str">
        <f aca="false">IF(COUNTIF(DITARI!$C$6:C357,DITARI!C357)=1,DITARI!C357,"")</f>
        <v/>
      </c>
      <c r="B355" s="100" t="str">
        <f aca="false">IF(A355="","",IF(ABS(SUMIF(DITARI!$C:$C,A355,DITARI!$F:$F)-SUMIF(DITARI!$C:$C,A355,DITARI!$G:$G))&lt;0.005,"OK","ERROR"))</f>
        <v/>
      </c>
      <c r="C355" s="471" t="str">
        <f aca="false">IF(A355="","",SUMIF(DITARI!$C:$C,A355,DITARI!$F:$F))</f>
        <v/>
      </c>
      <c r="D355" s="471" t="str">
        <f aca="false">IF(A355="","",SUMIF(DITARI!$C:$C,A355,DITARI!$G:$G))</f>
        <v/>
      </c>
      <c r="E355" s="472" t="str">
        <f aca="false">IF(A355="","",C355-D355)</f>
        <v/>
      </c>
      <c r="F355" s="100" t="str">
        <f aca="false">IF(A355="","",COUNTIF(DITARI!$C:$C,A355))</f>
        <v/>
      </c>
      <c r="G355" s="473"/>
    </row>
    <row r="356" customFormat="false" ht="14.25" hidden="false" customHeight="true" outlineLevel="0" collapsed="false">
      <c r="A356" s="470" t="str">
        <f aca="false">IF(COUNTIF(DITARI!$C$6:C358,DITARI!C358)=1,DITARI!C358,"")</f>
        <v/>
      </c>
      <c r="B356" s="100" t="str">
        <f aca="false">IF(A356="","",IF(ABS(SUMIF(DITARI!$C:$C,A356,DITARI!$F:$F)-SUMIF(DITARI!$C:$C,A356,DITARI!$G:$G))&lt;0.005,"OK","ERROR"))</f>
        <v/>
      </c>
      <c r="C356" s="471" t="str">
        <f aca="false">IF(A356="","",SUMIF(DITARI!$C:$C,A356,DITARI!$F:$F))</f>
        <v/>
      </c>
      <c r="D356" s="471" t="str">
        <f aca="false">IF(A356="","",SUMIF(DITARI!$C:$C,A356,DITARI!$G:$G))</f>
        <v/>
      </c>
      <c r="E356" s="472" t="str">
        <f aca="false">IF(A356="","",C356-D356)</f>
        <v/>
      </c>
      <c r="F356" s="100" t="str">
        <f aca="false">IF(A356="","",COUNTIF(DITARI!$C:$C,A356))</f>
        <v/>
      </c>
      <c r="G356" s="473"/>
    </row>
    <row r="357" customFormat="false" ht="14.25" hidden="false" customHeight="true" outlineLevel="0" collapsed="false">
      <c r="A357" s="470" t="str">
        <f aca="false">IF(COUNTIF(DITARI!$C$6:C359,DITARI!C359)=1,DITARI!C359,"")</f>
        <v/>
      </c>
      <c r="B357" s="100" t="str">
        <f aca="false">IF(A357="","",IF(ABS(SUMIF(DITARI!$C:$C,A357,DITARI!$F:$F)-SUMIF(DITARI!$C:$C,A357,DITARI!$G:$G))&lt;0.005,"OK","ERROR"))</f>
        <v/>
      </c>
      <c r="C357" s="471" t="str">
        <f aca="false">IF(A357="","",SUMIF(DITARI!$C:$C,A357,DITARI!$F:$F))</f>
        <v/>
      </c>
      <c r="D357" s="471" t="str">
        <f aca="false">IF(A357="","",SUMIF(DITARI!$C:$C,A357,DITARI!$G:$G))</f>
        <v/>
      </c>
      <c r="E357" s="472" t="str">
        <f aca="false">IF(A357="","",C357-D357)</f>
        <v/>
      </c>
      <c r="F357" s="100" t="str">
        <f aca="false">IF(A357="","",COUNTIF(DITARI!$C:$C,A357))</f>
        <v/>
      </c>
      <c r="G357" s="473"/>
    </row>
    <row r="358" customFormat="false" ht="14.25" hidden="false" customHeight="true" outlineLevel="0" collapsed="false">
      <c r="A358" s="470" t="str">
        <f aca="false">IF(COUNTIF(DITARI!$C$6:C360,DITARI!C360)=1,DITARI!C360,"")</f>
        <v/>
      </c>
      <c r="B358" s="100" t="str">
        <f aca="false">IF(A358="","",IF(ABS(SUMIF(DITARI!$C:$C,A358,DITARI!$F:$F)-SUMIF(DITARI!$C:$C,A358,DITARI!$G:$G))&lt;0.005,"OK","ERROR"))</f>
        <v/>
      </c>
      <c r="C358" s="471" t="str">
        <f aca="false">IF(A358="","",SUMIF(DITARI!$C:$C,A358,DITARI!$F:$F))</f>
        <v/>
      </c>
      <c r="D358" s="471" t="str">
        <f aca="false">IF(A358="","",SUMIF(DITARI!$C:$C,A358,DITARI!$G:$G))</f>
        <v/>
      </c>
      <c r="E358" s="472" t="str">
        <f aca="false">IF(A358="","",C358-D358)</f>
        <v/>
      </c>
      <c r="F358" s="100" t="str">
        <f aca="false">IF(A358="","",COUNTIF(DITARI!$C:$C,A358))</f>
        <v/>
      </c>
      <c r="G358" s="473"/>
    </row>
    <row r="359" customFormat="false" ht="14.25" hidden="false" customHeight="true" outlineLevel="0" collapsed="false">
      <c r="A359" s="470" t="str">
        <f aca="false">IF(COUNTIF(DITARI!$C$6:C361,DITARI!C361)=1,DITARI!C361,"")</f>
        <v/>
      </c>
      <c r="B359" s="100" t="str">
        <f aca="false">IF(A359="","",IF(ABS(SUMIF(DITARI!$C:$C,A359,DITARI!$F:$F)-SUMIF(DITARI!$C:$C,A359,DITARI!$G:$G))&lt;0.005,"OK","ERROR"))</f>
        <v/>
      </c>
      <c r="C359" s="471" t="str">
        <f aca="false">IF(A359="","",SUMIF(DITARI!$C:$C,A359,DITARI!$F:$F))</f>
        <v/>
      </c>
      <c r="D359" s="471" t="str">
        <f aca="false">IF(A359="","",SUMIF(DITARI!$C:$C,A359,DITARI!$G:$G))</f>
        <v/>
      </c>
      <c r="E359" s="472" t="str">
        <f aca="false">IF(A359="","",C359-D359)</f>
        <v/>
      </c>
      <c r="F359" s="100" t="str">
        <f aca="false">IF(A359="","",COUNTIF(DITARI!$C:$C,A359))</f>
        <v/>
      </c>
      <c r="G359" s="473"/>
    </row>
    <row r="360" customFormat="false" ht="14.25" hidden="false" customHeight="true" outlineLevel="0" collapsed="false">
      <c r="A360" s="470" t="str">
        <f aca="false">IF(COUNTIF(DITARI!$C$6:C362,DITARI!C362)=1,DITARI!C362,"")</f>
        <v/>
      </c>
      <c r="B360" s="100" t="str">
        <f aca="false">IF(A360="","",IF(ABS(SUMIF(DITARI!$C:$C,A360,DITARI!$F:$F)-SUMIF(DITARI!$C:$C,A360,DITARI!$G:$G))&lt;0.005,"OK","ERROR"))</f>
        <v/>
      </c>
      <c r="C360" s="471" t="str">
        <f aca="false">IF(A360="","",SUMIF(DITARI!$C:$C,A360,DITARI!$F:$F))</f>
        <v/>
      </c>
      <c r="D360" s="471" t="str">
        <f aca="false">IF(A360="","",SUMIF(DITARI!$C:$C,A360,DITARI!$G:$G))</f>
        <v/>
      </c>
      <c r="E360" s="472" t="str">
        <f aca="false">IF(A360="","",C360-D360)</f>
        <v/>
      </c>
      <c r="F360" s="100" t="str">
        <f aca="false">IF(A360="","",COUNTIF(DITARI!$C:$C,A360))</f>
        <v/>
      </c>
      <c r="G360" s="473"/>
    </row>
    <row r="361" customFormat="false" ht="14.25" hidden="false" customHeight="true" outlineLevel="0" collapsed="false">
      <c r="A361" s="470" t="str">
        <f aca="false">IF(COUNTIF(DITARI!$C$6:C363,DITARI!C363)=1,DITARI!C363,"")</f>
        <v/>
      </c>
      <c r="B361" s="100" t="str">
        <f aca="false">IF(A361="","",IF(ABS(SUMIF(DITARI!$C:$C,A361,DITARI!$F:$F)-SUMIF(DITARI!$C:$C,A361,DITARI!$G:$G))&lt;0.005,"OK","ERROR"))</f>
        <v/>
      </c>
      <c r="C361" s="471" t="str">
        <f aca="false">IF(A361="","",SUMIF(DITARI!$C:$C,A361,DITARI!$F:$F))</f>
        <v/>
      </c>
      <c r="D361" s="471" t="str">
        <f aca="false">IF(A361="","",SUMIF(DITARI!$C:$C,A361,DITARI!$G:$G))</f>
        <v/>
      </c>
      <c r="E361" s="472" t="str">
        <f aca="false">IF(A361="","",C361-D361)</f>
        <v/>
      </c>
      <c r="F361" s="100" t="str">
        <f aca="false">IF(A361="","",COUNTIF(DITARI!$C:$C,A361))</f>
        <v/>
      </c>
      <c r="G361" s="473"/>
    </row>
    <row r="362" customFormat="false" ht="14.25" hidden="false" customHeight="true" outlineLevel="0" collapsed="false">
      <c r="A362" s="470" t="str">
        <f aca="false">IF(COUNTIF(DITARI!$C$6:C364,DITARI!C364)=1,DITARI!C364,"")</f>
        <v/>
      </c>
      <c r="B362" s="100" t="str">
        <f aca="false">IF(A362="","",IF(ABS(SUMIF(DITARI!$C:$C,A362,DITARI!$F:$F)-SUMIF(DITARI!$C:$C,A362,DITARI!$G:$G))&lt;0.005,"OK","ERROR"))</f>
        <v/>
      </c>
      <c r="C362" s="471" t="str">
        <f aca="false">IF(A362="","",SUMIF(DITARI!$C:$C,A362,DITARI!$F:$F))</f>
        <v/>
      </c>
      <c r="D362" s="471" t="str">
        <f aca="false">IF(A362="","",SUMIF(DITARI!$C:$C,A362,DITARI!$G:$G))</f>
        <v/>
      </c>
      <c r="E362" s="472" t="str">
        <f aca="false">IF(A362="","",C362-D362)</f>
        <v/>
      </c>
      <c r="F362" s="100" t="str">
        <f aca="false">IF(A362="","",COUNTIF(DITARI!$C:$C,A362))</f>
        <v/>
      </c>
      <c r="G362" s="473"/>
    </row>
    <row r="363" customFormat="false" ht="14.25" hidden="false" customHeight="true" outlineLevel="0" collapsed="false">
      <c r="A363" s="470" t="str">
        <f aca="false">IF(COUNTIF(DITARI!$C$6:C365,DITARI!C365)=1,DITARI!C365,"")</f>
        <v/>
      </c>
      <c r="B363" s="100" t="str">
        <f aca="false">IF(A363="","",IF(ABS(SUMIF(DITARI!$C:$C,A363,DITARI!$F:$F)-SUMIF(DITARI!$C:$C,A363,DITARI!$G:$G))&lt;0.005,"OK","ERROR"))</f>
        <v/>
      </c>
      <c r="C363" s="471" t="str">
        <f aca="false">IF(A363="","",SUMIF(DITARI!$C:$C,A363,DITARI!$F:$F))</f>
        <v/>
      </c>
      <c r="D363" s="471" t="str">
        <f aca="false">IF(A363="","",SUMIF(DITARI!$C:$C,A363,DITARI!$G:$G))</f>
        <v/>
      </c>
      <c r="E363" s="472" t="str">
        <f aca="false">IF(A363="","",C363-D363)</f>
        <v/>
      </c>
      <c r="F363" s="100" t="str">
        <f aca="false">IF(A363="","",COUNTIF(DITARI!$C:$C,A363))</f>
        <v/>
      </c>
      <c r="G363" s="473"/>
    </row>
    <row r="364" customFormat="false" ht="14.25" hidden="false" customHeight="true" outlineLevel="0" collapsed="false">
      <c r="A364" s="470" t="str">
        <f aca="false">IF(COUNTIF(DITARI!$C$6:C366,DITARI!C366)=1,DITARI!C366,"")</f>
        <v/>
      </c>
      <c r="B364" s="100" t="str">
        <f aca="false">IF(A364="","",IF(ABS(SUMIF(DITARI!$C:$C,A364,DITARI!$F:$F)-SUMIF(DITARI!$C:$C,A364,DITARI!$G:$G))&lt;0.005,"OK","ERROR"))</f>
        <v/>
      </c>
      <c r="C364" s="471" t="str">
        <f aca="false">IF(A364="","",SUMIF(DITARI!$C:$C,A364,DITARI!$F:$F))</f>
        <v/>
      </c>
      <c r="D364" s="471" t="str">
        <f aca="false">IF(A364="","",SUMIF(DITARI!$C:$C,A364,DITARI!$G:$G))</f>
        <v/>
      </c>
      <c r="E364" s="472" t="str">
        <f aca="false">IF(A364="","",C364-D364)</f>
        <v/>
      </c>
      <c r="F364" s="100" t="str">
        <f aca="false">IF(A364="","",COUNTIF(DITARI!$C:$C,A364))</f>
        <v/>
      </c>
      <c r="G364" s="473"/>
    </row>
    <row r="365" customFormat="false" ht="14.25" hidden="false" customHeight="true" outlineLevel="0" collapsed="false">
      <c r="A365" s="470" t="str">
        <f aca="false">IF(COUNTIF(DITARI!$C$6:C367,DITARI!C367)=1,DITARI!C367,"")</f>
        <v/>
      </c>
      <c r="B365" s="100" t="str">
        <f aca="false">IF(A365="","",IF(ABS(SUMIF(DITARI!$C:$C,A365,DITARI!$F:$F)-SUMIF(DITARI!$C:$C,A365,DITARI!$G:$G))&lt;0.005,"OK","ERROR"))</f>
        <v/>
      </c>
      <c r="C365" s="471" t="str">
        <f aca="false">IF(A365="","",SUMIF(DITARI!$C:$C,A365,DITARI!$F:$F))</f>
        <v/>
      </c>
      <c r="D365" s="471" t="str">
        <f aca="false">IF(A365="","",SUMIF(DITARI!$C:$C,A365,DITARI!$G:$G))</f>
        <v/>
      </c>
      <c r="E365" s="472" t="str">
        <f aca="false">IF(A365="","",C365-D365)</f>
        <v/>
      </c>
      <c r="F365" s="100" t="str">
        <f aca="false">IF(A365="","",COUNTIF(DITARI!$C:$C,A365))</f>
        <v/>
      </c>
      <c r="G365" s="473"/>
    </row>
    <row r="366" customFormat="false" ht="14.25" hidden="false" customHeight="true" outlineLevel="0" collapsed="false">
      <c r="A366" s="470" t="str">
        <f aca="false">IF(COUNTIF(DITARI!$C$6:C368,DITARI!C368)=1,DITARI!C368,"")</f>
        <v/>
      </c>
      <c r="B366" s="100" t="str">
        <f aca="false">IF(A366="","",IF(ABS(SUMIF(DITARI!$C:$C,A366,DITARI!$F:$F)-SUMIF(DITARI!$C:$C,A366,DITARI!$G:$G))&lt;0.005,"OK","ERROR"))</f>
        <v/>
      </c>
      <c r="C366" s="471" t="str">
        <f aca="false">IF(A366="","",SUMIF(DITARI!$C:$C,A366,DITARI!$F:$F))</f>
        <v/>
      </c>
      <c r="D366" s="471" t="str">
        <f aca="false">IF(A366="","",SUMIF(DITARI!$C:$C,A366,DITARI!$G:$G))</f>
        <v/>
      </c>
      <c r="E366" s="472" t="str">
        <f aca="false">IF(A366="","",C366-D366)</f>
        <v/>
      </c>
      <c r="F366" s="100" t="str">
        <f aca="false">IF(A366="","",COUNTIF(DITARI!$C:$C,A366))</f>
        <v/>
      </c>
      <c r="G366" s="473"/>
    </row>
    <row r="367" customFormat="false" ht="14.25" hidden="false" customHeight="true" outlineLevel="0" collapsed="false">
      <c r="A367" s="470" t="str">
        <f aca="false">IF(COUNTIF(DITARI!$C$6:C369,DITARI!C369)=1,DITARI!C369,"")</f>
        <v/>
      </c>
      <c r="B367" s="100" t="str">
        <f aca="false">IF(A367="","",IF(ABS(SUMIF(DITARI!$C:$C,A367,DITARI!$F:$F)-SUMIF(DITARI!$C:$C,A367,DITARI!$G:$G))&lt;0.005,"OK","ERROR"))</f>
        <v/>
      </c>
      <c r="C367" s="471" t="str">
        <f aca="false">IF(A367="","",SUMIF(DITARI!$C:$C,A367,DITARI!$F:$F))</f>
        <v/>
      </c>
      <c r="D367" s="471" t="str">
        <f aca="false">IF(A367="","",SUMIF(DITARI!$C:$C,A367,DITARI!$G:$G))</f>
        <v/>
      </c>
      <c r="E367" s="472" t="str">
        <f aca="false">IF(A367="","",C367-D367)</f>
        <v/>
      </c>
      <c r="F367" s="100" t="str">
        <f aca="false">IF(A367="","",COUNTIF(DITARI!$C:$C,A367))</f>
        <v/>
      </c>
      <c r="G367" s="473"/>
    </row>
    <row r="368" customFormat="false" ht="14.25" hidden="false" customHeight="true" outlineLevel="0" collapsed="false">
      <c r="A368" s="470" t="str">
        <f aca="false">IF(COUNTIF(DITARI!$C$6:C370,DITARI!C370)=1,DITARI!C370,"")</f>
        <v/>
      </c>
      <c r="B368" s="100" t="str">
        <f aca="false">IF(A368="","",IF(ABS(SUMIF(DITARI!$C:$C,A368,DITARI!$F:$F)-SUMIF(DITARI!$C:$C,A368,DITARI!$G:$G))&lt;0.005,"OK","ERROR"))</f>
        <v/>
      </c>
      <c r="C368" s="471" t="str">
        <f aca="false">IF(A368="","",SUMIF(DITARI!$C:$C,A368,DITARI!$F:$F))</f>
        <v/>
      </c>
      <c r="D368" s="471" t="str">
        <f aca="false">IF(A368="","",SUMIF(DITARI!$C:$C,A368,DITARI!$G:$G))</f>
        <v/>
      </c>
      <c r="E368" s="472" t="str">
        <f aca="false">IF(A368="","",C368-D368)</f>
        <v/>
      </c>
      <c r="F368" s="100" t="str">
        <f aca="false">IF(A368="","",COUNTIF(DITARI!$C:$C,A368))</f>
        <v/>
      </c>
      <c r="G368" s="473"/>
    </row>
    <row r="369" customFormat="false" ht="14.25" hidden="false" customHeight="true" outlineLevel="0" collapsed="false">
      <c r="A369" s="470" t="str">
        <f aca="false">IF(COUNTIF(DITARI!$C$6:C371,DITARI!C371)=1,DITARI!C371,"")</f>
        <v/>
      </c>
      <c r="B369" s="100" t="str">
        <f aca="false">IF(A369="","",IF(ABS(SUMIF(DITARI!$C:$C,A369,DITARI!$F:$F)-SUMIF(DITARI!$C:$C,A369,DITARI!$G:$G))&lt;0.005,"OK","ERROR"))</f>
        <v/>
      </c>
      <c r="C369" s="471" t="str">
        <f aca="false">IF(A369="","",SUMIF(DITARI!$C:$C,A369,DITARI!$F:$F))</f>
        <v/>
      </c>
      <c r="D369" s="471" t="str">
        <f aca="false">IF(A369="","",SUMIF(DITARI!$C:$C,A369,DITARI!$G:$G))</f>
        <v/>
      </c>
      <c r="E369" s="472" t="str">
        <f aca="false">IF(A369="","",C369-D369)</f>
        <v/>
      </c>
      <c r="F369" s="100" t="str">
        <f aca="false">IF(A369="","",COUNTIF(DITARI!$C:$C,A369))</f>
        <v/>
      </c>
      <c r="G369" s="473"/>
    </row>
    <row r="370" customFormat="false" ht="14.25" hidden="false" customHeight="true" outlineLevel="0" collapsed="false">
      <c r="A370" s="470" t="str">
        <f aca="false">IF(COUNTIF(DITARI!$C$6:C372,DITARI!C372)=1,DITARI!C372,"")</f>
        <v/>
      </c>
      <c r="B370" s="100" t="str">
        <f aca="false">IF(A370="","",IF(ABS(SUMIF(DITARI!$C:$C,A370,DITARI!$F:$F)-SUMIF(DITARI!$C:$C,A370,DITARI!$G:$G))&lt;0.005,"OK","ERROR"))</f>
        <v/>
      </c>
      <c r="C370" s="471" t="str">
        <f aca="false">IF(A370="","",SUMIF(DITARI!$C:$C,A370,DITARI!$F:$F))</f>
        <v/>
      </c>
      <c r="D370" s="471" t="str">
        <f aca="false">IF(A370="","",SUMIF(DITARI!$C:$C,A370,DITARI!$G:$G))</f>
        <v/>
      </c>
      <c r="E370" s="472" t="str">
        <f aca="false">IF(A370="","",C370-D370)</f>
        <v/>
      </c>
      <c r="F370" s="100" t="str">
        <f aca="false">IF(A370="","",COUNTIF(DITARI!$C:$C,A370))</f>
        <v/>
      </c>
      <c r="G370" s="473"/>
    </row>
    <row r="371" customFormat="false" ht="14.25" hidden="false" customHeight="true" outlineLevel="0" collapsed="false">
      <c r="A371" s="470" t="str">
        <f aca="false">IF(COUNTIF(DITARI!$C$6:C373,DITARI!C373)=1,DITARI!C373,"")</f>
        <v/>
      </c>
      <c r="B371" s="100" t="str">
        <f aca="false">IF(A371="","",IF(ABS(SUMIF(DITARI!$C:$C,A371,DITARI!$F:$F)-SUMIF(DITARI!$C:$C,A371,DITARI!$G:$G))&lt;0.005,"OK","ERROR"))</f>
        <v/>
      </c>
      <c r="C371" s="471" t="str">
        <f aca="false">IF(A371="","",SUMIF(DITARI!$C:$C,A371,DITARI!$F:$F))</f>
        <v/>
      </c>
      <c r="D371" s="471" t="str">
        <f aca="false">IF(A371="","",SUMIF(DITARI!$C:$C,A371,DITARI!$G:$G))</f>
        <v/>
      </c>
      <c r="E371" s="472" t="str">
        <f aca="false">IF(A371="","",C371-D371)</f>
        <v/>
      </c>
      <c r="F371" s="100" t="str">
        <f aca="false">IF(A371="","",COUNTIF(DITARI!$C:$C,A371))</f>
        <v/>
      </c>
      <c r="G371" s="473"/>
    </row>
    <row r="372" customFormat="false" ht="14.25" hidden="false" customHeight="true" outlineLevel="0" collapsed="false">
      <c r="A372" s="470" t="str">
        <f aca="false">IF(COUNTIF(DITARI!$C$6:C374,DITARI!C374)=1,DITARI!C374,"")</f>
        <v/>
      </c>
      <c r="B372" s="100" t="str">
        <f aca="false">IF(A372="","",IF(ABS(SUMIF(DITARI!$C:$C,A372,DITARI!$F:$F)-SUMIF(DITARI!$C:$C,A372,DITARI!$G:$G))&lt;0.005,"OK","ERROR"))</f>
        <v/>
      </c>
      <c r="C372" s="471" t="str">
        <f aca="false">IF(A372="","",SUMIF(DITARI!$C:$C,A372,DITARI!$F:$F))</f>
        <v/>
      </c>
      <c r="D372" s="471" t="str">
        <f aca="false">IF(A372="","",SUMIF(DITARI!$C:$C,A372,DITARI!$G:$G))</f>
        <v/>
      </c>
      <c r="E372" s="472" t="str">
        <f aca="false">IF(A372="","",C372-D372)</f>
        <v/>
      </c>
      <c r="F372" s="100" t="str">
        <f aca="false">IF(A372="","",COUNTIF(DITARI!$C:$C,A372))</f>
        <v/>
      </c>
      <c r="G372" s="473"/>
    </row>
    <row r="373" customFormat="false" ht="14.25" hidden="false" customHeight="true" outlineLevel="0" collapsed="false">
      <c r="A373" s="470" t="str">
        <f aca="false">IF(COUNTIF(DITARI!$C$6:C375,DITARI!C375)=1,DITARI!C375,"")</f>
        <v/>
      </c>
      <c r="B373" s="100" t="str">
        <f aca="false">IF(A373="","",IF(ABS(SUMIF(DITARI!$C:$C,A373,DITARI!$F:$F)-SUMIF(DITARI!$C:$C,A373,DITARI!$G:$G))&lt;0.005,"OK","ERROR"))</f>
        <v/>
      </c>
      <c r="C373" s="471" t="str">
        <f aca="false">IF(A373="","",SUMIF(DITARI!$C:$C,A373,DITARI!$F:$F))</f>
        <v/>
      </c>
      <c r="D373" s="471" t="str">
        <f aca="false">IF(A373="","",SUMIF(DITARI!$C:$C,A373,DITARI!$G:$G))</f>
        <v/>
      </c>
      <c r="E373" s="472" t="str">
        <f aca="false">IF(A373="","",C373-D373)</f>
        <v/>
      </c>
      <c r="F373" s="100" t="str">
        <f aca="false">IF(A373="","",COUNTIF(DITARI!$C:$C,A373))</f>
        <v/>
      </c>
      <c r="G373" s="473"/>
    </row>
    <row r="374" customFormat="false" ht="14.25" hidden="false" customHeight="true" outlineLevel="0" collapsed="false">
      <c r="A374" s="470" t="str">
        <f aca="false">IF(COUNTIF(DITARI!$C$6:C376,DITARI!C376)=1,DITARI!C376,"")</f>
        <v/>
      </c>
      <c r="B374" s="100" t="str">
        <f aca="false">IF(A374="","",IF(ABS(SUMIF(DITARI!$C:$C,A374,DITARI!$F:$F)-SUMIF(DITARI!$C:$C,A374,DITARI!$G:$G))&lt;0.005,"OK","ERROR"))</f>
        <v/>
      </c>
      <c r="C374" s="471" t="str">
        <f aca="false">IF(A374="","",SUMIF(DITARI!$C:$C,A374,DITARI!$F:$F))</f>
        <v/>
      </c>
      <c r="D374" s="471" t="str">
        <f aca="false">IF(A374="","",SUMIF(DITARI!$C:$C,A374,DITARI!$G:$G))</f>
        <v/>
      </c>
      <c r="E374" s="472" t="str">
        <f aca="false">IF(A374="","",C374-D374)</f>
        <v/>
      </c>
      <c r="F374" s="100" t="str">
        <f aca="false">IF(A374="","",COUNTIF(DITARI!$C:$C,A374))</f>
        <v/>
      </c>
      <c r="G374" s="473"/>
    </row>
    <row r="375" customFormat="false" ht="14.25" hidden="false" customHeight="true" outlineLevel="0" collapsed="false">
      <c r="A375" s="470" t="str">
        <f aca="false">IF(COUNTIF(DITARI!$C$6:C377,DITARI!C377)=1,DITARI!C377,"")</f>
        <v/>
      </c>
      <c r="B375" s="100" t="str">
        <f aca="false">IF(A375="","",IF(ABS(SUMIF(DITARI!$C:$C,A375,DITARI!$F:$F)-SUMIF(DITARI!$C:$C,A375,DITARI!$G:$G))&lt;0.005,"OK","ERROR"))</f>
        <v/>
      </c>
      <c r="C375" s="471" t="str">
        <f aca="false">IF(A375="","",SUMIF(DITARI!$C:$C,A375,DITARI!$F:$F))</f>
        <v/>
      </c>
      <c r="D375" s="471" t="str">
        <f aca="false">IF(A375="","",SUMIF(DITARI!$C:$C,A375,DITARI!$G:$G))</f>
        <v/>
      </c>
      <c r="E375" s="472" t="str">
        <f aca="false">IF(A375="","",C375-D375)</f>
        <v/>
      </c>
      <c r="F375" s="100" t="str">
        <f aca="false">IF(A375="","",COUNTIF(DITARI!$C:$C,A375))</f>
        <v/>
      </c>
      <c r="G375" s="473"/>
    </row>
    <row r="376" customFormat="false" ht="14.25" hidden="false" customHeight="true" outlineLevel="0" collapsed="false">
      <c r="A376" s="470" t="str">
        <f aca="false">IF(COUNTIF(DITARI!$C$6:C378,DITARI!C378)=1,DITARI!C378,"")</f>
        <v/>
      </c>
      <c r="B376" s="100" t="str">
        <f aca="false">IF(A376="","",IF(ABS(SUMIF(DITARI!$C:$C,A376,DITARI!$F:$F)-SUMIF(DITARI!$C:$C,A376,DITARI!$G:$G))&lt;0.005,"OK","ERROR"))</f>
        <v/>
      </c>
      <c r="C376" s="471" t="str">
        <f aca="false">IF(A376="","",SUMIF(DITARI!$C:$C,A376,DITARI!$F:$F))</f>
        <v/>
      </c>
      <c r="D376" s="471" t="str">
        <f aca="false">IF(A376="","",SUMIF(DITARI!$C:$C,A376,DITARI!$G:$G))</f>
        <v/>
      </c>
      <c r="E376" s="472" t="str">
        <f aca="false">IF(A376="","",C376-D376)</f>
        <v/>
      </c>
      <c r="F376" s="100" t="str">
        <f aca="false">IF(A376="","",COUNTIF(DITARI!$C:$C,A376))</f>
        <v/>
      </c>
      <c r="G376" s="473"/>
    </row>
    <row r="377" customFormat="false" ht="14.25" hidden="false" customHeight="true" outlineLevel="0" collapsed="false">
      <c r="A377" s="470" t="str">
        <f aca="false">IF(COUNTIF(DITARI!$C$6:C379,DITARI!C379)=1,DITARI!C379,"")</f>
        <v/>
      </c>
      <c r="B377" s="100" t="str">
        <f aca="false">IF(A377="","",IF(ABS(SUMIF(DITARI!$C:$C,A377,DITARI!$F:$F)-SUMIF(DITARI!$C:$C,A377,DITARI!$G:$G))&lt;0.005,"OK","ERROR"))</f>
        <v/>
      </c>
      <c r="C377" s="471" t="str">
        <f aca="false">IF(A377="","",SUMIF(DITARI!$C:$C,A377,DITARI!$F:$F))</f>
        <v/>
      </c>
      <c r="D377" s="471" t="str">
        <f aca="false">IF(A377="","",SUMIF(DITARI!$C:$C,A377,DITARI!$G:$G))</f>
        <v/>
      </c>
      <c r="E377" s="472" t="str">
        <f aca="false">IF(A377="","",C377-D377)</f>
        <v/>
      </c>
      <c r="F377" s="100" t="str">
        <f aca="false">IF(A377="","",COUNTIF(DITARI!$C:$C,A377))</f>
        <v/>
      </c>
      <c r="G377" s="473"/>
    </row>
    <row r="378" customFormat="false" ht="14.25" hidden="false" customHeight="true" outlineLevel="0" collapsed="false">
      <c r="A378" s="470" t="str">
        <f aca="false">IF(COUNTIF(DITARI!$C$6:C380,DITARI!C380)=1,DITARI!C380,"")</f>
        <v/>
      </c>
      <c r="B378" s="100" t="str">
        <f aca="false">IF(A378="","",IF(ABS(SUMIF(DITARI!$C:$C,A378,DITARI!$F:$F)-SUMIF(DITARI!$C:$C,A378,DITARI!$G:$G))&lt;0.005,"OK","ERROR"))</f>
        <v/>
      </c>
      <c r="C378" s="471" t="str">
        <f aca="false">IF(A378="","",SUMIF(DITARI!$C:$C,A378,DITARI!$F:$F))</f>
        <v/>
      </c>
      <c r="D378" s="471" t="str">
        <f aca="false">IF(A378="","",SUMIF(DITARI!$C:$C,A378,DITARI!$G:$G))</f>
        <v/>
      </c>
      <c r="E378" s="472" t="str">
        <f aca="false">IF(A378="","",C378-D378)</f>
        <v/>
      </c>
      <c r="F378" s="100" t="str">
        <f aca="false">IF(A378="","",COUNTIF(DITARI!$C:$C,A378))</f>
        <v/>
      </c>
      <c r="G378" s="473"/>
    </row>
    <row r="379" customFormat="false" ht="14.25" hidden="false" customHeight="true" outlineLevel="0" collapsed="false">
      <c r="A379" s="470" t="str">
        <f aca="false">IF(COUNTIF(DITARI!$C$6:C381,DITARI!C381)=1,DITARI!C381,"")</f>
        <v/>
      </c>
      <c r="B379" s="100" t="str">
        <f aca="false">IF(A379="","",IF(ABS(SUMIF(DITARI!$C:$C,A379,DITARI!$F:$F)-SUMIF(DITARI!$C:$C,A379,DITARI!$G:$G))&lt;0.005,"OK","ERROR"))</f>
        <v/>
      </c>
      <c r="C379" s="471" t="str">
        <f aca="false">IF(A379="","",SUMIF(DITARI!$C:$C,A379,DITARI!$F:$F))</f>
        <v/>
      </c>
      <c r="D379" s="471" t="str">
        <f aca="false">IF(A379="","",SUMIF(DITARI!$C:$C,A379,DITARI!$G:$G))</f>
        <v/>
      </c>
      <c r="E379" s="472" t="str">
        <f aca="false">IF(A379="","",C379-D379)</f>
        <v/>
      </c>
      <c r="F379" s="100" t="str">
        <f aca="false">IF(A379="","",COUNTIF(DITARI!$C:$C,A379))</f>
        <v/>
      </c>
      <c r="G379" s="473"/>
    </row>
    <row r="380" customFormat="false" ht="14.25" hidden="false" customHeight="true" outlineLevel="0" collapsed="false">
      <c r="A380" s="470" t="str">
        <f aca="false">IF(COUNTIF(DITARI!$C$6:C382,DITARI!C382)=1,DITARI!C382,"")</f>
        <v/>
      </c>
      <c r="B380" s="100" t="str">
        <f aca="false">IF(A380="","",IF(ABS(SUMIF(DITARI!$C:$C,A380,DITARI!$F:$F)-SUMIF(DITARI!$C:$C,A380,DITARI!$G:$G))&lt;0.005,"OK","ERROR"))</f>
        <v/>
      </c>
      <c r="C380" s="471" t="str">
        <f aca="false">IF(A380="","",SUMIF(DITARI!$C:$C,A380,DITARI!$F:$F))</f>
        <v/>
      </c>
      <c r="D380" s="471" t="str">
        <f aca="false">IF(A380="","",SUMIF(DITARI!$C:$C,A380,DITARI!$G:$G))</f>
        <v/>
      </c>
      <c r="E380" s="472" t="str">
        <f aca="false">IF(A380="","",C380-D380)</f>
        <v/>
      </c>
      <c r="F380" s="100" t="str">
        <f aca="false">IF(A380="","",COUNTIF(DITARI!$C:$C,A380))</f>
        <v/>
      </c>
      <c r="G380" s="473"/>
    </row>
    <row r="381" customFormat="false" ht="14.25" hidden="false" customHeight="true" outlineLevel="0" collapsed="false">
      <c r="A381" s="470" t="str">
        <f aca="false">IF(COUNTIF(DITARI!$C$6:C383,DITARI!C383)=1,DITARI!C383,"")</f>
        <v/>
      </c>
      <c r="B381" s="100" t="str">
        <f aca="false">IF(A381="","",IF(ABS(SUMIF(DITARI!$C:$C,A381,DITARI!$F:$F)-SUMIF(DITARI!$C:$C,A381,DITARI!$G:$G))&lt;0.005,"OK","ERROR"))</f>
        <v/>
      </c>
      <c r="C381" s="471" t="str">
        <f aca="false">IF(A381="","",SUMIF(DITARI!$C:$C,A381,DITARI!$F:$F))</f>
        <v/>
      </c>
      <c r="D381" s="471" t="str">
        <f aca="false">IF(A381="","",SUMIF(DITARI!$C:$C,A381,DITARI!$G:$G))</f>
        <v/>
      </c>
      <c r="E381" s="472" t="str">
        <f aca="false">IF(A381="","",C381-D381)</f>
        <v/>
      </c>
      <c r="F381" s="100" t="str">
        <f aca="false">IF(A381="","",COUNTIF(DITARI!$C:$C,A381))</f>
        <v/>
      </c>
      <c r="G381" s="473"/>
    </row>
    <row r="382" customFormat="false" ht="14.25" hidden="false" customHeight="true" outlineLevel="0" collapsed="false">
      <c r="A382" s="470" t="str">
        <f aca="false">IF(COUNTIF(DITARI!$C$6:C384,DITARI!C384)=1,DITARI!C384,"")</f>
        <v/>
      </c>
      <c r="B382" s="100" t="str">
        <f aca="false">IF(A382="","",IF(ABS(SUMIF(DITARI!$C:$C,A382,DITARI!$F:$F)-SUMIF(DITARI!$C:$C,A382,DITARI!$G:$G))&lt;0.005,"OK","ERROR"))</f>
        <v/>
      </c>
      <c r="C382" s="471" t="str">
        <f aca="false">IF(A382="","",SUMIF(DITARI!$C:$C,A382,DITARI!$F:$F))</f>
        <v/>
      </c>
      <c r="D382" s="471" t="str">
        <f aca="false">IF(A382="","",SUMIF(DITARI!$C:$C,A382,DITARI!$G:$G))</f>
        <v/>
      </c>
      <c r="E382" s="472" t="str">
        <f aca="false">IF(A382="","",C382-D382)</f>
        <v/>
      </c>
      <c r="F382" s="100" t="str">
        <f aca="false">IF(A382="","",COUNTIF(DITARI!$C:$C,A382))</f>
        <v/>
      </c>
      <c r="G382" s="473"/>
    </row>
    <row r="383" customFormat="false" ht="14.25" hidden="false" customHeight="true" outlineLevel="0" collapsed="false">
      <c r="A383" s="470" t="str">
        <f aca="false">IF(COUNTIF(DITARI!$C$6:C385,DITARI!C385)=1,DITARI!C385,"")</f>
        <v/>
      </c>
      <c r="B383" s="100" t="str">
        <f aca="false">IF(A383="","",IF(ABS(SUMIF(DITARI!$C:$C,A383,DITARI!$F:$F)-SUMIF(DITARI!$C:$C,A383,DITARI!$G:$G))&lt;0.005,"OK","ERROR"))</f>
        <v/>
      </c>
      <c r="C383" s="471" t="str">
        <f aca="false">IF(A383="","",SUMIF(DITARI!$C:$C,A383,DITARI!$F:$F))</f>
        <v/>
      </c>
      <c r="D383" s="471" t="str">
        <f aca="false">IF(A383="","",SUMIF(DITARI!$C:$C,A383,DITARI!$G:$G))</f>
        <v/>
      </c>
      <c r="E383" s="472" t="str">
        <f aca="false">IF(A383="","",C383-D383)</f>
        <v/>
      </c>
      <c r="F383" s="100" t="str">
        <f aca="false">IF(A383="","",COUNTIF(DITARI!$C:$C,A383))</f>
        <v/>
      </c>
      <c r="G383" s="473"/>
    </row>
    <row r="384" customFormat="false" ht="14.25" hidden="false" customHeight="true" outlineLevel="0" collapsed="false">
      <c r="A384" s="470" t="str">
        <f aca="false">IF(COUNTIF(DITARI!$C$6:C386,DITARI!C386)=1,DITARI!C386,"")</f>
        <v/>
      </c>
      <c r="B384" s="100" t="str">
        <f aca="false">IF(A384="","",IF(ABS(SUMIF(DITARI!$C:$C,A384,DITARI!$F:$F)-SUMIF(DITARI!$C:$C,A384,DITARI!$G:$G))&lt;0.005,"OK","ERROR"))</f>
        <v/>
      </c>
      <c r="C384" s="471" t="str">
        <f aca="false">IF(A384="","",SUMIF(DITARI!$C:$C,A384,DITARI!$F:$F))</f>
        <v/>
      </c>
      <c r="D384" s="471" t="str">
        <f aca="false">IF(A384="","",SUMIF(DITARI!$C:$C,A384,DITARI!$G:$G))</f>
        <v/>
      </c>
      <c r="E384" s="472" t="str">
        <f aca="false">IF(A384="","",C384-D384)</f>
        <v/>
      </c>
      <c r="F384" s="100" t="str">
        <f aca="false">IF(A384="","",COUNTIF(DITARI!$C:$C,A384))</f>
        <v/>
      </c>
      <c r="G384" s="473"/>
    </row>
    <row r="385" customFormat="false" ht="14.25" hidden="false" customHeight="true" outlineLevel="0" collapsed="false">
      <c r="A385" s="470" t="str">
        <f aca="false">IF(COUNTIF(DITARI!$C$6:C387,DITARI!C387)=1,DITARI!C387,"")</f>
        <v/>
      </c>
      <c r="B385" s="100" t="str">
        <f aca="false">IF(A385="","",IF(ABS(SUMIF(DITARI!$C:$C,A385,DITARI!$F:$F)-SUMIF(DITARI!$C:$C,A385,DITARI!$G:$G))&lt;0.005,"OK","ERROR"))</f>
        <v/>
      </c>
      <c r="C385" s="471" t="str">
        <f aca="false">IF(A385="","",SUMIF(DITARI!$C:$C,A385,DITARI!$F:$F))</f>
        <v/>
      </c>
      <c r="D385" s="471" t="str">
        <f aca="false">IF(A385="","",SUMIF(DITARI!$C:$C,A385,DITARI!$G:$G))</f>
        <v/>
      </c>
      <c r="E385" s="472" t="str">
        <f aca="false">IF(A385="","",C385-D385)</f>
        <v/>
      </c>
      <c r="F385" s="100" t="str">
        <f aca="false">IF(A385="","",COUNTIF(DITARI!$C:$C,A385))</f>
        <v/>
      </c>
      <c r="G385" s="473"/>
    </row>
    <row r="386" customFormat="false" ht="14.25" hidden="false" customHeight="true" outlineLevel="0" collapsed="false">
      <c r="A386" s="470" t="str">
        <f aca="false">IF(COUNTIF(DITARI!$C$6:C388,DITARI!C388)=1,DITARI!C388,"")</f>
        <v/>
      </c>
      <c r="B386" s="100" t="str">
        <f aca="false">IF(A386="","",IF(ABS(SUMIF(DITARI!$C:$C,A386,DITARI!$F:$F)-SUMIF(DITARI!$C:$C,A386,DITARI!$G:$G))&lt;0.005,"OK","ERROR"))</f>
        <v/>
      </c>
      <c r="C386" s="471" t="str">
        <f aca="false">IF(A386="","",SUMIF(DITARI!$C:$C,A386,DITARI!$F:$F))</f>
        <v/>
      </c>
      <c r="D386" s="471" t="str">
        <f aca="false">IF(A386="","",SUMIF(DITARI!$C:$C,A386,DITARI!$G:$G))</f>
        <v/>
      </c>
      <c r="E386" s="472" t="str">
        <f aca="false">IF(A386="","",C386-D386)</f>
        <v/>
      </c>
      <c r="F386" s="100" t="str">
        <f aca="false">IF(A386="","",COUNTIF(DITARI!$C:$C,A386))</f>
        <v/>
      </c>
      <c r="G386" s="473"/>
    </row>
    <row r="387" customFormat="false" ht="14.25" hidden="false" customHeight="true" outlineLevel="0" collapsed="false">
      <c r="A387" s="470" t="str">
        <f aca="false">IF(COUNTIF(DITARI!$C$6:C389,DITARI!C389)=1,DITARI!C389,"")</f>
        <v/>
      </c>
      <c r="B387" s="100" t="str">
        <f aca="false">IF(A387="","",IF(ABS(SUMIF(DITARI!$C:$C,A387,DITARI!$F:$F)-SUMIF(DITARI!$C:$C,A387,DITARI!$G:$G))&lt;0.005,"OK","ERROR"))</f>
        <v/>
      </c>
      <c r="C387" s="471" t="str">
        <f aca="false">IF(A387="","",SUMIF(DITARI!$C:$C,A387,DITARI!$F:$F))</f>
        <v/>
      </c>
      <c r="D387" s="471" t="str">
        <f aca="false">IF(A387="","",SUMIF(DITARI!$C:$C,A387,DITARI!$G:$G))</f>
        <v/>
      </c>
      <c r="E387" s="472" t="str">
        <f aca="false">IF(A387="","",C387-D387)</f>
        <v/>
      </c>
      <c r="F387" s="100" t="str">
        <f aca="false">IF(A387="","",COUNTIF(DITARI!$C:$C,A387))</f>
        <v/>
      </c>
      <c r="G387" s="473"/>
    </row>
    <row r="388" customFormat="false" ht="14.25" hidden="false" customHeight="true" outlineLevel="0" collapsed="false">
      <c r="A388" s="470" t="str">
        <f aca="false">IF(COUNTIF(DITARI!$C$6:C390,DITARI!C390)=1,DITARI!C390,"")</f>
        <v/>
      </c>
      <c r="B388" s="100" t="str">
        <f aca="false">IF(A388="","",IF(ABS(SUMIF(DITARI!$C:$C,A388,DITARI!$F:$F)-SUMIF(DITARI!$C:$C,A388,DITARI!$G:$G))&lt;0.005,"OK","ERROR"))</f>
        <v/>
      </c>
      <c r="C388" s="471" t="str">
        <f aca="false">IF(A388="","",SUMIF(DITARI!$C:$C,A388,DITARI!$F:$F))</f>
        <v/>
      </c>
      <c r="D388" s="471" t="str">
        <f aca="false">IF(A388="","",SUMIF(DITARI!$C:$C,A388,DITARI!$G:$G))</f>
        <v/>
      </c>
      <c r="E388" s="472" t="str">
        <f aca="false">IF(A388="","",C388-D388)</f>
        <v/>
      </c>
      <c r="F388" s="100" t="str">
        <f aca="false">IF(A388="","",COUNTIF(DITARI!$C:$C,A388))</f>
        <v/>
      </c>
      <c r="G388" s="473"/>
    </row>
    <row r="389" customFormat="false" ht="14.25" hidden="false" customHeight="true" outlineLevel="0" collapsed="false">
      <c r="A389" s="470" t="str">
        <f aca="false">IF(COUNTIF(DITARI!$C$6:C391,DITARI!C391)=1,DITARI!C391,"")</f>
        <v/>
      </c>
      <c r="B389" s="100" t="str">
        <f aca="false">IF(A389="","",IF(ABS(SUMIF(DITARI!$C:$C,A389,DITARI!$F:$F)-SUMIF(DITARI!$C:$C,A389,DITARI!$G:$G))&lt;0.005,"OK","ERROR"))</f>
        <v/>
      </c>
      <c r="C389" s="471" t="str">
        <f aca="false">IF(A389="","",SUMIF(DITARI!$C:$C,A389,DITARI!$F:$F))</f>
        <v/>
      </c>
      <c r="D389" s="471" t="str">
        <f aca="false">IF(A389="","",SUMIF(DITARI!$C:$C,A389,DITARI!$G:$G))</f>
        <v/>
      </c>
      <c r="E389" s="472" t="str">
        <f aca="false">IF(A389="","",C389-D389)</f>
        <v/>
      </c>
      <c r="F389" s="100" t="str">
        <f aca="false">IF(A389="","",COUNTIF(DITARI!$C:$C,A389))</f>
        <v/>
      </c>
      <c r="G389" s="473"/>
    </row>
    <row r="390" customFormat="false" ht="14.25" hidden="false" customHeight="true" outlineLevel="0" collapsed="false">
      <c r="A390" s="470" t="str">
        <f aca="false">IF(COUNTIF(DITARI!$C$6:C392,DITARI!C392)=1,DITARI!C392,"")</f>
        <v/>
      </c>
      <c r="B390" s="100" t="str">
        <f aca="false">IF(A390="","",IF(ABS(SUMIF(DITARI!$C:$C,A390,DITARI!$F:$F)-SUMIF(DITARI!$C:$C,A390,DITARI!$G:$G))&lt;0.005,"OK","ERROR"))</f>
        <v/>
      </c>
      <c r="C390" s="471" t="str">
        <f aca="false">IF(A390="","",SUMIF(DITARI!$C:$C,A390,DITARI!$F:$F))</f>
        <v/>
      </c>
      <c r="D390" s="471" t="str">
        <f aca="false">IF(A390="","",SUMIF(DITARI!$C:$C,A390,DITARI!$G:$G))</f>
        <v/>
      </c>
      <c r="E390" s="472" t="str">
        <f aca="false">IF(A390="","",C390-D390)</f>
        <v/>
      </c>
      <c r="F390" s="100" t="str">
        <f aca="false">IF(A390="","",COUNTIF(DITARI!$C:$C,A390))</f>
        <v/>
      </c>
      <c r="G390" s="473"/>
    </row>
    <row r="391" customFormat="false" ht="14.25" hidden="false" customHeight="true" outlineLevel="0" collapsed="false">
      <c r="A391" s="470" t="str">
        <f aca="false">IF(COUNTIF(DITARI!$C$6:C393,DITARI!C393)=1,DITARI!C393,"")</f>
        <v/>
      </c>
      <c r="B391" s="100" t="str">
        <f aca="false">IF(A391="","",IF(ABS(SUMIF(DITARI!$C:$C,A391,DITARI!$F:$F)-SUMIF(DITARI!$C:$C,A391,DITARI!$G:$G))&lt;0.005,"OK","ERROR"))</f>
        <v/>
      </c>
      <c r="C391" s="471" t="str">
        <f aca="false">IF(A391="","",SUMIF(DITARI!$C:$C,A391,DITARI!$F:$F))</f>
        <v/>
      </c>
      <c r="D391" s="471" t="str">
        <f aca="false">IF(A391="","",SUMIF(DITARI!$C:$C,A391,DITARI!$G:$G))</f>
        <v/>
      </c>
      <c r="E391" s="472" t="str">
        <f aca="false">IF(A391="","",C391-D391)</f>
        <v/>
      </c>
      <c r="F391" s="100" t="str">
        <f aca="false">IF(A391="","",COUNTIF(DITARI!$C:$C,A391))</f>
        <v/>
      </c>
      <c r="G391" s="473"/>
    </row>
    <row r="392" customFormat="false" ht="14.25" hidden="false" customHeight="true" outlineLevel="0" collapsed="false">
      <c r="A392" s="470" t="str">
        <f aca="false">IF(COUNTIF(DITARI!$C$6:C394,DITARI!C394)=1,DITARI!C394,"")</f>
        <v/>
      </c>
      <c r="B392" s="100" t="str">
        <f aca="false">IF(A392="","",IF(ABS(SUMIF(DITARI!$C:$C,A392,DITARI!$F:$F)-SUMIF(DITARI!$C:$C,A392,DITARI!$G:$G))&lt;0.005,"OK","ERROR"))</f>
        <v/>
      </c>
      <c r="C392" s="471" t="str">
        <f aca="false">IF(A392="","",SUMIF(DITARI!$C:$C,A392,DITARI!$F:$F))</f>
        <v/>
      </c>
      <c r="D392" s="471" t="str">
        <f aca="false">IF(A392="","",SUMIF(DITARI!$C:$C,A392,DITARI!$G:$G))</f>
        <v/>
      </c>
      <c r="E392" s="472" t="str">
        <f aca="false">IF(A392="","",C392-D392)</f>
        <v/>
      </c>
      <c r="F392" s="100" t="str">
        <f aca="false">IF(A392="","",COUNTIF(DITARI!$C:$C,A392))</f>
        <v/>
      </c>
      <c r="G392" s="473"/>
    </row>
    <row r="393" customFormat="false" ht="14.25" hidden="false" customHeight="true" outlineLevel="0" collapsed="false">
      <c r="A393" s="470" t="str">
        <f aca="false">IF(COUNTIF(DITARI!$C$6:C395,DITARI!C395)=1,DITARI!C395,"")</f>
        <v/>
      </c>
      <c r="B393" s="100" t="str">
        <f aca="false">IF(A393="","",IF(ABS(SUMIF(DITARI!$C:$C,A393,DITARI!$F:$F)-SUMIF(DITARI!$C:$C,A393,DITARI!$G:$G))&lt;0.005,"OK","ERROR"))</f>
        <v/>
      </c>
      <c r="C393" s="471" t="str">
        <f aca="false">IF(A393="","",SUMIF(DITARI!$C:$C,A393,DITARI!$F:$F))</f>
        <v/>
      </c>
      <c r="D393" s="471" t="str">
        <f aca="false">IF(A393="","",SUMIF(DITARI!$C:$C,A393,DITARI!$G:$G))</f>
        <v/>
      </c>
      <c r="E393" s="472" t="str">
        <f aca="false">IF(A393="","",C393-D393)</f>
        <v/>
      </c>
      <c r="F393" s="100" t="str">
        <f aca="false">IF(A393="","",COUNTIF(DITARI!$C:$C,A393))</f>
        <v/>
      </c>
      <c r="G393" s="473"/>
    </row>
    <row r="394" customFormat="false" ht="14.25" hidden="false" customHeight="true" outlineLevel="0" collapsed="false">
      <c r="A394" s="470" t="str">
        <f aca="false">IF(COUNTIF(DITARI!$C$6:C396,DITARI!C396)=1,DITARI!C396,"")</f>
        <v/>
      </c>
      <c r="B394" s="100" t="str">
        <f aca="false">IF(A394="","",IF(ABS(SUMIF(DITARI!$C:$C,A394,DITARI!$F:$F)-SUMIF(DITARI!$C:$C,A394,DITARI!$G:$G))&lt;0.005,"OK","ERROR"))</f>
        <v/>
      </c>
      <c r="C394" s="471" t="str">
        <f aca="false">IF(A394="","",SUMIF(DITARI!$C:$C,A394,DITARI!$F:$F))</f>
        <v/>
      </c>
      <c r="D394" s="471" t="str">
        <f aca="false">IF(A394="","",SUMIF(DITARI!$C:$C,A394,DITARI!$G:$G))</f>
        <v/>
      </c>
      <c r="E394" s="472" t="str">
        <f aca="false">IF(A394="","",C394-D394)</f>
        <v/>
      </c>
      <c r="F394" s="100" t="str">
        <f aca="false">IF(A394="","",COUNTIF(DITARI!$C:$C,A394))</f>
        <v/>
      </c>
      <c r="G394" s="473"/>
    </row>
    <row r="395" customFormat="false" ht="14.25" hidden="false" customHeight="true" outlineLevel="0" collapsed="false">
      <c r="A395" s="470" t="str">
        <f aca="false">IF(COUNTIF(DITARI!$C$6:C397,DITARI!C397)=1,DITARI!C397,"")</f>
        <v/>
      </c>
      <c r="B395" s="100" t="str">
        <f aca="false">IF(A395="","",IF(ABS(SUMIF(DITARI!$C:$C,A395,DITARI!$F:$F)-SUMIF(DITARI!$C:$C,A395,DITARI!$G:$G))&lt;0.005,"OK","ERROR"))</f>
        <v/>
      </c>
      <c r="C395" s="471" t="str">
        <f aca="false">IF(A395="","",SUMIF(DITARI!$C:$C,A395,DITARI!$F:$F))</f>
        <v/>
      </c>
      <c r="D395" s="471" t="str">
        <f aca="false">IF(A395="","",SUMIF(DITARI!$C:$C,A395,DITARI!$G:$G))</f>
        <v/>
      </c>
      <c r="E395" s="472" t="str">
        <f aca="false">IF(A395="","",C395-D395)</f>
        <v/>
      </c>
      <c r="F395" s="100" t="str">
        <f aca="false">IF(A395="","",COUNTIF(DITARI!$C:$C,A395))</f>
        <v/>
      </c>
      <c r="G395" s="473"/>
    </row>
    <row r="396" customFormat="false" ht="14.25" hidden="false" customHeight="true" outlineLevel="0" collapsed="false">
      <c r="A396" s="470" t="str">
        <f aca="false">IF(COUNTIF(DITARI!$C$6:C398,DITARI!C398)=1,DITARI!C398,"")</f>
        <v/>
      </c>
      <c r="B396" s="100" t="str">
        <f aca="false">IF(A396="","",IF(ABS(SUMIF(DITARI!$C:$C,A396,DITARI!$F:$F)-SUMIF(DITARI!$C:$C,A396,DITARI!$G:$G))&lt;0.005,"OK","ERROR"))</f>
        <v/>
      </c>
      <c r="C396" s="471" t="str">
        <f aca="false">IF(A396="","",SUMIF(DITARI!$C:$C,A396,DITARI!$F:$F))</f>
        <v/>
      </c>
      <c r="D396" s="471" t="str">
        <f aca="false">IF(A396="","",SUMIF(DITARI!$C:$C,A396,DITARI!$G:$G))</f>
        <v/>
      </c>
      <c r="E396" s="472" t="str">
        <f aca="false">IF(A396="","",C396-D396)</f>
        <v/>
      </c>
      <c r="F396" s="100" t="str">
        <f aca="false">IF(A396="","",COUNTIF(DITARI!$C:$C,A396))</f>
        <v/>
      </c>
      <c r="G396" s="473"/>
    </row>
    <row r="397" customFormat="false" ht="14.25" hidden="false" customHeight="true" outlineLevel="0" collapsed="false">
      <c r="A397" s="470" t="str">
        <f aca="false">IF(COUNTIF(DITARI!$C$6:C399,DITARI!C399)=1,DITARI!C399,"")</f>
        <v/>
      </c>
      <c r="B397" s="100" t="str">
        <f aca="false">IF(A397="","",IF(ABS(SUMIF(DITARI!$C:$C,A397,DITARI!$F:$F)-SUMIF(DITARI!$C:$C,A397,DITARI!$G:$G))&lt;0.005,"OK","ERROR"))</f>
        <v/>
      </c>
      <c r="C397" s="471" t="str">
        <f aca="false">IF(A397="","",SUMIF(DITARI!$C:$C,A397,DITARI!$F:$F))</f>
        <v/>
      </c>
      <c r="D397" s="471" t="str">
        <f aca="false">IF(A397="","",SUMIF(DITARI!$C:$C,A397,DITARI!$G:$G))</f>
        <v/>
      </c>
      <c r="E397" s="472" t="str">
        <f aca="false">IF(A397="","",C397-D397)</f>
        <v/>
      </c>
      <c r="F397" s="100" t="str">
        <f aca="false">IF(A397="","",COUNTIF(DITARI!$C:$C,A397))</f>
        <v/>
      </c>
      <c r="G397" s="473"/>
    </row>
    <row r="398" customFormat="false" ht="14.25" hidden="false" customHeight="true" outlineLevel="0" collapsed="false">
      <c r="A398" s="470" t="str">
        <f aca="false">IF(COUNTIF(DITARI!$C$6:C400,DITARI!C400)=1,DITARI!C400,"")</f>
        <v/>
      </c>
      <c r="B398" s="100" t="str">
        <f aca="false">IF(A398="","",IF(ABS(SUMIF(DITARI!$C:$C,A398,DITARI!$F:$F)-SUMIF(DITARI!$C:$C,A398,DITARI!$G:$G))&lt;0.005,"OK","ERROR"))</f>
        <v/>
      </c>
      <c r="C398" s="471" t="str">
        <f aca="false">IF(A398="","",SUMIF(DITARI!$C:$C,A398,DITARI!$F:$F))</f>
        <v/>
      </c>
      <c r="D398" s="471" t="str">
        <f aca="false">IF(A398="","",SUMIF(DITARI!$C:$C,A398,DITARI!$G:$G))</f>
        <v/>
      </c>
      <c r="E398" s="472" t="str">
        <f aca="false">IF(A398="","",C398-D398)</f>
        <v/>
      </c>
      <c r="F398" s="100" t="str">
        <f aca="false">IF(A398="","",COUNTIF(DITARI!$C:$C,A398))</f>
        <v/>
      </c>
      <c r="G398" s="473"/>
    </row>
    <row r="399" customFormat="false" ht="14.25" hidden="false" customHeight="true" outlineLevel="0" collapsed="false">
      <c r="A399" s="470" t="str">
        <f aca="false">IF(COUNTIF(DITARI!$C$6:C401,DITARI!C401)=1,DITARI!C401,"")</f>
        <v/>
      </c>
      <c r="B399" s="100" t="str">
        <f aca="false">IF(A399="","",IF(ABS(SUMIF(DITARI!$C:$C,A399,DITARI!$F:$F)-SUMIF(DITARI!$C:$C,A399,DITARI!$G:$G))&lt;0.005,"OK","ERROR"))</f>
        <v/>
      </c>
      <c r="C399" s="471" t="str">
        <f aca="false">IF(A399="","",SUMIF(DITARI!$C:$C,A399,DITARI!$F:$F))</f>
        <v/>
      </c>
      <c r="D399" s="471" t="str">
        <f aca="false">IF(A399="","",SUMIF(DITARI!$C:$C,A399,DITARI!$G:$G))</f>
        <v/>
      </c>
      <c r="E399" s="472" t="str">
        <f aca="false">IF(A399="","",C399-D399)</f>
        <v/>
      </c>
      <c r="F399" s="100" t="str">
        <f aca="false">IF(A399="","",COUNTIF(DITARI!$C:$C,A399))</f>
        <v/>
      </c>
      <c r="G399" s="473"/>
    </row>
    <row r="400" customFormat="false" ht="14.25" hidden="false" customHeight="true" outlineLevel="0" collapsed="false">
      <c r="A400" s="470" t="str">
        <f aca="false">IF(COUNTIF(DITARI!$C$6:C402,DITARI!C402)=1,DITARI!C402,"")</f>
        <v/>
      </c>
      <c r="B400" s="100" t="str">
        <f aca="false">IF(A400="","",IF(ABS(SUMIF(DITARI!$C:$C,A400,DITARI!$F:$F)-SUMIF(DITARI!$C:$C,A400,DITARI!$G:$G))&lt;0.005,"OK","ERROR"))</f>
        <v/>
      </c>
      <c r="C400" s="471" t="str">
        <f aca="false">IF(A400="","",SUMIF(DITARI!$C:$C,A400,DITARI!$F:$F))</f>
        <v/>
      </c>
      <c r="D400" s="471" t="str">
        <f aca="false">IF(A400="","",SUMIF(DITARI!$C:$C,A400,DITARI!$G:$G))</f>
        <v/>
      </c>
      <c r="E400" s="472" t="str">
        <f aca="false">IF(A400="","",C400-D400)</f>
        <v/>
      </c>
      <c r="F400" s="100" t="str">
        <f aca="false">IF(A400="","",COUNTIF(DITARI!$C:$C,A400))</f>
        <v/>
      </c>
      <c r="G400" s="473"/>
    </row>
    <row r="401" customFormat="false" ht="14.25" hidden="false" customHeight="true" outlineLevel="0" collapsed="false">
      <c r="A401" s="470" t="str">
        <f aca="false">IF(COUNTIF(DITARI!$C$6:C403,DITARI!C403)=1,DITARI!C403,"")</f>
        <v/>
      </c>
      <c r="B401" s="100" t="str">
        <f aca="false">IF(A401="","",IF(ABS(SUMIF(DITARI!$C:$C,A401,DITARI!$F:$F)-SUMIF(DITARI!$C:$C,A401,DITARI!$G:$G))&lt;0.005,"OK","ERROR"))</f>
        <v/>
      </c>
      <c r="C401" s="471" t="str">
        <f aca="false">IF(A401="","",SUMIF(DITARI!$C:$C,A401,DITARI!$F:$F))</f>
        <v/>
      </c>
      <c r="D401" s="471" t="str">
        <f aca="false">IF(A401="","",SUMIF(DITARI!$C:$C,A401,DITARI!$G:$G))</f>
        <v/>
      </c>
      <c r="E401" s="472" t="str">
        <f aca="false">IF(A401="","",C401-D401)</f>
        <v/>
      </c>
      <c r="F401" s="100" t="str">
        <f aca="false">IF(A401="","",COUNTIF(DITARI!$C:$C,A401))</f>
        <v/>
      </c>
      <c r="G401" s="473"/>
    </row>
    <row r="402" customFormat="false" ht="14.25" hidden="false" customHeight="true" outlineLevel="0" collapsed="false">
      <c r="A402" s="470" t="str">
        <f aca="false">IF(COUNTIF(DITARI!$C$6:C404,DITARI!C404)=1,DITARI!C404,"")</f>
        <v/>
      </c>
      <c r="B402" s="100" t="str">
        <f aca="false">IF(A402="","",IF(ABS(SUMIF(DITARI!$C:$C,A402,DITARI!$F:$F)-SUMIF(DITARI!$C:$C,A402,DITARI!$G:$G))&lt;0.005,"OK","ERROR"))</f>
        <v/>
      </c>
      <c r="C402" s="471" t="str">
        <f aca="false">IF(A402="","",SUMIF(DITARI!$C:$C,A402,DITARI!$F:$F))</f>
        <v/>
      </c>
      <c r="D402" s="471" t="str">
        <f aca="false">IF(A402="","",SUMIF(DITARI!$C:$C,A402,DITARI!$G:$G))</f>
        <v/>
      </c>
      <c r="E402" s="472" t="str">
        <f aca="false">IF(A402="","",C402-D402)</f>
        <v/>
      </c>
      <c r="F402" s="100" t="str">
        <f aca="false">IF(A402="","",COUNTIF(DITARI!$C:$C,A402))</f>
        <v/>
      </c>
      <c r="G402" s="473"/>
    </row>
    <row r="403" customFormat="false" ht="14.25" hidden="false" customHeight="true" outlineLevel="0" collapsed="false">
      <c r="A403" s="470" t="str">
        <f aca="false">IF(COUNTIF(DITARI!$C$6:C405,DITARI!C405)=1,DITARI!C405,"")</f>
        <v/>
      </c>
      <c r="B403" s="100" t="str">
        <f aca="false">IF(A403="","",IF(ABS(SUMIF(DITARI!$C:$C,A403,DITARI!$F:$F)-SUMIF(DITARI!$C:$C,A403,DITARI!$G:$G))&lt;0.005,"OK","ERROR"))</f>
        <v/>
      </c>
      <c r="C403" s="471" t="str">
        <f aca="false">IF(A403="","",SUMIF(DITARI!$C:$C,A403,DITARI!$F:$F))</f>
        <v/>
      </c>
      <c r="D403" s="471" t="str">
        <f aca="false">IF(A403="","",SUMIF(DITARI!$C:$C,A403,DITARI!$G:$G))</f>
        <v/>
      </c>
      <c r="E403" s="472" t="str">
        <f aca="false">IF(A403="","",C403-D403)</f>
        <v/>
      </c>
      <c r="F403" s="100" t="str">
        <f aca="false">IF(A403="","",COUNTIF(DITARI!$C:$C,A403))</f>
        <v/>
      </c>
      <c r="G403" s="473"/>
    </row>
    <row r="404" customFormat="false" ht="14.25" hidden="false" customHeight="true" outlineLevel="0" collapsed="false">
      <c r="A404" s="470" t="str">
        <f aca="false">IF(COUNTIF(DITARI!$C$6:C406,DITARI!C406)=1,DITARI!C406,"")</f>
        <v/>
      </c>
      <c r="B404" s="100" t="str">
        <f aca="false">IF(A404="","",IF(ABS(SUMIF(DITARI!$C:$C,A404,DITARI!$F:$F)-SUMIF(DITARI!$C:$C,A404,DITARI!$G:$G))&lt;0.005,"OK","ERROR"))</f>
        <v/>
      </c>
      <c r="C404" s="471" t="str">
        <f aca="false">IF(A404="","",SUMIF(DITARI!$C:$C,A404,DITARI!$F:$F))</f>
        <v/>
      </c>
      <c r="D404" s="471" t="str">
        <f aca="false">IF(A404="","",SUMIF(DITARI!$C:$C,A404,DITARI!$G:$G))</f>
        <v/>
      </c>
      <c r="E404" s="472" t="str">
        <f aca="false">IF(A404="","",C404-D404)</f>
        <v/>
      </c>
      <c r="F404" s="100" t="str">
        <f aca="false">IF(A404="","",COUNTIF(DITARI!$C:$C,A404))</f>
        <v/>
      </c>
      <c r="G404" s="473"/>
    </row>
    <row r="405" customFormat="false" ht="14.25" hidden="false" customHeight="true" outlineLevel="0" collapsed="false">
      <c r="A405" s="116" t="str">
        <f aca="false">IF(COUNTIF(DITARI!$C$6:C407,DITARI!C407)=1,DITARI!C407,"")</f>
        <v/>
      </c>
      <c r="B405" s="116" t="str">
        <f aca="false">IF(A405="","",IF(ABS(SUMIF(DITARI!$C:$C,A405,DITARI!$F:$F)-SUMIF(DITARI!$C:$C,A405,DITARI!$G:$G))&lt;0.005,"OK","ERROR"))</f>
        <v/>
      </c>
      <c r="C405" s="474" t="str">
        <f aca="false">IF(A405="","",SUMIF(DITARI!$C:$C,A405,DITARI!$F:$F))</f>
        <v/>
      </c>
      <c r="D405" s="474" t="str">
        <f aca="false">IF(A405="","",SUMIF(DITARI!$C:$C,A405,DITARI!$G:$G))</f>
        <v/>
      </c>
      <c r="E405" s="474" t="str">
        <f aca="false">IF(A405="","",C405-D405)</f>
        <v/>
      </c>
      <c r="F405" s="116" t="str">
        <f aca="false">IF(A405="","",COUNTIF(DITARI!$C:$C,A405))</f>
        <v/>
      </c>
    </row>
    <row r="406" customFormat="false" ht="14.25" hidden="false" customHeight="true" outlineLevel="0" collapsed="false">
      <c r="A406" s="116" t="str">
        <f aca="false">IF(COUNTIF(DITARI!$C$6:C408,DITARI!C408)=1,DITARI!C408,"")</f>
        <v/>
      </c>
      <c r="B406" s="116" t="str">
        <f aca="false">IF(A406="","",IF(ABS(SUMIF(DITARI!$C:$C,A406,DITARI!$F:$F)-SUMIF(DITARI!$C:$C,A406,DITARI!$G:$G))&lt;0.005,"OK","ERROR"))</f>
        <v/>
      </c>
      <c r="C406" s="474" t="str">
        <f aca="false">IF(A406="","",SUMIF(DITARI!$C:$C,A406,DITARI!$F:$F))</f>
        <v/>
      </c>
      <c r="D406" s="474" t="str">
        <f aca="false">IF(A406="","",SUMIF(DITARI!$C:$C,A406,DITARI!$G:$G))</f>
        <v/>
      </c>
      <c r="E406" s="474" t="str">
        <f aca="false">IF(A406="","",C406-D406)</f>
        <v/>
      </c>
      <c r="F406" s="116" t="str">
        <f aca="false">IF(A406="","",COUNTIF(DITARI!$C:$C,A406))</f>
        <v/>
      </c>
    </row>
    <row r="407" customFormat="false" ht="14.25" hidden="false" customHeight="true" outlineLevel="0" collapsed="false">
      <c r="A407" s="116" t="str">
        <f aca="false">IF(COUNTIF(DITARI!$C$6:C409,DITARI!C409)=1,DITARI!C409,"")</f>
        <v/>
      </c>
      <c r="B407" s="116" t="str">
        <f aca="false">IF(A407="","",IF(ABS(SUMIF(DITARI!$C:$C,A407,DITARI!$F:$F)-SUMIF(DITARI!$C:$C,A407,DITARI!$G:$G))&lt;0.005,"OK","ERROR"))</f>
        <v/>
      </c>
      <c r="C407" s="474" t="str">
        <f aca="false">IF(A407="","",SUMIF(DITARI!$C:$C,A407,DITARI!$F:$F))</f>
        <v/>
      </c>
      <c r="D407" s="474" t="str">
        <f aca="false">IF(A407="","",SUMIF(DITARI!$C:$C,A407,DITARI!$G:$G))</f>
        <v/>
      </c>
      <c r="E407" s="474" t="str">
        <f aca="false">IF(A407="","",C407-D407)</f>
        <v/>
      </c>
      <c r="F407" s="116" t="str">
        <f aca="false">IF(A407="","",COUNTIF(DITARI!$C:$C,A407))</f>
        <v/>
      </c>
    </row>
    <row r="408" customFormat="false" ht="14.25" hidden="false" customHeight="true" outlineLevel="0" collapsed="false">
      <c r="A408" s="116" t="str">
        <f aca="false">IF(COUNTIF(DITARI!$C$6:C410,DITARI!C410)=1,DITARI!C410,"")</f>
        <v/>
      </c>
      <c r="B408" s="116" t="str">
        <f aca="false">IF(A408="","",IF(ABS(SUMIF(DITARI!$C:$C,A408,DITARI!$F:$F)-SUMIF(DITARI!$C:$C,A408,DITARI!$G:$G))&lt;0.005,"OK","ERROR"))</f>
        <v/>
      </c>
      <c r="C408" s="474" t="str">
        <f aca="false">IF(A408="","",SUMIF(DITARI!$C:$C,A408,DITARI!$F:$F))</f>
        <v/>
      </c>
      <c r="D408" s="474" t="str">
        <f aca="false">IF(A408="","",SUMIF(DITARI!$C:$C,A408,DITARI!$G:$G))</f>
        <v/>
      </c>
      <c r="E408" s="474" t="str">
        <f aca="false">IF(A408="","",C408-D408)</f>
        <v/>
      </c>
      <c r="F408" s="116" t="str">
        <f aca="false">IF(A408="","",COUNTIF(DITARI!$C:$C,A408))</f>
        <v/>
      </c>
    </row>
    <row r="409" customFormat="false" ht="14.25" hidden="false" customHeight="true" outlineLevel="0" collapsed="false">
      <c r="A409" s="116" t="str">
        <f aca="false">IF(COUNTIF(DITARI!$C$6:C411,DITARI!C411)=1,DITARI!C411,"")</f>
        <v/>
      </c>
      <c r="B409" s="116" t="str">
        <f aca="false">IF(A409="","",IF(ABS(SUMIF(DITARI!$C:$C,A409,DITARI!$F:$F)-SUMIF(DITARI!$C:$C,A409,DITARI!$G:$G))&lt;0.005,"OK","ERROR"))</f>
        <v/>
      </c>
      <c r="C409" s="474" t="str">
        <f aca="false">IF(A409="","",SUMIF(DITARI!$C:$C,A409,DITARI!$F:$F))</f>
        <v/>
      </c>
      <c r="D409" s="474" t="str">
        <f aca="false">IF(A409="","",SUMIF(DITARI!$C:$C,A409,DITARI!$G:$G))</f>
        <v/>
      </c>
      <c r="E409" s="474" t="str">
        <f aca="false">IF(A409="","",C409-D409)</f>
        <v/>
      </c>
      <c r="F409" s="116" t="str">
        <f aca="false">IF(A409="","",COUNTIF(DITARI!$C:$C,A409))</f>
        <v/>
      </c>
    </row>
    <row r="410" customFormat="false" ht="14.25" hidden="false" customHeight="true" outlineLevel="0" collapsed="false">
      <c r="A410" s="116" t="str">
        <f aca="false">IF(COUNTIF(DITARI!$C$6:C412,DITARI!C412)=1,DITARI!C412,"")</f>
        <v/>
      </c>
      <c r="B410" s="116" t="str">
        <f aca="false">IF(A410="","",IF(ABS(SUMIF(DITARI!$C:$C,A410,DITARI!$F:$F)-SUMIF(DITARI!$C:$C,A410,DITARI!$G:$G))&lt;0.005,"OK","ERROR"))</f>
        <v/>
      </c>
      <c r="C410" s="474" t="str">
        <f aca="false">IF(A410="","",SUMIF(DITARI!$C:$C,A410,DITARI!$F:$F))</f>
        <v/>
      </c>
      <c r="D410" s="474" t="str">
        <f aca="false">IF(A410="","",SUMIF(DITARI!$C:$C,A410,DITARI!$G:$G))</f>
        <v/>
      </c>
      <c r="E410" s="474" t="str">
        <f aca="false">IF(A410="","",C410-D410)</f>
        <v/>
      </c>
      <c r="F410" s="116" t="str">
        <f aca="false">IF(A410="","",COUNTIF(DITARI!$C:$C,A410))</f>
        <v/>
      </c>
    </row>
    <row r="411" customFormat="false" ht="14.25" hidden="false" customHeight="true" outlineLevel="0" collapsed="false">
      <c r="A411" s="116" t="str">
        <f aca="false">IF(COUNTIF(DITARI!$C$6:C413,DITARI!C413)=1,DITARI!C413,"")</f>
        <v/>
      </c>
      <c r="B411" s="116" t="str">
        <f aca="false">IF(A411="","",IF(ABS(SUMIF(DITARI!$C:$C,A411,DITARI!$F:$F)-SUMIF(DITARI!$C:$C,A411,DITARI!$G:$G))&lt;0.005,"OK","ERROR"))</f>
        <v/>
      </c>
      <c r="C411" s="474" t="str">
        <f aca="false">IF(A411="","",SUMIF(DITARI!$C:$C,A411,DITARI!$F:$F))</f>
        <v/>
      </c>
      <c r="D411" s="474" t="str">
        <f aca="false">IF(A411="","",SUMIF(DITARI!$C:$C,A411,DITARI!$G:$G))</f>
        <v/>
      </c>
      <c r="E411" s="474" t="str">
        <f aca="false">IF(A411="","",C411-D411)</f>
        <v/>
      </c>
      <c r="F411" s="116" t="str">
        <f aca="false">IF(A411="","",COUNTIF(DITARI!$C:$C,A411))</f>
        <v/>
      </c>
    </row>
    <row r="412" customFormat="false" ht="14.25" hidden="false" customHeight="true" outlineLevel="0" collapsed="false">
      <c r="A412" s="116" t="str">
        <f aca="false">IF(COUNTIF(DITARI!$C$6:C414,DITARI!C414)=1,DITARI!C414,"")</f>
        <v/>
      </c>
      <c r="B412" s="116" t="str">
        <f aca="false">IF(A412="","",IF(ABS(SUMIF(DITARI!$C:$C,A412,DITARI!$F:$F)-SUMIF(DITARI!$C:$C,A412,DITARI!$G:$G))&lt;0.005,"OK","ERROR"))</f>
        <v/>
      </c>
      <c r="C412" s="474" t="str">
        <f aca="false">IF(A412="","",SUMIF(DITARI!$C:$C,A412,DITARI!$F:$F))</f>
        <v/>
      </c>
      <c r="D412" s="474" t="str">
        <f aca="false">IF(A412="","",SUMIF(DITARI!$C:$C,A412,DITARI!$G:$G))</f>
        <v/>
      </c>
      <c r="E412" s="474" t="str">
        <f aca="false">IF(A412="","",C412-D412)</f>
        <v/>
      </c>
      <c r="F412" s="116" t="str">
        <f aca="false">IF(A412="","",COUNTIF(DITARI!$C:$C,A412))</f>
        <v/>
      </c>
    </row>
    <row r="413" customFormat="false" ht="14.25" hidden="false" customHeight="true" outlineLevel="0" collapsed="false">
      <c r="A413" s="116" t="str">
        <f aca="false">IF(COUNTIF(DITARI!$C$6:C415,DITARI!C415)=1,DITARI!C415,"")</f>
        <v/>
      </c>
      <c r="B413" s="116" t="str">
        <f aca="false">IF(A413="","",IF(ABS(SUMIF(DITARI!$C:$C,A413,DITARI!$F:$F)-SUMIF(DITARI!$C:$C,A413,DITARI!$G:$G))&lt;0.005,"OK","ERROR"))</f>
        <v/>
      </c>
      <c r="C413" s="474" t="str">
        <f aca="false">IF(A413="","",SUMIF(DITARI!$C:$C,A413,DITARI!$F:$F))</f>
        <v/>
      </c>
      <c r="D413" s="474" t="str">
        <f aca="false">IF(A413="","",SUMIF(DITARI!$C:$C,A413,DITARI!$G:$G))</f>
        <v/>
      </c>
      <c r="E413" s="474" t="str">
        <f aca="false">IF(A413="","",C413-D413)</f>
        <v/>
      </c>
      <c r="F413" s="116" t="str">
        <f aca="false">IF(A413="","",COUNTIF(DITARI!$C:$C,A413))</f>
        <v/>
      </c>
    </row>
    <row r="414" customFormat="false" ht="14.25" hidden="false" customHeight="true" outlineLevel="0" collapsed="false">
      <c r="A414" s="116" t="str">
        <f aca="false">IF(COUNTIF(DITARI!$C$6:C416,DITARI!C416)=1,DITARI!C416,"")</f>
        <v/>
      </c>
      <c r="B414" s="116" t="str">
        <f aca="false">IF(A414="","",IF(ABS(SUMIF(DITARI!$C:$C,A414,DITARI!$F:$F)-SUMIF(DITARI!$C:$C,A414,DITARI!$G:$G))&lt;0.005,"OK","ERROR"))</f>
        <v/>
      </c>
      <c r="C414" s="474" t="str">
        <f aca="false">IF(A414="","",SUMIF(DITARI!$C:$C,A414,DITARI!$F:$F))</f>
        <v/>
      </c>
      <c r="D414" s="474" t="str">
        <f aca="false">IF(A414="","",SUMIF(DITARI!$C:$C,A414,DITARI!$G:$G))</f>
        <v/>
      </c>
      <c r="E414" s="474" t="str">
        <f aca="false">IF(A414="","",C414-D414)</f>
        <v/>
      </c>
      <c r="F414" s="116" t="str">
        <f aca="false">IF(A414="","",COUNTIF(DITARI!$C:$C,A414))</f>
        <v/>
      </c>
    </row>
    <row r="415" customFormat="false" ht="14.25" hidden="false" customHeight="true" outlineLevel="0" collapsed="false">
      <c r="A415" s="116" t="str">
        <f aca="false">IF(COUNTIF(DITARI!$C$6:C417,DITARI!C417)=1,DITARI!C417,"")</f>
        <v/>
      </c>
      <c r="B415" s="116" t="str">
        <f aca="false">IF(A415="","",IF(ABS(SUMIF(DITARI!$C:$C,A415,DITARI!$F:$F)-SUMIF(DITARI!$C:$C,A415,DITARI!$G:$G))&lt;0.005,"OK","ERROR"))</f>
        <v/>
      </c>
      <c r="C415" s="474" t="str">
        <f aca="false">IF(A415="","",SUMIF(DITARI!$C:$C,A415,DITARI!$F:$F))</f>
        <v/>
      </c>
      <c r="D415" s="474" t="str">
        <f aca="false">IF(A415="","",SUMIF(DITARI!$C:$C,A415,DITARI!$G:$G))</f>
        <v/>
      </c>
      <c r="E415" s="474" t="str">
        <f aca="false">IF(A415="","",C415-D415)</f>
        <v/>
      </c>
      <c r="F415" s="116" t="str">
        <f aca="false">IF(A415="","",COUNTIF(DITARI!$C:$C,A415))</f>
        <v/>
      </c>
    </row>
    <row r="416" customFormat="false" ht="14.25" hidden="false" customHeight="true" outlineLevel="0" collapsed="false">
      <c r="A416" s="116" t="str">
        <f aca="false">IF(COUNTIF(DITARI!$C$6:C418,DITARI!C418)=1,DITARI!C418,"")</f>
        <v/>
      </c>
      <c r="B416" s="116" t="str">
        <f aca="false">IF(A416="","",IF(ABS(SUMIF(DITARI!$C:$C,A416,DITARI!$F:$F)-SUMIF(DITARI!$C:$C,A416,DITARI!$G:$G))&lt;0.005,"OK","ERROR"))</f>
        <v/>
      </c>
      <c r="C416" s="474" t="str">
        <f aca="false">IF(A416="","",SUMIF(DITARI!$C:$C,A416,DITARI!$F:$F))</f>
        <v/>
      </c>
      <c r="D416" s="474" t="str">
        <f aca="false">IF(A416="","",SUMIF(DITARI!$C:$C,A416,DITARI!$G:$G))</f>
        <v/>
      </c>
      <c r="E416" s="474" t="str">
        <f aca="false">IF(A416="","",C416-D416)</f>
        <v/>
      </c>
      <c r="F416" s="116" t="str">
        <f aca="false">IF(A416="","",COUNTIF(DITARI!$C:$C,A416))</f>
        <v/>
      </c>
    </row>
    <row r="417" customFormat="false" ht="14.25" hidden="false" customHeight="true" outlineLevel="0" collapsed="false">
      <c r="A417" s="116" t="str">
        <f aca="false">IF(COUNTIF(DITARI!$C$6:C419,DITARI!C419)=1,DITARI!C419,"")</f>
        <v/>
      </c>
      <c r="B417" s="116" t="str">
        <f aca="false">IF(A417="","",IF(ABS(SUMIF(DITARI!$C:$C,A417,DITARI!$F:$F)-SUMIF(DITARI!$C:$C,A417,DITARI!$G:$G))&lt;0.005,"OK","ERROR"))</f>
        <v/>
      </c>
      <c r="C417" s="474" t="str">
        <f aca="false">IF(A417="","",SUMIF(DITARI!$C:$C,A417,DITARI!$F:$F))</f>
        <v/>
      </c>
      <c r="D417" s="474" t="str">
        <f aca="false">IF(A417="","",SUMIF(DITARI!$C:$C,A417,DITARI!$G:$G))</f>
        <v/>
      </c>
      <c r="E417" s="474" t="str">
        <f aca="false">IF(A417="","",C417-D417)</f>
        <v/>
      </c>
      <c r="F417" s="116" t="str">
        <f aca="false">IF(A417="","",COUNTIF(DITARI!$C:$C,A417))</f>
        <v/>
      </c>
    </row>
    <row r="418" customFormat="false" ht="14.25" hidden="false" customHeight="true" outlineLevel="0" collapsed="false">
      <c r="A418" s="116" t="str">
        <f aca="false">IF(COUNTIF(DITARI!$C$6:C420,DITARI!C420)=1,DITARI!C420,"")</f>
        <v/>
      </c>
      <c r="B418" s="116" t="str">
        <f aca="false">IF(A418="","",IF(ABS(SUMIF(DITARI!$C:$C,A418,DITARI!$F:$F)-SUMIF(DITARI!$C:$C,A418,DITARI!$G:$G))&lt;0.005,"OK","ERROR"))</f>
        <v/>
      </c>
      <c r="C418" s="474" t="str">
        <f aca="false">IF(A418="","",SUMIF(DITARI!$C:$C,A418,DITARI!$F:$F))</f>
        <v/>
      </c>
      <c r="D418" s="474" t="str">
        <f aca="false">IF(A418="","",SUMIF(DITARI!$C:$C,A418,DITARI!$G:$G))</f>
        <v/>
      </c>
      <c r="E418" s="474" t="str">
        <f aca="false">IF(A418="","",C418-D418)</f>
        <v/>
      </c>
      <c r="F418" s="116" t="str">
        <f aca="false">IF(A418="","",COUNTIF(DITARI!$C:$C,A418))</f>
        <v/>
      </c>
    </row>
    <row r="419" customFormat="false" ht="14.25" hidden="false" customHeight="true" outlineLevel="0" collapsed="false">
      <c r="A419" s="116" t="str">
        <f aca="false">IF(COUNTIF(DITARI!$C$6:C421,DITARI!C421)=1,DITARI!C421,"")</f>
        <v/>
      </c>
      <c r="B419" s="116" t="str">
        <f aca="false">IF(A419="","",IF(ABS(SUMIF(DITARI!$C:$C,A419,DITARI!$F:$F)-SUMIF(DITARI!$C:$C,A419,DITARI!$G:$G))&lt;0.005,"OK","ERROR"))</f>
        <v/>
      </c>
      <c r="C419" s="474" t="str">
        <f aca="false">IF(A419="","",SUMIF(DITARI!$C:$C,A419,DITARI!$F:$F))</f>
        <v/>
      </c>
      <c r="D419" s="474" t="str">
        <f aca="false">IF(A419="","",SUMIF(DITARI!$C:$C,A419,DITARI!$G:$G))</f>
        <v/>
      </c>
      <c r="E419" s="474" t="str">
        <f aca="false">IF(A419="","",C419-D419)</f>
        <v/>
      </c>
      <c r="F419" s="116" t="str">
        <f aca="false">IF(A419="","",COUNTIF(DITARI!$C:$C,A419))</f>
        <v/>
      </c>
    </row>
    <row r="420" customFormat="false" ht="14.25" hidden="false" customHeight="true" outlineLevel="0" collapsed="false">
      <c r="A420" s="116" t="str">
        <f aca="false">IF(COUNTIF(DITARI!$C$6:C422,DITARI!C422)=1,DITARI!C422,"")</f>
        <v/>
      </c>
      <c r="B420" s="116" t="str">
        <f aca="false">IF(A420="","",IF(ABS(SUMIF(DITARI!$C:$C,A420,DITARI!$F:$F)-SUMIF(DITARI!$C:$C,A420,DITARI!$G:$G))&lt;0.005,"OK","ERROR"))</f>
        <v/>
      </c>
      <c r="C420" s="474" t="str">
        <f aca="false">IF(A420="","",SUMIF(DITARI!$C:$C,A420,DITARI!$F:$F))</f>
        <v/>
      </c>
      <c r="D420" s="474" t="str">
        <f aca="false">IF(A420="","",SUMIF(DITARI!$C:$C,A420,DITARI!$G:$G))</f>
        <v/>
      </c>
      <c r="E420" s="474" t="str">
        <f aca="false">IF(A420="","",C420-D420)</f>
        <v/>
      </c>
      <c r="F420" s="116" t="str">
        <f aca="false">IF(A420="","",COUNTIF(DITARI!$C:$C,A420))</f>
        <v/>
      </c>
    </row>
    <row r="421" customFormat="false" ht="14.25" hidden="false" customHeight="true" outlineLevel="0" collapsed="false">
      <c r="A421" s="116" t="str">
        <f aca="false">IF(COUNTIF(DITARI!$C$6:C423,DITARI!C423)=1,DITARI!C423,"")</f>
        <v/>
      </c>
      <c r="B421" s="116" t="str">
        <f aca="false">IF(A421="","",IF(ABS(SUMIF(DITARI!$C:$C,A421,DITARI!$F:$F)-SUMIF(DITARI!$C:$C,A421,DITARI!$G:$G))&lt;0.005,"OK","ERROR"))</f>
        <v/>
      </c>
      <c r="C421" s="474" t="str">
        <f aca="false">IF(A421="","",SUMIF(DITARI!$C:$C,A421,DITARI!$F:$F))</f>
        <v/>
      </c>
      <c r="D421" s="474" t="str">
        <f aca="false">IF(A421="","",SUMIF(DITARI!$C:$C,A421,DITARI!$G:$G))</f>
        <v/>
      </c>
      <c r="E421" s="474" t="str">
        <f aca="false">IF(A421="","",C421-D421)</f>
        <v/>
      </c>
      <c r="F421" s="116" t="str">
        <f aca="false">IF(A421="","",COUNTIF(DITARI!$C:$C,A421))</f>
        <v/>
      </c>
    </row>
    <row r="422" customFormat="false" ht="14.25" hidden="false" customHeight="true" outlineLevel="0" collapsed="false">
      <c r="A422" s="116" t="str">
        <f aca="false">IF(COUNTIF(DITARI!$C$6:C424,DITARI!C424)=1,DITARI!C424,"")</f>
        <v/>
      </c>
      <c r="B422" s="116" t="str">
        <f aca="false">IF(A422="","",IF(ABS(SUMIF(DITARI!$C:$C,A422,DITARI!$F:$F)-SUMIF(DITARI!$C:$C,A422,DITARI!$G:$G))&lt;0.005,"OK","ERROR"))</f>
        <v/>
      </c>
      <c r="C422" s="474" t="str">
        <f aca="false">IF(A422="","",SUMIF(DITARI!$C:$C,A422,DITARI!$F:$F))</f>
        <v/>
      </c>
      <c r="D422" s="474" t="str">
        <f aca="false">IF(A422="","",SUMIF(DITARI!$C:$C,A422,DITARI!$G:$G))</f>
        <v/>
      </c>
      <c r="E422" s="474" t="str">
        <f aca="false">IF(A422="","",C422-D422)</f>
        <v/>
      </c>
      <c r="F422" s="116" t="str">
        <f aca="false">IF(A422="","",COUNTIF(DITARI!$C:$C,A422))</f>
        <v/>
      </c>
    </row>
    <row r="423" customFormat="false" ht="14.25" hidden="false" customHeight="true" outlineLevel="0" collapsed="false">
      <c r="A423" s="116" t="str">
        <f aca="false">IF(COUNTIF(DITARI!$C$6:C425,DITARI!C425)=1,DITARI!C425,"")</f>
        <v/>
      </c>
      <c r="B423" s="116" t="str">
        <f aca="false">IF(A423="","",IF(ABS(SUMIF(DITARI!$C:$C,A423,DITARI!$F:$F)-SUMIF(DITARI!$C:$C,A423,DITARI!$G:$G))&lt;0.005,"OK","ERROR"))</f>
        <v/>
      </c>
      <c r="C423" s="474" t="str">
        <f aca="false">IF(A423="","",SUMIF(DITARI!$C:$C,A423,DITARI!$F:$F))</f>
        <v/>
      </c>
      <c r="D423" s="474" t="str">
        <f aca="false">IF(A423="","",SUMIF(DITARI!$C:$C,A423,DITARI!$G:$G))</f>
        <v/>
      </c>
      <c r="E423" s="474" t="str">
        <f aca="false">IF(A423="","",C423-D423)</f>
        <v/>
      </c>
      <c r="F423" s="116" t="str">
        <f aca="false">IF(A423="","",COUNTIF(DITARI!$C:$C,A423))</f>
        <v/>
      </c>
    </row>
    <row r="424" customFormat="false" ht="14.25" hidden="false" customHeight="true" outlineLevel="0" collapsed="false">
      <c r="A424" s="116" t="str">
        <f aca="false">IF(COUNTIF(DITARI!$C$6:C426,DITARI!C426)=1,DITARI!C426,"")</f>
        <v/>
      </c>
      <c r="B424" s="116" t="str">
        <f aca="false">IF(A424="","",IF(ABS(SUMIF(DITARI!$C:$C,A424,DITARI!$F:$F)-SUMIF(DITARI!$C:$C,A424,DITARI!$G:$G))&lt;0.005,"OK","ERROR"))</f>
        <v/>
      </c>
      <c r="C424" s="474" t="str">
        <f aca="false">IF(A424="","",SUMIF(DITARI!$C:$C,A424,DITARI!$F:$F))</f>
        <v/>
      </c>
      <c r="D424" s="474" t="str">
        <f aca="false">IF(A424="","",SUMIF(DITARI!$C:$C,A424,DITARI!$G:$G))</f>
        <v/>
      </c>
      <c r="E424" s="474" t="str">
        <f aca="false">IF(A424="","",C424-D424)</f>
        <v/>
      </c>
      <c r="F424" s="116" t="str">
        <f aca="false">IF(A424="","",COUNTIF(DITARI!$C:$C,A424))</f>
        <v/>
      </c>
    </row>
    <row r="425" customFormat="false" ht="14.25" hidden="false" customHeight="true" outlineLevel="0" collapsed="false">
      <c r="A425" s="116" t="str">
        <f aca="false">IF(COUNTIF(DITARI!$C$6:C427,DITARI!C427)=1,DITARI!C427,"")</f>
        <v/>
      </c>
      <c r="B425" s="116" t="str">
        <f aca="false">IF(A425="","",IF(ABS(SUMIF(DITARI!$C:$C,A425,DITARI!$F:$F)-SUMIF(DITARI!$C:$C,A425,DITARI!$G:$G))&lt;0.005,"OK","ERROR"))</f>
        <v/>
      </c>
      <c r="C425" s="474" t="str">
        <f aca="false">IF(A425="","",SUMIF(DITARI!$C:$C,A425,DITARI!$F:$F))</f>
        <v/>
      </c>
      <c r="D425" s="474" t="str">
        <f aca="false">IF(A425="","",SUMIF(DITARI!$C:$C,A425,DITARI!$G:$G))</f>
        <v/>
      </c>
      <c r="E425" s="474" t="str">
        <f aca="false">IF(A425="","",C425-D425)</f>
        <v/>
      </c>
      <c r="F425" s="116" t="str">
        <f aca="false">IF(A425="","",COUNTIF(DITARI!$C:$C,A425))</f>
        <v/>
      </c>
    </row>
    <row r="426" customFormat="false" ht="14.25" hidden="false" customHeight="true" outlineLevel="0" collapsed="false">
      <c r="A426" s="116" t="str">
        <f aca="false">IF(COUNTIF(DITARI!$C$6:C428,DITARI!C428)=1,DITARI!C428,"")</f>
        <v/>
      </c>
      <c r="B426" s="116" t="str">
        <f aca="false">IF(A426="","",IF(ABS(SUMIF(DITARI!$C:$C,A426,DITARI!$F:$F)-SUMIF(DITARI!$C:$C,A426,DITARI!$G:$G))&lt;0.005,"OK","ERROR"))</f>
        <v/>
      </c>
      <c r="C426" s="474" t="str">
        <f aca="false">IF(A426="","",SUMIF(DITARI!$C:$C,A426,DITARI!$F:$F))</f>
        <v/>
      </c>
      <c r="D426" s="474" t="str">
        <f aca="false">IF(A426="","",SUMIF(DITARI!$C:$C,A426,DITARI!$G:$G))</f>
        <v/>
      </c>
      <c r="E426" s="474" t="str">
        <f aca="false">IF(A426="","",C426-D426)</f>
        <v/>
      </c>
      <c r="F426" s="116" t="str">
        <f aca="false">IF(A426="","",COUNTIF(DITARI!$C:$C,A426))</f>
        <v/>
      </c>
    </row>
    <row r="427" customFormat="false" ht="14.25" hidden="false" customHeight="true" outlineLevel="0" collapsed="false">
      <c r="A427" s="116" t="str">
        <f aca="false">IF(COUNTIF(DITARI!$C$6:C429,DITARI!C429)=1,DITARI!C429,"")</f>
        <v/>
      </c>
      <c r="B427" s="116" t="str">
        <f aca="false">IF(A427="","",IF(ABS(SUMIF(DITARI!$C:$C,A427,DITARI!$F:$F)-SUMIF(DITARI!$C:$C,A427,DITARI!$G:$G))&lt;0.005,"OK","ERROR"))</f>
        <v/>
      </c>
      <c r="C427" s="474" t="str">
        <f aca="false">IF(A427="","",SUMIF(DITARI!$C:$C,A427,DITARI!$F:$F))</f>
        <v/>
      </c>
      <c r="D427" s="474" t="str">
        <f aca="false">IF(A427="","",SUMIF(DITARI!$C:$C,A427,DITARI!$G:$G))</f>
        <v/>
      </c>
      <c r="E427" s="474" t="str">
        <f aca="false">IF(A427="","",C427-D427)</f>
        <v/>
      </c>
      <c r="F427" s="116" t="str">
        <f aca="false">IF(A427="","",COUNTIF(DITARI!$C:$C,A427))</f>
        <v/>
      </c>
    </row>
    <row r="428" customFormat="false" ht="14.25" hidden="false" customHeight="true" outlineLevel="0" collapsed="false">
      <c r="A428" s="116" t="str">
        <f aca="false">IF(COUNTIF(DITARI!$C$6:C430,DITARI!C430)=1,DITARI!C430,"")</f>
        <v/>
      </c>
      <c r="B428" s="116" t="str">
        <f aca="false">IF(A428="","",IF(ABS(SUMIF(DITARI!$C:$C,A428,DITARI!$F:$F)-SUMIF(DITARI!$C:$C,A428,DITARI!$G:$G))&lt;0.005,"OK","ERROR"))</f>
        <v/>
      </c>
      <c r="C428" s="474" t="str">
        <f aca="false">IF(A428="","",SUMIF(DITARI!$C:$C,A428,DITARI!$F:$F))</f>
        <v/>
      </c>
      <c r="D428" s="474" t="str">
        <f aca="false">IF(A428="","",SUMIF(DITARI!$C:$C,A428,DITARI!$G:$G))</f>
        <v/>
      </c>
      <c r="E428" s="474" t="str">
        <f aca="false">IF(A428="","",C428-D428)</f>
        <v/>
      </c>
      <c r="F428" s="116" t="str">
        <f aca="false">IF(A428="","",COUNTIF(DITARI!$C:$C,A428))</f>
        <v/>
      </c>
    </row>
    <row r="429" customFormat="false" ht="14.25" hidden="false" customHeight="true" outlineLevel="0" collapsed="false">
      <c r="A429" s="116" t="str">
        <f aca="false">IF(COUNTIF(DITARI!$C$6:C431,DITARI!C431)=1,DITARI!C431,"")</f>
        <v/>
      </c>
      <c r="B429" s="116" t="str">
        <f aca="false">IF(A429="","",IF(ABS(SUMIF(DITARI!$C:$C,A429,DITARI!$F:$F)-SUMIF(DITARI!$C:$C,A429,DITARI!$G:$G))&lt;0.005,"OK","ERROR"))</f>
        <v/>
      </c>
      <c r="C429" s="474" t="str">
        <f aca="false">IF(A429="","",SUMIF(DITARI!$C:$C,A429,DITARI!$F:$F))</f>
        <v/>
      </c>
      <c r="D429" s="474" t="str">
        <f aca="false">IF(A429="","",SUMIF(DITARI!$C:$C,A429,DITARI!$G:$G))</f>
        <v/>
      </c>
      <c r="E429" s="474" t="str">
        <f aca="false">IF(A429="","",C429-D429)</f>
        <v/>
      </c>
      <c r="F429" s="116" t="str">
        <f aca="false">IF(A429="","",COUNTIF(DITARI!$C:$C,A429))</f>
        <v/>
      </c>
    </row>
    <row r="430" customFormat="false" ht="14.25" hidden="false" customHeight="true" outlineLevel="0" collapsed="false">
      <c r="A430" s="116" t="str">
        <f aca="false">IF(COUNTIF(DITARI!$C$6:C432,DITARI!C432)=1,DITARI!C432,"")</f>
        <v/>
      </c>
      <c r="B430" s="116" t="str">
        <f aca="false">IF(A430="","",IF(ABS(SUMIF(DITARI!$C:$C,A430,DITARI!$F:$F)-SUMIF(DITARI!$C:$C,A430,DITARI!$G:$G))&lt;0.005,"OK","ERROR"))</f>
        <v/>
      </c>
      <c r="C430" s="474" t="str">
        <f aca="false">IF(A430="","",SUMIF(DITARI!$C:$C,A430,DITARI!$F:$F))</f>
        <v/>
      </c>
      <c r="D430" s="474" t="str">
        <f aca="false">IF(A430="","",SUMIF(DITARI!$C:$C,A430,DITARI!$G:$G))</f>
        <v/>
      </c>
      <c r="E430" s="474" t="str">
        <f aca="false">IF(A430="","",C430-D430)</f>
        <v/>
      </c>
      <c r="F430" s="116" t="str">
        <f aca="false">IF(A430="","",COUNTIF(DITARI!$C:$C,A430))</f>
        <v/>
      </c>
    </row>
    <row r="431" customFormat="false" ht="14.25" hidden="false" customHeight="true" outlineLevel="0" collapsed="false">
      <c r="A431" s="116" t="str">
        <f aca="false">IF(COUNTIF(DITARI!$C$6:C433,DITARI!C433)=1,DITARI!C433,"")</f>
        <v/>
      </c>
      <c r="B431" s="116" t="str">
        <f aca="false">IF(A431="","",IF(ABS(SUMIF(DITARI!$C:$C,A431,DITARI!$F:$F)-SUMIF(DITARI!$C:$C,A431,DITARI!$G:$G))&lt;0.005,"OK","ERROR"))</f>
        <v/>
      </c>
      <c r="C431" s="474" t="str">
        <f aca="false">IF(A431="","",SUMIF(DITARI!$C:$C,A431,DITARI!$F:$F))</f>
        <v/>
      </c>
      <c r="D431" s="474" t="str">
        <f aca="false">IF(A431="","",SUMIF(DITARI!$C:$C,A431,DITARI!$G:$G))</f>
        <v/>
      </c>
      <c r="E431" s="474" t="str">
        <f aca="false">IF(A431="","",C431-D431)</f>
        <v/>
      </c>
      <c r="F431" s="116" t="str">
        <f aca="false">IF(A431="","",COUNTIF(DITARI!$C:$C,A431))</f>
        <v/>
      </c>
    </row>
    <row r="432" customFormat="false" ht="14.25" hidden="false" customHeight="true" outlineLevel="0" collapsed="false">
      <c r="A432" s="116" t="str">
        <f aca="false">IF(COUNTIF(DITARI!$C$6:C434,DITARI!C434)=1,DITARI!C434,"")</f>
        <v/>
      </c>
      <c r="B432" s="116" t="str">
        <f aca="false">IF(A432="","",IF(ABS(SUMIF(DITARI!$C:$C,A432,DITARI!$F:$F)-SUMIF(DITARI!$C:$C,A432,DITARI!$G:$G))&lt;0.005,"OK","ERROR"))</f>
        <v/>
      </c>
      <c r="C432" s="474" t="str">
        <f aca="false">IF(A432="","",SUMIF(DITARI!$C:$C,A432,DITARI!$F:$F))</f>
        <v/>
      </c>
      <c r="D432" s="474" t="str">
        <f aca="false">IF(A432="","",SUMIF(DITARI!$C:$C,A432,DITARI!$G:$G))</f>
        <v/>
      </c>
      <c r="E432" s="474" t="str">
        <f aca="false">IF(A432="","",C432-D432)</f>
        <v/>
      </c>
      <c r="F432" s="116" t="str">
        <f aca="false">IF(A432="","",COUNTIF(DITARI!$C:$C,A432))</f>
        <v/>
      </c>
    </row>
    <row r="433" customFormat="false" ht="14.25" hidden="false" customHeight="true" outlineLevel="0" collapsed="false">
      <c r="A433" s="116" t="str">
        <f aca="false">IF(COUNTIF(DITARI!$C$6:C435,DITARI!C435)=1,DITARI!C435,"")</f>
        <v/>
      </c>
      <c r="B433" s="116" t="str">
        <f aca="false">IF(A433="","",IF(ABS(SUMIF(DITARI!$C:$C,A433,DITARI!$F:$F)-SUMIF(DITARI!$C:$C,A433,DITARI!$G:$G))&lt;0.005,"OK","ERROR"))</f>
        <v/>
      </c>
      <c r="C433" s="474" t="str">
        <f aca="false">IF(A433="","",SUMIF(DITARI!$C:$C,A433,DITARI!$F:$F))</f>
        <v/>
      </c>
      <c r="D433" s="474" t="str">
        <f aca="false">IF(A433="","",SUMIF(DITARI!$C:$C,A433,DITARI!$G:$G))</f>
        <v/>
      </c>
      <c r="E433" s="474" t="str">
        <f aca="false">IF(A433="","",C433-D433)</f>
        <v/>
      </c>
      <c r="F433" s="116" t="str">
        <f aca="false">IF(A433="","",COUNTIF(DITARI!$C:$C,A433))</f>
        <v/>
      </c>
    </row>
    <row r="434" customFormat="false" ht="14.25" hidden="false" customHeight="true" outlineLevel="0" collapsed="false">
      <c r="A434" s="116" t="str">
        <f aca="false">IF(COUNTIF(DITARI!$C$6:C436,DITARI!C436)=1,DITARI!C436,"")</f>
        <v/>
      </c>
      <c r="B434" s="116" t="str">
        <f aca="false">IF(A434="","",IF(ABS(SUMIF(DITARI!$C:$C,A434,DITARI!$F:$F)-SUMIF(DITARI!$C:$C,A434,DITARI!$G:$G))&lt;0.005,"OK","ERROR"))</f>
        <v/>
      </c>
      <c r="C434" s="474" t="str">
        <f aca="false">IF(A434="","",SUMIF(DITARI!$C:$C,A434,DITARI!$F:$F))</f>
        <v/>
      </c>
      <c r="D434" s="474" t="str">
        <f aca="false">IF(A434="","",SUMIF(DITARI!$C:$C,A434,DITARI!$G:$G))</f>
        <v/>
      </c>
      <c r="E434" s="474" t="str">
        <f aca="false">IF(A434="","",C434-D434)</f>
        <v/>
      </c>
      <c r="F434" s="116" t="str">
        <f aca="false">IF(A434="","",COUNTIF(DITARI!$C:$C,A434))</f>
        <v/>
      </c>
    </row>
    <row r="435" customFormat="false" ht="14.25" hidden="false" customHeight="true" outlineLevel="0" collapsed="false">
      <c r="A435" s="116" t="str">
        <f aca="false">IF(COUNTIF(DITARI!$C$6:C437,DITARI!C437)=1,DITARI!C437,"")</f>
        <v/>
      </c>
      <c r="B435" s="116" t="str">
        <f aca="false">IF(A435="","",IF(ABS(SUMIF(DITARI!$C:$C,A435,DITARI!$F:$F)-SUMIF(DITARI!$C:$C,A435,DITARI!$G:$G))&lt;0.005,"OK","ERROR"))</f>
        <v/>
      </c>
      <c r="C435" s="474" t="str">
        <f aca="false">IF(A435="","",SUMIF(DITARI!$C:$C,A435,DITARI!$F:$F))</f>
        <v/>
      </c>
      <c r="D435" s="474" t="str">
        <f aca="false">IF(A435="","",SUMIF(DITARI!$C:$C,A435,DITARI!$G:$G))</f>
        <v/>
      </c>
      <c r="E435" s="474" t="str">
        <f aca="false">IF(A435="","",C435-D435)</f>
        <v/>
      </c>
      <c r="F435" s="116" t="str">
        <f aca="false">IF(A435="","",COUNTIF(DITARI!$C:$C,A435))</f>
        <v/>
      </c>
    </row>
    <row r="436" customFormat="false" ht="14.25" hidden="false" customHeight="true" outlineLevel="0" collapsed="false">
      <c r="A436" s="116" t="str">
        <f aca="false">IF(COUNTIF(DITARI!$C$6:C438,DITARI!C438)=1,DITARI!C438,"")</f>
        <v/>
      </c>
      <c r="B436" s="116" t="str">
        <f aca="false">IF(A436="","",IF(ABS(SUMIF(DITARI!$C:$C,A436,DITARI!$F:$F)-SUMIF(DITARI!$C:$C,A436,DITARI!$G:$G))&lt;0.005,"OK","ERROR"))</f>
        <v/>
      </c>
      <c r="C436" s="474" t="str">
        <f aca="false">IF(A436="","",SUMIF(DITARI!$C:$C,A436,DITARI!$F:$F))</f>
        <v/>
      </c>
      <c r="D436" s="474" t="str">
        <f aca="false">IF(A436="","",SUMIF(DITARI!$C:$C,A436,DITARI!$G:$G))</f>
        <v/>
      </c>
      <c r="E436" s="474" t="str">
        <f aca="false">IF(A436="","",C436-D436)</f>
        <v/>
      </c>
      <c r="F436" s="116" t="str">
        <f aca="false">IF(A436="","",COUNTIF(DITARI!$C:$C,A436))</f>
        <v/>
      </c>
    </row>
    <row r="437" customFormat="false" ht="14.25" hidden="false" customHeight="true" outlineLevel="0" collapsed="false">
      <c r="A437" s="116" t="str">
        <f aca="false">IF(COUNTIF(DITARI!$C$6:C439,DITARI!C439)=1,DITARI!C439,"")</f>
        <v/>
      </c>
      <c r="B437" s="116" t="str">
        <f aca="false">IF(A437="","",IF(ABS(SUMIF(DITARI!$C:$C,A437,DITARI!$F:$F)-SUMIF(DITARI!$C:$C,A437,DITARI!$G:$G))&lt;0.005,"OK","ERROR"))</f>
        <v/>
      </c>
      <c r="C437" s="474" t="str">
        <f aca="false">IF(A437="","",SUMIF(DITARI!$C:$C,A437,DITARI!$F:$F))</f>
        <v/>
      </c>
      <c r="D437" s="474" t="str">
        <f aca="false">IF(A437="","",SUMIF(DITARI!$C:$C,A437,DITARI!$G:$G))</f>
        <v/>
      </c>
      <c r="E437" s="474" t="str">
        <f aca="false">IF(A437="","",C437-D437)</f>
        <v/>
      </c>
      <c r="F437" s="116" t="str">
        <f aca="false">IF(A437="","",COUNTIF(DITARI!$C:$C,A437))</f>
        <v/>
      </c>
    </row>
    <row r="438" customFormat="false" ht="14.25" hidden="false" customHeight="true" outlineLevel="0" collapsed="false">
      <c r="A438" s="116" t="str">
        <f aca="false">IF(COUNTIF(DITARI!$C$6:C440,DITARI!C440)=1,DITARI!C440,"")</f>
        <v/>
      </c>
      <c r="B438" s="116" t="str">
        <f aca="false">IF(A438="","",IF(ABS(SUMIF(DITARI!$C:$C,A438,DITARI!$F:$F)-SUMIF(DITARI!$C:$C,A438,DITARI!$G:$G))&lt;0.005,"OK","ERROR"))</f>
        <v/>
      </c>
      <c r="C438" s="474" t="str">
        <f aca="false">IF(A438="","",SUMIF(DITARI!$C:$C,A438,DITARI!$F:$F))</f>
        <v/>
      </c>
      <c r="D438" s="474" t="str">
        <f aca="false">IF(A438="","",SUMIF(DITARI!$C:$C,A438,DITARI!$G:$G))</f>
        <v/>
      </c>
      <c r="E438" s="474" t="str">
        <f aca="false">IF(A438="","",C438-D438)</f>
        <v/>
      </c>
      <c r="F438" s="116" t="str">
        <f aca="false">IF(A438="","",COUNTIF(DITARI!$C:$C,A438))</f>
        <v/>
      </c>
    </row>
    <row r="439" customFormat="false" ht="14.25" hidden="false" customHeight="true" outlineLevel="0" collapsed="false">
      <c r="A439" s="116" t="str">
        <f aca="false">IF(COUNTIF(DITARI!$C$6:C441,DITARI!C441)=1,DITARI!C441,"")</f>
        <v/>
      </c>
      <c r="B439" s="116" t="str">
        <f aca="false">IF(A439="","",IF(ABS(SUMIF(DITARI!$C:$C,A439,DITARI!$F:$F)-SUMIF(DITARI!$C:$C,A439,DITARI!$G:$G))&lt;0.005,"OK","ERROR"))</f>
        <v/>
      </c>
      <c r="C439" s="474" t="str">
        <f aca="false">IF(A439="","",SUMIF(DITARI!$C:$C,A439,DITARI!$F:$F))</f>
        <v/>
      </c>
      <c r="D439" s="474" t="str">
        <f aca="false">IF(A439="","",SUMIF(DITARI!$C:$C,A439,DITARI!$G:$G))</f>
        <v/>
      </c>
      <c r="E439" s="474" t="str">
        <f aca="false">IF(A439="","",C439-D439)</f>
        <v/>
      </c>
      <c r="F439" s="116" t="str">
        <f aca="false">IF(A439="","",COUNTIF(DITARI!$C:$C,A439))</f>
        <v/>
      </c>
    </row>
    <row r="440" customFormat="false" ht="14.25" hidden="false" customHeight="true" outlineLevel="0" collapsed="false">
      <c r="A440" s="116" t="str">
        <f aca="false">IF(COUNTIF(DITARI!$C$6:C442,DITARI!C442)=1,DITARI!C442,"")</f>
        <v/>
      </c>
      <c r="B440" s="116" t="str">
        <f aca="false">IF(A440="","",IF(ABS(SUMIF(DITARI!$C:$C,A440,DITARI!$F:$F)-SUMIF(DITARI!$C:$C,A440,DITARI!$G:$G))&lt;0.005,"OK","ERROR"))</f>
        <v/>
      </c>
      <c r="C440" s="474" t="str">
        <f aca="false">IF(A440="","",SUMIF(DITARI!$C:$C,A440,DITARI!$F:$F))</f>
        <v/>
      </c>
      <c r="D440" s="474" t="str">
        <f aca="false">IF(A440="","",SUMIF(DITARI!$C:$C,A440,DITARI!$G:$G))</f>
        <v/>
      </c>
      <c r="E440" s="474" t="str">
        <f aca="false">IF(A440="","",C440-D440)</f>
        <v/>
      </c>
      <c r="F440" s="116" t="str">
        <f aca="false">IF(A440="","",COUNTIF(DITARI!$C:$C,A440))</f>
        <v/>
      </c>
    </row>
    <row r="441" customFormat="false" ht="14.25" hidden="false" customHeight="true" outlineLevel="0" collapsed="false">
      <c r="A441" s="116" t="str">
        <f aca="false">IF(COUNTIF(DITARI!$C$6:C443,DITARI!C443)=1,DITARI!C443,"")</f>
        <v/>
      </c>
      <c r="B441" s="116" t="str">
        <f aca="false">IF(A441="","",IF(ABS(SUMIF(DITARI!$C:$C,A441,DITARI!$F:$F)-SUMIF(DITARI!$C:$C,A441,DITARI!$G:$G))&lt;0.005,"OK","ERROR"))</f>
        <v/>
      </c>
      <c r="C441" s="474" t="str">
        <f aca="false">IF(A441="","",SUMIF(DITARI!$C:$C,A441,DITARI!$F:$F))</f>
        <v/>
      </c>
      <c r="D441" s="474" t="str">
        <f aca="false">IF(A441="","",SUMIF(DITARI!$C:$C,A441,DITARI!$G:$G))</f>
        <v/>
      </c>
      <c r="E441" s="474" t="str">
        <f aca="false">IF(A441="","",C441-D441)</f>
        <v/>
      </c>
      <c r="F441" s="116" t="str">
        <f aca="false">IF(A441="","",COUNTIF(DITARI!$C:$C,A441))</f>
        <v/>
      </c>
    </row>
    <row r="442" customFormat="false" ht="14.25" hidden="false" customHeight="true" outlineLevel="0" collapsed="false">
      <c r="A442" s="116" t="str">
        <f aca="false">IF(COUNTIF(DITARI!$C$6:C444,DITARI!C444)=1,DITARI!C444,"")</f>
        <v/>
      </c>
      <c r="B442" s="116" t="str">
        <f aca="false">IF(A442="","",IF(ABS(SUMIF(DITARI!$C:$C,A442,DITARI!$F:$F)-SUMIF(DITARI!$C:$C,A442,DITARI!$G:$G))&lt;0.005,"OK","ERROR"))</f>
        <v/>
      </c>
      <c r="C442" s="474" t="str">
        <f aca="false">IF(A442="","",SUMIF(DITARI!$C:$C,A442,DITARI!$F:$F))</f>
        <v/>
      </c>
      <c r="D442" s="474" t="str">
        <f aca="false">IF(A442="","",SUMIF(DITARI!$C:$C,A442,DITARI!$G:$G))</f>
        <v/>
      </c>
      <c r="E442" s="474" t="str">
        <f aca="false">IF(A442="","",C442-D442)</f>
        <v/>
      </c>
      <c r="F442" s="116" t="str">
        <f aca="false">IF(A442="","",COUNTIF(DITARI!$C:$C,A442))</f>
        <v/>
      </c>
    </row>
    <row r="443" customFormat="false" ht="14.25" hidden="false" customHeight="true" outlineLevel="0" collapsed="false">
      <c r="A443" s="116" t="str">
        <f aca="false">IF(COUNTIF(DITARI!$C$6:C445,DITARI!C445)=1,DITARI!C445,"")</f>
        <v/>
      </c>
      <c r="B443" s="116" t="str">
        <f aca="false">IF(A443="","",IF(ABS(SUMIF(DITARI!$C:$C,A443,DITARI!$F:$F)-SUMIF(DITARI!$C:$C,A443,DITARI!$G:$G))&lt;0.005,"OK","ERROR"))</f>
        <v/>
      </c>
      <c r="C443" s="474" t="str">
        <f aca="false">IF(A443="","",SUMIF(DITARI!$C:$C,A443,DITARI!$F:$F))</f>
        <v/>
      </c>
      <c r="D443" s="474" t="str">
        <f aca="false">IF(A443="","",SUMIF(DITARI!$C:$C,A443,DITARI!$G:$G))</f>
        <v/>
      </c>
      <c r="E443" s="474" t="str">
        <f aca="false">IF(A443="","",C443-D443)</f>
        <v/>
      </c>
      <c r="F443" s="116" t="str">
        <f aca="false">IF(A443="","",COUNTIF(DITARI!$C:$C,A443))</f>
        <v/>
      </c>
    </row>
    <row r="444" customFormat="false" ht="14.25" hidden="false" customHeight="true" outlineLevel="0" collapsed="false">
      <c r="A444" s="116" t="str">
        <f aca="false">IF(COUNTIF(DITARI!$C$6:C446,DITARI!C446)=1,DITARI!C446,"")</f>
        <v/>
      </c>
      <c r="B444" s="116" t="str">
        <f aca="false">IF(A444="","",IF(ABS(SUMIF(DITARI!$C:$C,A444,DITARI!$F:$F)-SUMIF(DITARI!$C:$C,A444,DITARI!$G:$G))&lt;0.005,"OK","ERROR"))</f>
        <v/>
      </c>
      <c r="C444" s="474" t="str">
        <f aca="false">IF(A444="","",SUMIF(DITARI!$C:$C,A444,DITARI!$F:$F))</f>
        <v/>
      </c>
      <c r="D444" s="474" t="str">
        <f aca="false">IF(A444="","",SUMIF(DITARI!$C:$C,A444,DITARI!$G:$G))</f>
        <v/>
      </c>
      <c r="E444" s="474" t="str">
        <f aca="false">IF(A444="","",C444-D444)</f>
        <v/>
      </c>
      <c r="F444" s="116" t="str">
        <f aca="false">IF(A444="","",COUNTIF(DITARI!$C:$C,A444))</f>
        <v/>
      </c>
    </row>
    <row r="445" customFormat="false" ht="14.25" hidden="false" customHeight="true" outlineLevel="0" collapsed="false">
      <c r="A445" s="116" t="str">
        <f aca="false">IF(COUNTIF(DITARI!$C$6:C447,DITARI!C447)=1,DITARI!C447,"")</f>
        <v/>
      </c>
      <c r="B445" s="116" t="str">
        <f aca="false">IF(A445="","",IF(ABS(SUMIF(DITARI!$C:$C,A445,DITARI!$F:$F)-SUMIF(DITARI!$C:$C,A445,DITARI!$G:$G))&lt;0.005,"OK","ERROR"))</f>
        <v/>
      </c>
      <c r="C445" s="474" t="str">
        <f aca="false">IF(A445="","",SUMIF(DITARI!$C:$C,A445,DITARI!$F:$F))</f>
        <v/>
      </c>
      <c r="D445" s="474" t="str">
        <f aca="false">IF(A445="","",SUMIF(DITARI!$C:$C,A445,DITARI!$G:$G))</f>
        <v/>
      </c>
      <c r="E445" s="474" t="str">
        <f aca="false">IF(A445="","",C445-D445)</f>
        <v/>
      </c>
      <c r="F445" s="116" t="str">
        <f aca="false">IF(A445="","",COUNTIF(DITARI!$C:$C,A445))</f>
        <v/>
      </c>
    </row>
    <row r="446" customFormat="false" ht="14.25" hidden="false" customHeight="true" outlineLevel="0" collapsed="false">
      <c r="A446" s="116" t="str">
        <f aca="false">IF(COUNTIF(DITARI!$C$6:C448,DITARI!C448)=1,DITARI!C448,"")</f>
        <v/>
      </c>
      <c r="B446" s="116" t="str">
        <f aca="false">IF(A446="","",IF(ABS(SUMIF(DITARI!$C:$C,A446,DITARI!$F:$F)-SUMIF(DITARI!$C:$C,A446,DITARI!$G:$G))&lt;0.005,"OK","ERROR"))</f>
        <v/>
      </c>
      <c r="C446" s="474" t="str">
        <f aca="false">IF(A446="","",SUMIF(DITARI!$C:$C,A446,DITARI!$F:$F))</f>
        <v/>
      </c>
      <c r="D446" s="474" t="str">
        <f aca="false">IF(A446="","",SUMIF(DITARI!$C:$C,A446,DITARI!$G:$G))</f>
        <v/>
      </c>
      <c r="E446" s="474" t="str">
        <f aca="false">IF(A446="","",C446-D446)</f>
        <v/>
      </c>
      <c r="F446" s="116" t="str">
        <f aca="false">IF(A446="","",COUNTIF(DITARI!$C:$C,A446))</f>
        <v/>
      </c>
    </row>
    <row r="447" customFormat="false" ht="14.25" hidden="false" customHeight="true" outlineLevel="0" collapsed="false">
      <c r="A447" s="116" t="str">
        <f aca="false">IF(COUNTIF(DITARI!$C$6:C449,DITARI!C449)=1,DITARI!C449,"")</f>
        <v/>
      </c>
      <c r="B447" s="116" t="str">
        <f aca="false">IF(A447="","",IF(ABS(SUMIF(DITARI!$C:$C,A447,DITARI!$F:$F)-SUMIF(DITARI!$C:$C,A447,DITARI!$G:$G))&lt;0.005,"OK","ERROR"))</f>
        <v/>
      </c>
      <c r="C447" s="474" t="str">
        <f aca="false">IF(A447="","",SUMIF(DITARI!$C:$C,A447,DITARI!$F:$F))</f>
        <v/>
      </c>
      <c r="D447" s="474" t="str">
        <f aca="false">IF(A447="","",SUMIF(DITARI!$C:$C,A447,DITARI!$G:$G))</f>
        <v/>
      </c>
      <c r="E447" s="474" t="str">
        <f aca="false">IF(A447="","",C447-D447)</f>
        <v/>
      </c>
      <c r="F447" s="116" t="str">
        <f aca="false">IF(A447="","",COUNTIF(DITARI!$C:$C,A447))</f>
        <v/>
      </c>
    </row>
    <row r="448" customFormat="false" ht="14.25" hidden="false" customHeight="true" outlineLevel="0" collapsed="false">
      <c r="A448" s="116" t="str">
        <f aca="false">IF(COUNTIF(DITARI!$C$6:C450,DITARI!C450)=1,DITARI!C450,"")</f>
        <v/>
      </c>
      <c r="B448" s="116" t="str">
        <f aca="false">IF(A448="","",IF(ABS(SUMIF(DITARI!$C:$C,A448,DITARI!$F:$F)-SUMIF(DITARI!$C:$C,A448,DITARI!$G:$G))&lt;0.005,"OK","ERROR"))</f>
        <v/>
      </c>
      <c r="C448" s="474" t="str">
        <f aca="false">IF(A448="","",SUMIF(DITARI!$C:$C,A448,DITARI!$F:$F))</f>
        <v/>
      </c>
      <c r="D448" s="474" t="str">
        <f aca="false">IF(A448="","",SUMIF(DITARI!$C:$C,A448,DITARI!$G:$G))</f>
        <v/>
      </c>
      <c r="E448" s="474" t="str">
        <f aca="false">IF(A448="","",C448-D448)</f>
        <v/>
      </c>
      <c r="F448" s="116" t="str">
        <f aca="false">IF(A448="","",COUNTIF(DITARI!$C:$C,A448))</f>
        <v/>
      </c>
    </row>
    <row r="449" customFormat="false" ht="14.25" hidden="false" customHeight="true" outlineLevel="0" collapsed="false">
      <c r="A449" s="116" t="str">
        <f aca="false">IF(COUNTIF(DITARI!$C$6:C451,DITARI!C451)=1,DITARI!C451,"")</f>
        <v/>
      </c>
      <c r="B449" s="116" t="str">
        <f aca="false">IF(A449="","",IF(ABS(SUMIF(DITARI!$C:$C,A449,DITARI!$F:$F)-SUMIF(DITARI!$C:$C,A449,DITARI!$G:$G))&lt;0.005,"OK","ERROR"))</f>
        <v/>
      </c>
      <c r="C449" s="474" t="str">
        <f aca="false">IF(A449="","",SUMIF(DITARI!$C:$C,A449,DITARI!$F:$F))</f>
        <v/>
      </c>
      <c r="D449" s="474" t="str">
        <f aca="false">IF(A449="","",SUMIF(DITARI!$C:$C,A449,DITARI!$G:$G))</f>
        <v/>
      </c>
      <c r="E449" s="474" t="str">
        <f aca="false">IF(A449="","",C449-D449)</f>
        <v/>
      </c>
      <c r="F449" s="116" t="str">
        <f aca="false">IF(A449="","",COUNTIF(DITARI!$C:$C,A449))</f>
        <v/>
      </c>
    </row>
    <row r="450" customFormat="false" ht="14.25" hidden="false" customHeight="true" outlineLevel="0" collapsed="false">
      <c r="A450" s="116" t="str">
        <f aca="false">IF(COUNTIF(DITARI!$C$6:C452,DITARI!C452)=1,DITARI!C452,"")</f>
        <v/>
      </c>
      <c r="B450" s="116" t="str">
        <f aca="false">IF(A450="","",IF(ABS(SUMIF(DITARI!$C:$C,A450,DITARI!$F:$F)-SUMIF(DITARI!$C:$C,A450,DITARI!$G:$G))&lt;0.005,"OK","ERROR"))</f>
        <v/>
      </c>
      <c r="C450" s="474" t="str">
        <f aca="false">IF(A450="","",SUMIF(DITARI!$C:$C,A450,DITARI!$F:$F))</f>
        <v/>
      </c>
      <c r="D450" s="474" t="str">
        <f aca="false">IF(A450="","",SUMIF(DITARI!$C:$C,A450,DITARI!$G:$G))</f>
        <v/>
      </c>
      <c r="E450" s="474" t="str">
        <f aca="false">IF(A450="","",C450-D450)</f>
        <v/>
      </c>
      <c r="F450" s="116" t="str">
        <f aca="false">IF(A450="","",COUNTIF(DITARI!$C:$C,A450))</f>
        <v/>
      </c>
    </row>
    <row r="451" customFormat="false" ht="14.25" hidden="false" customHeight="true" outlineLevel="0" collapsed="false">
      <c r="A451" s="116" t="str">
        <f aca="false">IF(COUNTIF(DITARI!$C$6:C453,DITARI!C453)=1,DITARI!C453,"")</f>
        <v/>
      </c>
      <c r="B451" s="116" t="str">
        <f aca="false">IF(A451="","",IF(ABS(SUMIF(DITARI!$C:$C,A451,DITARI!$F:$F)-SUMIF(DITARI!$C:$C,A451,DITARI!$G:$G))&lt;0.005,"OK","ERROR"))</f>
        <v/>
      </c>
      <c r="C451" s="474" t="str">
        <f aca="false">IF(A451="","",SUMIF(DITARI!$C:$C,A451,DITARI!$F:$F))</f>
        <v/>
      </c>
      <c r="D451" s="474" t="str">
        <f aca="false">IF(A451="","",SUMIF(DITARI!$C:$C,A451,DITARI!$G:$G))</f>
        <v/>
      </c>
      <c r="E451" s="474" t="str">
        <f aca="false">IF(A451="","",C451-D451)</f>
        <v/>
      </c>
      <c r="F451" s="116" t="str">
        <f aca="false">IF(A451="","",COUNTIF(DITARI!$C:$C,A451))</f>
        <v/>
      </c>
    </row>
    <row r="452" customFormat="false" ht="14.25" hidden="false" customHeight="true" outlineLevel="0" collapsed="false">
      <c r="A452" s="116" t="str">
        <f aca="false">IF(COUNTIF(DITARI!$C$6:C454,DITARI!C454)=1,DITARI!C454,"")</f>
        <v/>
      </c>
      <c r="B452" s="116" t="str">
        <f aca="false">IF(A452="","",IF(ABS(SUMIF(DITARI!$C:$C,A452,DITARI!$F:$F)-SUMIF(DITARI!$C:$C,A452,DITARI!$G:$G))&lt;0.005,"OK","ERROR"))</f>
        <v/>
      </c>
      <c r="C452" s="474" t="str">
        <f aca="false">IF(A452="","",SUMIF(DITARI!$C:$C,A452,DITARI!$F:$F))</f>
        <v/>
      </c>
      <c r="D452" s="474" t="str">
        <f aca="false">IF(A452="","",SUMIF(DITARI!$C:$C,A452,DITARI!$G:$G))</f>
        <v/>
      </c>
      <c r="E452" s="474" t="str">
        <f aca="false">IF(A452="","",C452-D452)</f>
        <v/>
      </c>
      <c r="F452" s="116" t="str">
        <f aca="false">IF(A452="","",COUNTIF(DITARI!$C:$C,A452))</f>
        <v/>
      </c>
    </row>
    <row r="453" customFormat="false" ht="14.25" hidden="false" customHeight="true" outlineLevel="0" collapsed="false">
      <c r="A453" s="116" t="str">
        <f aca="false">IF(COUNTIF(DITARI!$C$6:C455,DITARI!C455)=1,DITARI!C455,"")</f>
        <v/>
      </c>
      <c r="B453" s="116" t="str">
        <f aca="false">IF(A453="","",IF(ABS(SUMIF(DITARI!$C:$C,A453,DITARI!$F:$F)-SUMIF(DITARI!$C:$C,A453,DITARI!$G:$G))&lt;0.005,"OK","ERROR"))</f>
        <v/>
      </c>
      <c r="C453" s="474" t="str">
        <f aca="false">IF(A453="","",SUMIF(DITARI!$C:$C,A453,DITARI!$F:$F))</f>
        <v/>
      </c>
      <c r="D453" s="474" t="str">
        <f aca="false">IF(A453="","",SUMIF(DITARI!$C:$C,A453,DITARI!$G:$G))</f>
        <v/>
      </c>
      <c r="E453" s="474" t="str">
        <f aca="false">IF(A453="","",C453-D453)</f>
        <v/>
      </c>
      <c r="F453" s="116" t="str">
        <f aca="false">IF(A453="","",COUNTIF(DITARI!$C:$C,A453))</f>
        <v/>
      </c>
    </row>
    <row r="454" customFormat="false" ht="14.25" hidden="false" customHeight="true" outlineLevel="0" collapsed="false">
      <c r="A454" s="116" t="str">
        <f aca="false">IF(COUNTIF(DITARI!$C$6:C456,DITARI!C456)=1,DITARI!C456,"")</f>
        <v/>
      </c>
      <c r="B454" s="116" t="str">
        <f aca="false">IF(A454="","",IF(ABS(SUMIF(DITARI!$C:$C,A454,DITARI!$F:$F)-SUMIF(DITARI!$C:$C,A454,DITARI!$G:$G))&lt;0.005,"OK","ERROR"))</f>
        <v/>
      </c>
      <c r="C454" s="474" t="str">
        <f aca="false">IF(A454="","",SUMIF(DITARI!$C:$C,A454,DITARI!$F:$F))</f>
        <v/>
      </c>
      <c r="D454" s="474" t="str">
        <f aca="false">IF(A454="","",SUMIF(DITARI!$C:$C,A454,DITARI!$G:$G))</f>
        <v/>
      </c>
      <c r="E454" s="474" t="str">
        <f aca="false">IF(A454="","",C454-D454)</f>
        <v/>
      </c>
      <c r="F454" s="116" t="str">
        <f aca="false">IF(A454="","",COUNTIF(DITARI!$C:$C,A454))</f>
        <v/>
      </c>
    </row>
    <row r="455" customFormat="false" ht="14.25" hidden="false" customHeight="true" outlineLevel="0" collapsed="false">
      <c r="A455" s="116" t="str">
        <f aca="false">IF(COUNTIF(DITARI!$C$6:C457,DITARI!C457)=1,DITARI!C457,"")</f>
        <v/>
      </c>
      <c r="B455" s="116" t="str">
        <f aca="false">IF(A455="","",IF(ABS(SUMIF(DITARI!$C:$C,A455,DITARI!$F:$F)-SUMIF(DITARI!$C:$C,A455,DITARI!$G:$G))&lt;0.005,"OK","ERROR"))</f>
        <v/>
      </c>
      <c r="C455" s="474" t="str">
        <f aca="false">IF(A455="","",SUMIF(DITARI!$C:$C,A455,DITARI!$F:$F))</f>
        <v/>
      </c>
      <c r="D455" s="474" t="str">
        <f aca="false">IF(A455="","",SUMIF(DITARI!$C:$C,A455,DITARI!$G:$G))</f>
        <v/>
      </c>
      <c r="E455" s="474" t="str">
        <f aca="false">IF(A455="","",C455-D455)</f>
        <v/>
      </c>
      <c r="F455" s="116" t="str">
        <f aca="false">IF(A455="","",COUNTIF(DITARI!$C:$C,A455))</f>
        <v/>
      </c>
    </row>
    <row r="456" customFormat="false" ht="14.25" hidden="false" customHeight="true" outlineLevel="0" collapsed="false">
      <c r="A456" s="116" t="str">
        <f aca="false">IF(COUNTIF(DITARI!$C$6:C458,DITARI!C458)=1,DITARI!C458,"")</f>
        <v/>
      </c>
      <c r="B456" s="116" t="str">
        <f aca="false">IF(A456="","",IF(ABS(SUMIF(DITARI!$C:$C,A456,DITARI!$F:$F)-SUMIF(DITARI!$C:$C,A456,DITARI!$G:$G))&lt;0.005,"OK","ERROR"))</f>
        <v/>
      </c>
      <c r="C456" s="474" t="str">
        <f aca="false">IF(A456="","",SUMIF(DITARI!$C:$C,A456,DITARI!$F:$F))</f>
        <v/>
      </c>
      <c r="D456" s="474" t="str">
        <f aca="false">IF(A456="","",SUMIF(DITARI!$C:$C,A456,DITARI!$G:$G))</f>
        <v/>
      </c>
      <c r="E456" s="474" t="str">
        <f aca="false">IF(A456="","",C456-D456)</f>
        <v/>
      </c>
      <c r="F456" s="116" t="str">
        <f aca="false">IF(A456="","",COUNTIF(DITARI!$C:$C,A456))</f>
        <v/>
      </c>
    </row>
    <row r="457" customFormat="false" ht="14.25" hidden="false" customHeight="true" outlineLevel="0" collapsed="false">
      <c r="A457" s="116" t="str">
        <f aca="false">IF(COUNTIF(DITARI!$C$6:C459,DITARI!C459)=1,DITARI!C459,"")</f>
        <v/>
      </c>
      <c r="B457" s="116" t="str">
        <f aca="false">IF(A457="","",IF(ABS(SUMIF(DITARI!$C:$C,A457,DITARI!$F:$F)-SUMIF(DITARI!$C:$C,A457,DITARI!$G:$G))&lt;0.005,"OK","ERROR"))</f>
        <v/>
      </c>
      <c r="C457" s="474" t="str">
        <f aca="false">IF(A457="","",SUMIF(DITARI!$C:$C,A457,DITARI!$F:$F))</f>
        <v/>
      </c>
      <c r="D457" s="474" t="str">
        <f aca="false">IF(A457="","",SUMIF(DITARI!$C:$C,A457,DITARI!$G:$G))</f>
        <v/>
      </c>
      <c r="E457" s="474" t="str">
        <f aca="false">IF(A457="","",C457-D457)</f>
        <v/>
      </c>
      <c r="F457" s="116" t="str">
        <f aca="false">IF(A457="","",COUNTIF(DITARI!$C:$C,A457))</f>
        <v/>
      </c>
    </row>
    <row r="458" customFormat="false" ht="14.25" hidden="false" customHeight="true" outlineLevel="0" collapsed="false">
      <c r="A458" s="116" t="str">
        <f aca="false">IF(COUNTIF(DITARI!$C$6:C460,DITARI!C460)=1,DITARI!C460,"")</f>
        <v/>
      </c>
      <c r="B458" s="116" t="str">
        <f aca="false">IF(A458="","",IF(ABS(SUMIF(DITARI!$C:$C,A458,DITARI!$F:$F)-SUMIF(DITARI!$C:$C,A458,DITARI!$G:$G))&lt;0.005,"OK","ERROR"))</f>
        <v/>
      </c>
      <c r="C458" s="474" t="str">
        <f aca="false">IF(A458="","",SUMIF(DITARI!$C:$C,A458,DITARI!$F:$F))</f>
        <v/>
      </c>
      <c r="D458" s="474" t="str">
        <f aca="false">IF(A458="","",SUMIF(DITARI!$C:$C,A458,DITARI!$G:$G))</f>
        <v/>
      </c>
      <c r="E458" s="474" t="str">
        <f aca="false">IF(A458="","",C458-D458)</f>
        <v/>
      </c>
      <c r="F458" s="116" t="str">
        <f aca="false">IF(A458="","",COUNTIF(DITARI!$C:$C,A458))</f>
        <v/>
      </c>
    </row>
    <row r="459" customFormat="false" ht="14.25" hidden="false" customHeight="true" outlineLevel="0" collapsed="false">
      <c r="A459" s="116" t="str">
        <f aca="false">IF(COUNTIF(DITARI!$C$6:C461,DITARI!C461)=1,DITARI!C461,"")</f>
        <v/>
      </c>
      <c r="B459" s="116" t="str">
        <f aca="false">IF(A459="","",IF(ABS(SUMIF(DITARI!$C:$C,A459,DITARI!$F:$F)-SUMIF(DITARI!$C:$C,A459,DITARI!$G:$G))&lt;0.005,"OK","ERROR"))</f>
        <v/>
      </c>
      <c r="C459" s="474" t="str">
        <f aca="false">IF(A459="","",SUMIF(DITARI!$C:$C,A459,DITARI!$F:$F))</f>
        <v/>
      </c>
      <c r="D459" s="474" t="str">
        <f aca="false">IF(A459="","",SUMIF(DITARI!$C:$C,A459,DITARI!$G:$G))</f>
        <v/>
      </c>
      <c r="E459" s="474" t="str">
        <f aca="false">IF(A459="","",C459-D459)</f>
        <v/>
      </c>
      <c r="F459" s="116" t="str">
        <f aca="false">IF(A459="","",COUNTIF(DITARI!$C:$C,A459))</f>
        <v/>
      </c>
    </row>
    <row r="460" customFormat="false" ht="14.25" hidden="false" customHeight="true" outlineLevel="0" collapsed="false">
      <c r="A460" s="116" t="str">
        <f aca="false">IF(COUNTIF(DITARI!$C$6:C462,DITARI!C462)=1,DITARI!C462,"")</f>
        <v/>
      </c>
      <c r="B460" s="116" t="str">
        <f aca="false">IF(A460="","",IF(ABS(SUMIF(DITARI!$C:$C,A460,DITARI!$F:$F)-SUMIF(DITARI!$C:$C,A460,DITARI!$G:$G))&lt;0.005,"OK","ERROR"))</f>
        <v/>
      </c>
      <c r="C460" s="474" t="str">
        <f aca="false">IF(A460="","",SUMIF(DITARI!$C:$C,A460,DITARI!$F:$F))</f>
        <v/>
      </c>
      <c r="D460" s="474" t="str">
        <f aca="false">IF(A460="","",SUMIF(DITARI!$C:$C,A460,DITARI!$G:$G))</f>
        <v/>
      </c>
      <c r="E460" s="474" t="str">
        <f aca="false">IF(A460="","",C460-D460)</f>
        <v/>
      </c>
      <c r="F460" s="116" t="str">
        <f aca="false">IF(A460="","",COUNTIF(DITARI!$C:$C,A460))</f>
        <v/>
      </c>
    </row>
    <row r="461" customFormat="false" ht="14.25" hidden="false" customHeight="true" outlineLevel="0" collapsed="false">
      <c r="A461" s="116" t="str">
        <f aca="false">IF(COUNTIF(DITARI!$C$6:C463,DITARI!C463)=1,DITARI!C463,"")</f>
        <v/>
      </c>
      <c r="B461" s="116" t="str">
        <f aca="false">IF(A461="","",IF(ABS(SUMIF(DITARI!$C:$C,A461,DITARI!$F:$F)-SUMIF(DITARI!$C:$C,A461,DITARI!$G:$G))&lt;0.005,"OK","ERROR"))</f>
        <v/>
      </c>
      <c r="C461" s="474" t="str">
        <f aca="false">IF(A461="","",SUMIF(DITARI!$C:$C,A461,DITARI!$F:$F))</f>
        <v/>
      </c>
      <c r="D461" s="474" t="str">
        <f aca="false">IF(A461="","",SUMIF(DITARI!$C:$C,A461,DITARI!$G:$G))</f>
        <v/>
      </c>
      <c r="E461" s="474" t="str">
        <f aca="false">IF(A461="","",C461-D461)</f>
        <v/>
      </c>
      <c r="F461" s="116" t="str">
        <f aca="false">IF(A461="","",COUNTIF(DITARI!$C:$C,A461))</f>
        <v/>
      </c>
    </row>
    <row r="462" customFormat="false" ht="14.25" hidden="false" customHeight="true" outlineLevel="0" collapsed="false">
      <c r="A462" s="116" t="str">
        <f aca="false">IF(COUNTIF(DITARI!$C$6:C464,DITARI!C464)=1,DITARI!C464,"")</f>
        <v/>
      </c>
      <c r="B462" s="116" t="str">
        <f aca="false">IF(A462="","",IF(ABS(SUMIF(DITARI!$C:$C,A462,DITARI!$F:$F)-SUMIF(DITARI!$C:$C,A462,DITARI!$G:$G))&lt;0.005,"OK","ERROR"))</f>
        <v/>
      </c>
      <c r="C462" s="474" t="str">
        <f aca="false">IF(A462="","",SUMIF(DITARI!$C:$C,A462,DITARI!$F:$F))</f>
        <v/>
      </c>
      <c r="D462" s="474" t="str">
        <f aca="false">IF(A462="","",SUMIF(DITARI!$C:$C,A462,DITARI!$G:$G))</f>
        <v/>
      </c>
      <c r="E462" s="474" t="str">
        <f aca="false">IF(A462="","",C462-D462)</f>
        <v/>
      </c>
      <c r="F462" s="116" t="str">
        <f aca="false">IF(A462="","",COUNTIF(DITARI!$C:$C,A462))</f>
        <v/>
      </c>
    </row>
    <row r="463" customFormat="false" ht="14.25" hidden="false" customHeight="true" outlineLevel="0" collapsed="false">
      <c r="A463" s="116" t="str">
        <f aca="false">IF(COUNTIF(DITARI!$C$6:C465,DITARI!C465)=1,DITARI!C465,"")</f>
        <v/>
      </c>
      <c r="B463" s="116" t="str">
        <f aca="false">IF(A463="","",IF(ABS(SUMIF(DITARI!$C:$C,A463,DITARI!$F:$F)-SUMIF(DITARI!$C:$C,A463,DITARI!$G:$G))&lt;0.005,"OK","ERROR"))</f>
        <v/>
      </c>
      <c r="C463" s="474" t="str">
        <f aca="false">IF(A463="","",SUMIF(DITARI!$C:$C,A463,DITARI!$F:$F))</f>
        <v/>
      </c>
      <c r="D463" s="474" t="str">
        <f aca="false">IF(A463="","",SUMIF(DITARI!$C:$C,A463,DITARI!$G:$G))</f>
        <v/>
      </c>
      <c r="E463" s="474" t="str">
        <f aca="false">IF(A463="","",C463-D463)</f>
        <v/>
      </c>
      <c r="F463" s="116" t="str">
        <f aca="false">IF(A463="","",COUNTIF(DITARI!$C:$C,A463))</f>
        <v/>
      </c>
    </row>
    <row r="464" customFormat="false" ht="14.25" hidden="false" customHeight="true" outlineLevel="0" collapsed="false">
      <c r="A464" s="116" t="str">
        <f aca="false">IF(COUNTIF(DITARI!$C$6:C466,DITARI!C466)=1,DITARI!C466,"")</f>
        <v/>
      </c>
      <c r="B464" s="116" t="str">
        <f aca="false">IF(A464="","",IF(ABS(SUMIF(DITARI!$C:$C,A464,DITARI!$F:$F)-SUMIF(DITARI!$C:$C,A464,DITARI!$G:$G))&lt;0.005,"OK","ERROR"))</f>
        <v/>
      </c>
      <c r="C464" s="474" t="str">
        <f aca="false">IF(A464="","",SUMIF(DITARI!$C:$C,A464,DITARI!$F:$F))</f>
        <v/>
      </c>
      <c r="D464" s="474" t="str">
        <f aca="false">IF(A464="","",SUMIF(DITARI!$C:$C,A464,DITARI!$G:$G))</f>
        <v/>
      </c>
      <c r="E464" s="474" t="str">
        <f aca="false">IF(A464="","",C464-D464)</f>
        <v/>
      </c>
      <c r="F464" s="116" t="str">
        <f aca="false">IF(A464="","",COUNTIF(DITARI!$C:$C,A464))</f>
        <v/>
      </c>
    </row>
    <row r="465" customFormat="false" ht="14.25" hidden="false" customHeight="true" outlineLevel="0" collapsed="false">
      <c r="A465" s="116" t="str">
        <f aca="false">IF(COUNTIF(DITARI!$C$6:C467,DITARI!C467)=1,DITARI!C467,"")</f>
        <v/>
      </c>
      <c r="B465" s="116" t="str">
        <f aca="false">IF(A465="","",IF(ABS(SUMIF(DITARI!$C:$C,A465,DITARI!$F:$F)-SUMIF(DITARI!$C:$C,A465,DITARI!$G:$G))&lt;0.005,"OK","ERROR"))</f>
        <v/>
      </c>
      <c r="C465" s="474" t="str">
        <f aca="false">IF(A465="","",SUMIF(DITARI!$C:$C,A465,DITARI!$F:$F))</f>
        <v/>
      </c>
      <c r="D465" s="474" t="str">
        <f aca="false">IF(A465="","",SUMIF(DITARI!$C:$C,A465,DITARI!$G:$G))</f>
        <v/>
      </c>
      <c r="E465" s="474" t="str">
        <f aca="false">IF(A465="","",C465-D465)</f>
        <v/>
      </c>
      <c r="F465" s="116" t="str">
        <f aca="false">IF(A465="","",COUNTIF(DITARI!$C:$C,A465))</f>
        <v/>
      </c>
    </row>
    <row r="466" customFormat="false" ht="14.25" hidden="false" customHeight="true" outlineLevel="0" collapsed="false">
      <c r="A466" s="116" t="str">
        <f aca="false">IF(COUNTIF(DITARI!$C$6:C468,DITARI!C468)=1,DITARI!C468,"")</f>
        <v/>
      </c>
      <c r="B466" s="116" t="str">
        <f aca="false">IF(A466="","",IF(ABS(SUMIF(DITARI!$C:$C,A466,DITARI!$F:$F)-SUMIF(DITARI!$C:$C,A466,DITARI!$G:$G))&lt;0.005,"OK","ERROR"))</f>
        <v/>
      </c>
      <c r="C466" s="474" t="str">
        <f aca="false">IF(A466="","",SUMIF(DITARI!$C:$C,A466,DITARI!$F:$F))</f>
        <v/>
      </c>
      <c r="D466" s="474" t="str">
        <f aca="false">IF(A466="","",SUMIF(DITARI!$C:$C,A466,DITARI!$G:$G))</f>
        <v/>
      </c>
      <c r="E466" s="474" t="str">
        <f aca="false">IF(A466="","",C466-D466)</f>
        <v/>
      </c>
      <c r="F466" s="116" t="str">
        <f aca="false">IF(A466="","",COUNTIF(DITARI!$C:$C,A466))</f>
        <v/>
      </c>
    </row>
    <row r="467" customFormat="false" ht="14.25" hidden="false" customHeight="true" outlineLevel="0" collapsed="false">
      <c r="A467" s="116" t="str">
        <f aca="false">IF(COUNTIF(DITARI!$C$6:C469,DITARI!C469)=1,DITARI!C469,"")</f>
        <v/>
      </c>
      <c r="B467" s="116" t="str">
        <f aca="false">IF(A467="","",IF(ABS(SUMIF(DITARI!$C:$C,A467,DITARI!$F:$F)-SUMIF(DITARI!$C:$C,A467,DITARI!$G:$G))&lt;0.005,"OK","ERROR"))</f>
        <v/>
      </c>
      <c r="C467" s="474" t="str">
        <f aca="false">IF(A467="","",SUMIF(DITARI!$C:$C,A467,DITARI!$F:$F))</f>
        <v/>
      </c>
      <c r="D467" s="474" t="str">
        <f aca="false">IF(A467="","",SUMIF(DITARI!$C:$C,A467,DITARI!$G:$G))</f>
        <v/>
      </c>
      <c r="E467" s="474" t="str">
        <f aca="false">IF(A467="","",C467-D467)</f>
        <v/>
      </c>
      <c r="F467" s="116" t="str">
        <f aca="false">IF(A467="","",COUNTIF(DITARI!$C:$C,A467))</f>
        <v/>
      </c>
    </row>
    <row r="468" customFormat="false" ht="14.25" hidden="false" customHeight="true" outlineLevel="0" collapsed="false">
      <c r="A468" s="116" t="str">
        <f aca="false">IF(COUNTIF(DITARI!$C$6:C470,DITARI!C470)=1,DITARI!C470,"")</f>
        <v/>
      </c>
      <c r="B468" s="116" t="str">
        <f aca="false">IF(A468="","",IF(ABS(SUMIF(DITARI!$C:$C,A468,DITARI!$F:$F)-SUMIF(DITARI!$C:$C,A468,DITARI!$G:$G))&lt;0.005,"OK","ERROR"))</f>
        <v/>
      </c>
      <c r="C468" s="474" t="str">
        <f aca="false">IF(A468="","",SUMIF(DITARI!$C:$C,A468,DITARI!$F:$F))</f>
        <v/>
      </c>
      <c r="D468" s="474" t="str">
        <f aca="false">IF(A468="","",SUMIF(DITARI!$C:$C,A468,DITARI!$G:$G))</f>
        <v/>
      </c>
      <c r="E468" s="474" t="str">
        <f aca="false">IF(A468="","",C468-D468)</f>
        <v/>
      </c>
      <c r="F468" s="116" t="str">
        <f aca="false">IF(A468="","",COUNTIF(DITARI!$C:$C,A468))</f>
        <v/>
      </c>
    </row>
    <row r="469" customFormat="false" ht="14.25" hidden="false" customHeight="true" outlineLevel="0" collapsed="false">
      <c r="A469" s="116" t="str">
        <f aca="false">IF(COUNTIF(DITARI!$C$6:C471,DITARI!C471)=1,DITARI!C471,"")</f>
        <v/>
      </c>
      <c r="B469" s="116" t="str">
        <f aca="false">IF(A469="","",IF(ABS(SUMIF(DITARI!$C:$C,A469,DITARI!$F:$F)-SUMIF(DITARI!$C:$C,A469,DITARI!$G:$G))&lt;0.005,"OK","ERROR"))</f>
        <v/>
      </c>
      <c r="C469" s="474" t="str">
        <f aca="false">IF(A469="","",SUMIF(DITARI!$C:$C,A469,DITARI!$F:$F))</f>
        <v/>
      </c>
      <c r="D469" s="474" t="str">
        <f aca="false">IF(A469="","",SUMIF(DITARI!$C:$C,A469,DITARI!$G:$G))</f>
        <v/>
      </c>
      <c r="E469" s="474" t="str">
        <f aca="false">IF(A469="","",C469-D469)</f>
        <v/>
      </c>
      <c r="F469" s="116" t="str">
        <f aca="false">IF(A469="","",COUNTIF(DITARI!$C:$C,A469))</f>
        <v/>
      </c>
    </row>
    <row r="470" customFormat="false" ht="14.25" hidden="false" customHeight="true" outlineLevel="0" collapsed="false">
      <c r="A470" s="116" t="str">
        <f aca="false">IF(COUNTIF(DITARI!$C$6:C472,DITARI!C472)=1,DITARI!C472,"")</f>
        <v/>
      </c>
      <c r="B470" s="116" t="str">
        <f aca="false">IF(A470="","",IF(ABS(SUMIF(DITARI!$C:$C,A470,DITARI!$F:$F)-SUMIF(DITARI!$C:$C,A470,DITARI!$G:$G))&lt;0.005,"OK","ERROR"))</f>
        <v/>
      </c>
      <c r="C470" s="474" t="str">
        <f aca="false">IF(A470="","",SUMIF(DITARI!$C:$C,A470,DITARI!$F:$F))</f>
        <v/>
      </c>
      <c r="D470" s="474" t="str">
        <f aca="false">IF(A470="","",SUMIF(DITARI!$C:$C,A470,DITARI!$G:$G))</f>
        <v/>
      </c>
      <c r="E470" s="474" t="str">
        <f aca="false">IF(A470="","",C470-D470)</f>
        <v/>
      </c>
      <c r="F470" s="116" t="str">
        <f aca="false">IF(A470="","",COUNTIF(DITARI!$C:$C,A470))</f>
        <v/>
      </c>
    </row>
    <row r="471" customFormat="false" ht="14.25" hidden="false" customHeight="true" outlineLevel="0" collapsed="false">
      <c r="A471" s="116" t="str">
        <f aca="false">IF(COUNTIF(DITARI!$C$6:C473,DITARI!C473)=1,DITARI!C473,"")</f>
        <v/>
      </c>
      <c r="B471" s="116" t="str">
        <f aca="false">IF(A471="","",IF(ABS(SUMIF(DITARI!$C:$C,A471,DITARI!$F:$F)-SUMIF(DITARI!$C:$C,A471,DITARI!$G:$G))&lt;0.005,"OK","ERROR"))</f>
        <v/>
      </c>
      <c r="C471" s="474" t="str">
        <f aca="false">IF(A471="","",SUMIF(DITARI!$C:$C,A471,DITARI!$F:$F))</f>
        <v/>
      </c>
      <c r="D471" s="474" t="str">
        <f aca="false">IF(A471="","",SUMIF(DITARI!$C:$C,A471,DITARI!$G:$G))</f>
        <v/>
      </c>
      <c r="E471" s="474" t="str">
        <f aca="false">IF(A471="","",C471-D471)</f>
        <v/>
      </c>
      <c r="F471" s="116" t="str">
        <f aca="false">IF(A471="","",COUNTIF(DITARI!$C:$C,A471))</f>
        <v/>
      </c>
    </row>
    <row r="472" customFormat="false" ht="14.25" hidden="false" customHeight="true" outlineLevel="0" collapsed="false">
      <c r="A472" s="116" t="str">
        <f aca="false">IF(COUNTIF(DITARI!$C$6:C474,DITARI!C474)=1,DITARI!C474,"")</f>
        <v/>
      </c>
      <c r="B472" s="116" t="str">
        <f aca="false">IF(A472="","",IF(ABS(SUMIF(DITARI!$C:$C,A472,DITARI!$F:$F)-SUMIF(DITARI!$C:$C,A472,DITARI!$G:$G))&lt;0.005,"OK","ERROR"))</f>
        <v/>
      </c>
      <c r="C472" s="474" t="str">
        <f aca="false">IF(A472="","",SUMIF(DITARI!$C:$C,A472,DITARI!$F:$F))</f>
        <v/>
      </c>
      <c r="D472" s="474" t="str">
        <f aca="false">IF(A472="","",SUMIF(DITARI!$C:$C,A472,DITARI!$G:$G))</f>
        <v/>
      </c>
      <c r="E472" s="474" t="str">
        <f aca="false">IF(A472="","",C472-D472)</f>
        <v/>
      </c>
      <c r="F472" s="116" t="str">
        <f aca="false">IF(A472="","",COUNTIF(DITARI!$C:$C,A472))</f>
        <v/>
      </c>
    </row>
    <row r="473" customFormat="false" ht="14.25" hidden="false" customHeight="true" outlineLevel="0" collapsed="false">
      <c r="A473" s="116" t="str">
        <f aca="false">IF(COUNTIF(DITARI!$C$6:C475,DITARI!C475)=1,DITARI!C475,"")</f>
        <v/>
      </c>
      <c r="B473" s="116" t="str">
        <f aca="false">IF(A473="","",IF(ABS(SUMIF(DITARI!$C:$C,A473,DITARI!$F:$F)-SUMIF(DITARI!$C:$C,A473,DITARI!$G:$G))&lt;0.005,"OK","ERROR"))</f>
        <v/>
      </c>
      <c r="C473" s="474" t="str">
        <f aca="false">IF(A473="","",SUMIF(DITARI!$C:$C,A473,DITARI!$F:$F))</f>
        <v/>
      </c>
      <c r="D473" s="474" t="str">
        <f aca="false">IF(A473="","",SUMIF(DITARI!$C:$C,A473,DITARI!$G:$G))</f>
        <v/>
      </c>
      <c r="E473" s="474" t="str">
        <f aca="false">IF(A473="","",C473-D473)</f>
        <v/>
      </c>
      <c r="F473" s="116" t="str">
        <f aca="false">IF(A473="","",COUNTIF(DITARI!$C:$C,A473))</f>
        <v/>
      </c>
    </row>
    <row r="474" customFormat="false" ht="14.25" hidden="false" customHeight="true" outlineLevel="0" collapsed="false">
      <c r="A474" s="116" t="str">
        <f aca="false">IF(COUNTIF(DITARI!$C$6:C476,DITARI!C476)=1,DITARI!C476,"")</f>
        <v/>
      </c>
      <c r="B474" s="116" t="str">
        <f aca="false">IF(A474="","",IF(ABS(SUMIF(DITARI!$C:$C,A474,DITARI!$F:$F)-SUMIF(DITARI!$C:$C,A474,DITARI!$G:$G))&lt;0.005,"OK","ERROR"))</f>
        <v/>
      </c>
      <c r="C474" s="474" t="str">
        <f aca="false">IF(A474="","",SUMIF(DITARI!$C:$C,A474,DITARI!$F:$F))</f>
        <v/>
      </c>
      <c r="D474" s="474" t="str">
        <f aca="false">IF(A474="","",SUMIF(DITARI!$C:$C,A474,DITARI!$G:$G))</f>
        <v/>
      </c>
      <c r="E474" s="474" t="str">
        <f aca="false">IF(A474="","",C474-D474)</f>
        <v/>
      </c>
      <c r="F474" s="116" t="str">
        <f aca="false">IF(A474="","",COUNTIF(DITARI!$C:$C,A474))</f>
        <v/>
      </c>
    </row>
    <row r="475" customFormat="false" ht="14.25" hidden="false" customHeight="true" outlineLevel="0" collapsed="false">
      <c r="A475" s="116" t="str">
        <f aca="false">IF(COUNTIF(DITARI!$C$6:C477,DITARI!C477)=1,DITARI!C477,"")</f>
        <v/>
      </c>
      <c r="B475" s="116" t="str">
        <f aca="false">IF(A475="","",IF(ABS(SUMIF(DITARI!$C:$C,A475,DITARI!$F:$F)-SUMIF(DITARI!$C:$C,A475,DITARI!$G:$G))&lt;0.005,"OK","ERROR"))</f>
        <v/>
      </c>
      <c r="C475" s="474" t="str">
        <f aca="false">IF(A475="","",SUMIF(DITARI!$C:$C,A475,DITARI!$F:$F))</f>
        <v/>
      </c>
      <c r="D475" s="474" t="str">
        <f aca="false">IF(A475="","",SUMIF(DITARI!$C:$C,A475,DITARI!$G:$G))</f>
        <v/>
      </c>
      <c r="E475" s="474" t="str">
        <f aca="false">IF(A475="","",C475-D475)</f>
        <v/>
      </c>
      <c r="F475" s="116" t="str">
        <f aca="false">IF(A475="","",COUNTIF(DITARI!$C:$C,A475))</f>
        <v/>
      </c>
    </row>
    <row r="476" customFormat="false" ht="14.25" hidden="false" customHeight="true" outlineLevel="0" collapsed="false">
      <c r="A476" s="116" t="str">
        <f aca="false">IF(COUNTIF(DITARI!$C$6:C478,DITARI!C478)=1,DITARI!C478,"")</f>
        <v/>
      </c>
      <c r="B476" s="116" t="str">
        <f aca="false">IF(A476="","",IF(ABS(SUMIF(DITARI!$C:$C,A476,DITARI!$F:$F)-SUMIF(DITARI!$C:$C,A476,DITARI!$G:$G))&lt;0.005,"OK","ERROR"))</f>
        <v/>
      </c>
      <c r="C476" s="474" t="str">
        <f aca="false">IF(A476="","",SUMIF(DITARI!$C:$C,A476,DITARI!$F:$F))</f>
        <v/>
      </c>
      <c r="D476" s="474" t="str">
        <f aca="false">IF(A476="","",SUMIF(DITARI!$C:$C,A476,DITARI!$G:$G))</f>
        <v/>
      </c>
      <c r="E476" s="474" t="str">
        <f aca="false">IF(A476="","",C476-D476)</f>
        <v/>
      </c>
      <c r="F476" s="116" t="str">
        <f aca="false">IF(A476="","",COUNTIF(DITARI!$C:$C,A476))</f>
        <v/>
      </c>
    </row>
    <row r="477" customFormat="false" ht="14.25" hidden="false" customHeight="true" outlineLevel="0" collapsed="false">
      <c r="A477" s="116" t="str">
        <f aca="false">IF(COUNTIF(DITARI!$C$6:C479,DITARI!C479)=1,DITARI!C479,"")</f>
        <v/>
      </c>
      <c r="B477" s="116" t="str">
        <f aca="false">IF(A477="","",IF(ABS(SUMIF(DITARI!$C:$C,A477,DITARI!$F:$F)-SUMIF(DITARI!$C:$C,A477,DITARI!$G:$G))&lt;0.005,"OK","ERROR"))</f>
        <v/>
      </c>
      <c r="C477" s="474" t="str">
        <f aca="false">IF(A477="","",SUMIF(DITARI!$C:$C,A477,DITARI!$F:$F))</f>
        <v/>
      </c>
      <c r="D477" s="474" t="str">
        <f aca="false">IF(A477="","",SUMIF(DITARI!$C:$C,A477,DITARI!$G:$G))</f>
        <v/>
      </c>
      <c r="E477" s="474" t="str">
        <f aca="false">IF(A477="","",C477-D477)</f>
        <v/>
      </c>
      <c r="F477" s="116" t="str">
        <f aca="false">IF(A477="","",COUNTIF(DITARI!$C:$C,A477))</f>
        <v/>
      </c>
    </row>
    <row r="478" customFormat="false" ht="14.25" hidden="false" customHeight="true" outlineLevel="0" collapsed="false">
      <c r="A478" s="116" t="str">
        <f aca="false">IF(COUNTIF(DITARI!$C$6:C480,DITARI!C480)=1,DITARI!C480,"")</f>
        <v/>
      </c>
      <c r="B478" s="116" t="str">
        <f aca="false">IF(A478="","",IF(ABS(SUMIF(DITARI!$C:$C,A478,DITARI!$F:$F)-SUMIF(DITARI!$C:$C,A478,DITARI!$G:$G))&lt;0.005,"OK","ERROR"))</f>
        <v/>
      </c>
      <c r="C478" s="474" t="str">
        <f aca="false">IF(A478="","",SUMIF(DITARI!$C:$C,A478,DITARI!$F:$F))</f>
        <v/>
      </c>
      <c r="D478" s="474" t="str">
        <f aca="false">IF(A478="","",SUMIF(DITARI!$C:$C,A478,DITARI!$G:$G))</f>
        <v/>
      </c>
      <c r="E478" s="474" t="str">
        <f aca="false">IF(A478="","",C478-D478)</f>
        <v/>
      </c>
      <c r="F478" s="116" t="str">
        <f aca="false">IF(A478="","",COUNTIF(DITARI!$C:$C,A478))</f>
        <v/>
      </c>
    </row>
    <row r="479" customFormat="false" ht="14.25" hidden="false" customHeight="true" outlineLevel="0" collapsed="false">
      <c r="A479" s="116" t="str">
        <f aca="false">IF(COUNTIF(DITARI!$C$6:C481,DITARI!C481)=1,DITARI!C481,"")</f>
        <v/>
      </c>
      <c r="B479" s="116" t="str">
        <f aca="false">IF(A479="","",IF(ABS(SUMIF(DITARI!$C:$C,A479,DITARI!$F:$F)-SUMIF(DITARI!$C:$C,A479,DITARI!$G:$G))&lt;0.005,"OK","ERROR"))</f>
        <v/>
      </c>
      <c r="C479" s="474" t="str">
        <f aca="false">IF(A479="","",SUMIF(DITARI!$C:$C,A479,DITARI!$F:$F))</f>
        <v/>
      </c>
      <c r="D479" s="474" t="str">
        <f aca="false">IF(A479="","",SUMIF(DITARI!$C:$C,A479,DITARI!$G:$G))</f>
        <v/>
      </c>
      <c r="E479" s="474" t="str">
        <f aca="false">IF(A479="","",C479-D479)</f>
        <v/>
      </c>
      <c r="F479" s="116" t="str">
        <f aca="false">IF(A479="","",COUNTIF(DITARI!$C:$C,A479))</f>
        <v/>
      </c>
    </row>
    <row r="480" customFormat="false" ht="14.25" hidden="false" customHeight="true" outlineLevel="0" collapsed="false">
      <c r="A480" s="116" t="str">
        <f aca="false">IF(COUNTIF(DITARI!$C$6:C482,DITARI!C482)=1,DITARI!C482,"")</f>
        <v/>
      </c>
      <c r="B480" s="116" t="str">
        <f aca="false">IF(A480="","",IF(ABS(SUMIF(DITARI!$C:$C,A480,DITARI!$F:$F)-SUMIF(DITARI!$C:$C,A480,DITARI!$G:$G))&lt;0.005,"OK","ERROR"))</f>
        <v/>
      </c>
      <c r="C480" s="474" t="str">
        <f aca="false">IF(A480="","",SUMIF(DITARI!$C:$C,A480,DITARI!$F:$F))</f>
        <v/>
      </c>
      <c r="D480" s="474" t="str">
        <f aca="false">IF(A480="","",SUMIF(DITARI!$C:$C,A480,DITARI!$G:$G))</f>
        <v/>
      </c>
      <c r="E480" s="474" t="str">
        <f aca="false">IF(A480="","",C480-D480)</f>
        <v/>
      </c>
      <c r="F480" s="116" t="str">
        <f aca="false">IF(A480="","",COUNTIF(DITARI!$C:$C,A480))</f>
        <v/>
      </c>
    </row>
    <row r="481" customFormat="false" ht="14.25" hidden="false" customHeight="true" outlineLevel="0" collapsed="false">
      <c r="A481" s="116" t="str">
        <f aca="false">IF(COUNTIF(DITARI!$C$6:C483,DITARI!C483)=1,DITARI!C483,"")</f>
        <v/>
      </c>
      <c r="B481" s="116" t="str">
        <f aca="false">IF(A481="","",IF(ABS(SUMIF(DITARI!$C:$C,A481,DITARI!$F:$F)-SUMIF(DITARI!$C:$C,A481,DITARI!$G:$G))&lt;0.005,"OK","ERROR"))</f>
        <v/>
      </c>
      <c r="C481" s="474" t="str">
        <f aca="false">IF(A481="","",SUMIF(DITARI!$C:$C,A481,DITARI!$F:$F))</f>
        <v/>
      </c>
      <c r="D481" s="474" t="str">
        <f aca="false">IF(A481="","",SUMIF(DITARI!$C:$C,A481,DITARI!$G:$G))</f>
        <v/>
      </c>
      <c r="E481" s="474" t="str">
        <f aca="false">IF(A481="","",C481-D481)</f>
        <v/>
      </c>
      <c r="F481" s="116" t="str">
        <f aca="false">IF(A481="","",COUNTIF(DITARI!$C:$C,A481))</f>
        <v/>
      </c>
    </row>
    <row r="482" customFormat="false" ht="14.25" hidden="false" customHeight="true" outlineLevel="0" collapsed="false">
      <c r="A482" s="116" t="str">
        <f aca="false">IF(COUNTIF(DITARI!$C$6:C484,DITARI!C484)=1,DITARI!C484,"")</f>
        <v/>
      </c>
      <c r="B482" s="116" t="str">
        <f aca="false">IF(A482="","",IF(ABS(SUMIF(DITARI!$C:$C,A482,DITARI!$F:$F)-SUMIF(DITARI!$C:$C,A482,DITARI!$G:$G))&lt;0.005,"OK","ERROR"))</f>
        <v/>
      </c>
      <c r="C482" s="474" t="str">
        <f aca="false">IF(A482="","",SUMIF(DITARI!$C:$C,A482,DITARI!$F:$F))</f>
        <v/>
      </c>
      <c r="D482" s="474" t="str">
        <f aca="false">IF(A482="","",SUMIF(DITARI!$C:$C,A482,DITARI!$G:$G))</f>
        <v/>
      </c>
      <c r="E482" s="474" t="str">
        <f aca="false">IF(A482="","",C482-D482)</f>
        <v/>
      </c>
      <c r="F482" s="116" t="str">
        <f aca="false">IF(A482="","",COUNTIF(DITARI!$C:$C,A482))</f>
        <v/>
      </c>
    </row>
    <row r="483" customFormat="false" ht="14.25" hidden="false" customHeight="true" outlineLevel="0" collapsed="false">
      <c r="A483" s="116" t="str">
        <f aca="false">IF(COUNTIF(DITARI!$C$6:C485,DITARI!C485)=1,DITARI!C485,"")</f>
        <v/>
      </c>
      <c r="B483" s="116" t="str">
        <f aca="false">IF(A483="","",IF(ABS(SUMIF(DITARI!$C:$C,A483,DITARI!$F:$F)-SUMIF(DITARI!$C:$C,A483,DITARI!$G:$G))&lt;0.005,"OK","ERROR"))</f>
        <v/>
      </c>
      <c r="C483" s="474" t="str">
        <f aca="false">IF(A483="","",SUMIF(DITARI!$C:$C,A483,DITARI!$F:$F))</f>
        <v/>
      </c>
      <c r="D483" s="474" t="str">
        <f aca="false">IF(A483="","",SUMIF(DITARI!$C:$C,A483,DITARI!$G:$G))</f>
        <v/>
      </c>
      <c r="E483" s="474" t="str">
        <f aca="false">IF(A483="","",C483-D483)</f>
        <v/>
      </c>
      <c r="F483" s="116" t="str">
        <f aca="false">IF(A483="","",COUNTIF(DITARI!$C:$C,A483))</f>
        <v/>
      </c>
    </row>
    <row r="484" customFormat="false" ht="14.25" hidden="false" customHeight="true" outlineLevel="0" collapsed="false">
      <c r="A484" s="116" t="str">
        <f aca="false">IF(COUNTIF(DITARI!$C$6:C486,DITARI!C486)=1,DITARI!C486,"")</f>
        <v/>
      </c>
      <c r="B484" s="116" t="str">
        <f aca="false">IF(A484="","",IF(ABS(SUMIF(DITARI!$C:$C,A484,DITARI!$F:$F)-SUMIF(DITARI!$C:$C,A484,DITARI!$G:$G))&lt;0.005,"OK","ERROR"))</f>
        <v/>
      </c>
      <c r="C484" s="474" t="str">
        <f aca="false">IF(A484="","",SUMIF(DITARI!$C:$C,A484,DITARI!$F:$F))</f>
        <v/>
      </c>
      <c r="D484" s="474" t="str">
        <f aca="false">IF(A484="","",SUMIF(DITARI!$C:$C,A484,DITARI!$G:$G))</f>
        <v/>
      </c>
      <c r="E484" s="474" t="str">
        <f aca="false">IF(A484="","",C484-D484)</f>
        <v/>
      </c>
      <c r="F484" s="116" t="str">
        <f aca="false">IF(A484="","",COUNTIF(DITARI!$C:$C,A484))</f>
        <v/>
      </c>
    </row>
    <row r="485" customFormat="false" ht="14.25" hidden="false" customHeight="true" outlineLevel="0" collapsed="false">
      <c r="A485" s="116" t="str">
        <f aca="false">IF(COUNTIF(DITARI!$C$6:C487,DITARI!C487)=1,DITARI!C487,"")</f>
        <v/>
      </c>
      <c r="B485" s="116" t="str">
        <f aca="false">IF(A485="","",IF(ABS(SUMIF(DITARI!$C:$C,A485,DITARI!$F:$F)-SUMIF(DITARI!$C:$C,A485,DITARI!$G:$G))&lt;0.005,"OK","ERROR"))</f>
        <v/>
      </c>
      <c r="C485" s="474" t="str">
        <f aca="false">IF(A485="","",SUMIF(DITARI!$C:$C,A485,DITARI!$F:$F))</f>
        <v/>
      </c>
      <c r="D485" s="474" t="str">
        <f aca="false">IF(A485="","",SUMIF(DITARI!$C:$C,A485,DITARI!$G:$G))</f>
        <v/>
      </c>
      <c r="E485" s="474" t="str">
        <f aca="false">IF(A485="","",C485-D485)</f>
        <v/>
      </c>
      <c r="F485" s="116" t="str">
        <f aca="false">IF(A485="","",COUNTIF(DITARI!$C:$C,A485))</f>
        <v/>
      </c>
    </row>
    <row r="486" customFormat="false" ht="14.25" hidden="false" customHeight="true" outlineLevel="0" collapsed="false">
      <c r="A486" s="116" t="str">
        <f aca="false">IF(COUNTIF(DITARI!$C$6:C488,DITARI!C488)=1,DITARI!C488,"")</f>
        <v/>
      </c>
      <c r="B486" s="116" t="str">
        <f aca="false">IF(A486="","",IF(ABS(SUMIF(DITARI!$C:$C,A486,DITARI!$F:$F)-SUMIF(DITARI!$C:$C,A486,DITARI!$G:$G))&lt;0.005,"OK","ERROR"))</f>
        <v/>
      </c>
      <c r="C486" s="474" t="str">
        <f aca="false">IF(A486="","",SUMIF(DITARI!$C:$C,A486,DITARI!$F:$F))</f>
        <v/>
      </c>
      <c r="D486" s="474" t="str">
        <f aca="false">IF(A486="","",SUMIF(DITARI!$C:$C,A486,DITARI!$G:$G))</f>
        <v/>
      </c>
      <c r="E486" s="474" t="str">
        <f aca="false">IF(A486="","",C486-D486)</f>
        <v/>
      </c>
      <c r="F486" s="116" t="str">
        <f aca="false">IF(A486="","",COUNTIF(DITARI!$C:$C,A486))</f>
        <v/>
      </c>
    </row>
    <row r="487" customFormat="false" ht="14.25" hidden="false" customHeight="true" outlineLevel="0" collapsed="false">
      <c r="A487" s="116" t="str">
        <f aca="false">IF(COUNTIF(DITARI!$C$6:C489,DITARI!C489)=1,DITARI!C489,"")</f>
        <v/>
      </c>
      <c r="B487" s="116" t="str">
        <f aca="false">IF(A487="","",IF(ABS(SUMIF(DITARI!$C:$C,A487,DITARI!$F:$F)-SUMIF(DITARI!$C:$C,A487,DITARI!$G:$G))&lt;0.005,"OK","ERROR"))</f>
        <v/>
      </c>
      <c r="C487" s="474" t="str">
        <f aca="false">IF(A487="","",SUMIF(DITARI!$C:$C,A487,DITARI!$F:$F))</f>
        <v/>
      </c>
      <c r="D487" s="474" t="str">
        <f aca="false">IF(A487="","",SUMIF(DITARI!$C:$C,A487,DITARI!$G:$G))</f>
        <v/>
      </c>
      <c r="E487" s="474" t="str">
        <f aca="false">IF(A487="","",C487-D487)</f>
        <v/>
      </c>
      <c r="F487" s="116" t="str">
        <f aca="false">IF(A487="","",COUNTIF(DITARI!$C:$C,A487))</f>
        <v/>
      </c>
    </row>
    <row r="488" customFormat="false" ht="14.25" hidden="false" customHeight="true" outlineLevel="0" collapsed="false">
      <c r="A488" s="116" t="str">
        <f aca="false">IF(COUNTIF(DITARI!$C$6:C490,DITARI!C490)=1,DITARI!C490,"")</f>
        <v/>
      </c>
      <c r="B488" s="116" t="str">
        <f aca="false">IF(A488="","",IF(ABS(SUMIF(DITARI!$C:$C,A488,DITARI!$F:$F)-SUMIF(DITARI!$C:$C,A488,DITARI!$G:$G))&lt;0.005,"OK","ERROR"))</f>
        <v/>
      </c>
      <c r="C488" s="474" t="str">
        <f aca="false">IF(A488="","",SUMIF(DITARI!$C:$C,A488,DITARI!$F:$F))</f>
        <v/>
      </c>
      <c r="D488" s="474" t="str">
        <f aca="false">IF(A488="","",SUMIF(DITARI!$C:$C,A488,DITARI!$G:$G))</f>
        <v/>
      </c>
      <c r="E488" s="474" t="str">
        <f aca="false">IF(A488="","",C488-D488)</f>
        <v/>
      </c>
      <c r="F488" s="116" t="str">
        <f aca="false">IF(A488="","",COUNTIF(DITARI!$C:$C,A488))</f>
        <v/>
      </c>
    </row>
    <row r="489" customFormat="false" ht="14.25" hidden="false" customHeight="true" outlineLevel="0" collapsed="false">
      <c r="A489" s="116" t="str">
        <f aca="false">IF(COUNTIF(DITARI!$C$6:C491,DITARI!C491)=1,DITARI!C491,"")</f>
        <v/>
      </c>
      <c r="B489" s="116" t="str">
        <f aca="false">IF(A489="","",IF(ABS(SUMIF(DITARI!$C:$C,A489,DITARI!$F:$F)-SUMIF(DITARI!$C:$C,A489,DITARI!$G:$G))&lt;0.005,"OK","ERROR"))</f>
        <v/>
      </c>
      <c r="C489" s="474" t="str">
        <f aca="false">IF(A489="","",SUMIF(DITARI!$C:$C,A489,DITARI!$F:$F))</f>
        <v/>
      </c>
      <c r="D489" s="474" t="str">
        <f aca="false">IF(A489="","",SUMIF(DITARI!$C:$C,A489,DITARI!$G:$G))</f>
        <v/>
      </c>
      <c r="E489" s="474" t="str">
        <f aca="false">IF(A489="","",C489-D489)</f>
        <v/>
      </c>
      <c r="F489" s="116" t="str">
        <f aca="false">IF(A489="","",COUNTIF(DITARI!$C:$C,A489))</f>
        <v/>
      </c>
    </row>
    <row r="490" customFormat="false" ht="14.25" hidden="false" customHeight="true" outlineLevel="0" collapsed="false">
      <c r="A490" s="116" t="str">
        <f aca="false">IF(COUNTIF(DITARI!$C$6:C492,DITARI!C492)=1,DITARI!C492,"")</f>
        <v/>
      </c>
      <c r="B490" s="116" t="str">
        <f aca="false">IF(A490="","",IF(ABS(SUMIF(DITARI!$C:$C,A490,DITARI!$F:$F)-SUMIF(DITARI!$C:$C,A490,DITARI!$G:$G))&lt;0.005,"OK","ERROR"))</f>
        <v/>
      </c>
      <c r="C490" s="474" t="str">
        <f aca="false">IF(A490="","",SUMIF(DITARI!$C:$C,A490,DITARI!$F:$F))</f>
        <v/>
      </c>
      <c r="D490" s="474" t="str">
        <f aca="false">IF(A490="","",SUMIF(DITARI!$C:$C,A490,DITARI!$G:$G))</f>
        <v/>
      </c>
      <c r="E490" s="474" t="str">
        <f aca="false">IF(A490="","",C490-D490)</f>
        <v/>
      </c>
      <c r="F490" s="116" t="str">
        <f aca="false">IF(A490="","",COUNTIF(DITARI!$C:$C,A490))</f>
        <v/>
      </c>
    </row>
    <row r="491" customFormat="false" ht="14.25" hidden="false" customHeight="true" outlineLevel="0" collapsed="false">
      <c r="A491" s="116" t="str">
        <f aca="false">IF(COUNTIF(DITARI!$C$6:C493,DITARI!C493)=1,DITARI!C493,"")</f>
        <v/>
      </c>
      <c r="B491" s="116" t="str">
        <f aca="false">IF(A491="","",IF(ABS(SUMIF(DITARI!$C:$C,A491,DITARI!$F:$F)-SUMIF(DITARI!$C:$C,A491,DITARI!$G:$G))&lt;0.005,"OK","ERROR"))</f>
        <v/>
      </c>
      <c r="C491" s="474" t="str">
        <f aca="false">IF(A491="","",SUMIF(DITARI!$C:$C,A491,DITARI!$F:$F))</f>
        <v/>
      </c>
      <c r="D491" s="474" t="str">
        <f aca="false">IF(A491="","",SUMIF(DITARI!$C:$C,A491,DITARI!$G:$G))</f>
        <v/>
      </c>
      <c r="E491" s="474" t="str">
        <f aca="false">IF(A491="","",C491-D491)</f>
        <v/>
      </c>
      <c r="F491" s="116" t="str">
        <f aca="false">IF(A491="","",COUNTIF(DITARI!$C:$C,A491))</f>
        <v/>
      </c>
    </row>
    <row r="492" customFormat="false" ht="14.25" hidden="false" customHeight="true" outlineLevel="0" collapsed="false">
      <c r="A492" s="116" t="str">
        <f aca="false">IF(COUNTIF(DITARI!$C$6:C494,DITARI!C494)=1,DITARI!C494,"")</f>
        <v/>
      </c>
      <c r="B492" s="116" t="str">
        <f aca="false">IF(A492="","",IF(ABS(SUMIF(DITARI!$C:$C,A492,DITARI!$F:$F)-SUMIF(DITARI!$C:$C,A492,DITARI!$G:$G))&lt;0.005,"OK","ERROR"))</f>
        <v/>
      </c>
      <c r="C492" s="474" t="str">
        <f aca="false">IF(A492="","",SUMIF(DITARI!$C:$C,A492,DITARI!$F:$F))</f>
        <v/>
      </c>
      <c r="D492" s="474" t="str">
        <f aca="false">IF(A492="","",SUMIF(DITARI!$C:$C,A492,DITARI!$G:$G))</f>
        <v/>
      </c>
      <c r="E492" s="474" t="str">
        <f aca="false">IF(A492="","",C492-D492)</f>
        <v/>
      </c>
      <c r="F492" s="116" t="str">
        <f aca="false">IF(A492="","",COUNTIF(DITARI!$C:$C,A492))</f>
        <v/>
      </c>
    </row>
    <row r="493" customFormat="false" ht="14.25" hidden="false" customHeight="true" outlineLevel="0" collapsed="false">
      <c r="A493" s="116" t="str">
        <f aca="false">IF(COUNTIF(DITARI!$C$6:C495,DITARI!C495)=1,DITARI!C495,"")</f>
        <v/>
      </c>
      <c r="B493" s="116" t="str">
        <f aca="false">IF(A493="","",IF(ABS(SUMIF(DITARI!$C:$C,A493,DITARI!$F:$F)-SUMIF(DITARI!$C:$C,A493,DITARI!$G:$G))&lt;0.005,"OK","ERROR"))</f>
        <v/>
      </c>
      <c r="C493" s="474" t="str">
        <f aca="false">IF(A493="","",SUMIF(DITARI!$C:$C,A493,DITARI!$F:$F))</f>
        <v/>
      </c>
      <c r="D493" s="474" t="str">
        <f aca="false">IF(A493="","",SUMIF(DITARI!$C:$C,A493,DITARI!$G:$G))</f>
        <v/>
      </c>
      <c r="E493" s="474" t="str">
        <f aca="false">IF(A493="","",C493-D493)</f>
        <v/>
      </c>
      <c r="F493" s="116" t="str">
        <f aca="false">IF(A493="","",COUNTIF(DITARI!$C:$C,A493))</f>
        <v/>
      </c>
    </row>
    <row r="494" customFormat="false" ht="14.25" hidden="false" customHeight="true" outlineLevel="0" collapsed="false">
      <c r="A494" s="116" t="str">
        <f aca="false">IF(COUNTIF(DITARI!$C$6:C496,DITARI!C496)=1,DITARI!C496,"")</f>
        <v/>
      </c>
      <c r="B494" s="116" t="str">
        <f aca="false">IF(A494="","",IF(ABS(SUMIF(DITARI!$C:$C,A494,DITARI!$F:$F)-SUMIF(DITARI!$C:$C,A494,DITARI!$G:$G))&lt;0.005,"OK","ERROR"))</f>
        <v/>
      </c>
      <c r="C494" s="474" t="str">
        <f aca="false">IF(A494="","",SUMIF(DITARI!$C:$C,A494,DITARI!$F:$F))</f>
        <v/>
      </c>
      <c r="D494" s="474" t="str">
        <f aca="false">IF(A494="","",SUMIF(DITARI!$C:$C,A494,DITARI!$G:$G))</f>
        <v/>
      </c>
      <c r="E494" s="474" t="str">
        <f aca="false">IF(A494="","",C494-D494)</f>
        <v/>
      </c>
      <c r="F494" s="116" t="str">
        <f aca="false">IF(A494="","",COUNTIF(DITARI!$C:$C,A494))</f>
        <v/>
      </c>
    </row>
    <row r="495" customFormat="false" ht="14.25" hidden="false" customHeight="true" outlineLevel="0" collapsed="false">
      <c r="A495" s="116" t="str">
        <f aca="false">IF(COUNTIF(DITARI!$C$6:C497,DITARI!C497)=1,DITARI!C497,"")</f>
        <v/>
      </c>
      <c r="B495" s="116" t="str">
        <f aca="false">IF(A495="","",IF(ABS(SUMIF(DITARI!$C:$C,A495,DITARI!$F:$F)-SUMIF(DITARI!$C:$C,A495,DITARI!$G:$G))&lt;0.005,"OK","ERROR"))</f>
        <v/>
      </c>
      <c r="C495" s="474" t="str">
        <f aca="false">IF(A495="","",SUMIF(DITARI!$C:$C,A495,DITARI!$F:$F))</f>
        <v/>
      </c>
      <c r="D495" s="474" t="str">
        <f aca="false">IF(A495="","",SUMIF(DITARI!$C:$C,A495,DITARI!$G:$G))</f>
        <v/>
      </c>
      <c r="E495" s="474" t="str">
        <f aca="false">IF(A495="","",C495-D495)</f>
        <v/>
      </c>
      <c r="F495" s="116" t="str">
        <f aca="false">IF(A495="","",COUNTIF(DITARI!$C:$C,A495))</f>
        <v/>
      </c>
    </row>
    <row r="496" customFormat="false" ht="14.25" hidden="false" customHeight="true" outlineLevel="0" collapsed="false">
      <c r="A496" s="116" t="str">
        <f aca="false">IF(COUNTIF(DITARI!$C$6:C498,DITARI!C498)=1,DITARI!C498,"")</f>
        <v/>
      </c>
      <c r="B496" s="116" t="str">
        <f aca="false">IF(A496="","",IF(ABS(SUMIF(DITARI!$C:$C,A496,DITARI!$F:$F)-SUMIF(DITARI!$C:$C,A496,DITARI!$G:$G))&lt;0.005,"OK","ERROR"))</f>
        <v/>
      </c>
      <c r="C496" s="474" t="str">
        <f aca="false">IF(A496="","",SUMIF(DITARI!$C:$C,A496,DITARI!$F:$F))</f>
        <v/>
      </c>
      <c r="D496" s="474" t="str">
        <f aca="false">IF(A496="","",SUMIF(DITARI!$C:$C,A496,DITARI!$G:$G))</f>
        <v/>
      </c>
      <c r="E496" s="474" t="str">
        <f aca="false">IF(A496="","",C496-D496)</f>
        <v/>
      </c>
      <c r="F496" s="116" t="str">
        <f aca="false">IF(A496="","",COUNTIF(DITARI!$C:$C,A496))</f>
        <v/>
      </c>
    </row>
    <row r="497" customFormat="false" ht="14.25" hidden="false" customHeight="true" outlineLevel="0" collapsed="false">
      <c r="A497" s="116" t="str">
        <f aca="false">IF(COUNTIF(DITARI!$C$6:C499,DITARI!C499)=1,DITARI!C499,"")</f>
        <v/>
      </c>
      <c r="B497" s="116" t="str">
        <f aca="false">IF(A497="","",IF(ABS(SUMIF(DITARI!$C:$C,A497,DITARI!$F:$F)-SUMIF(DITARI!$C:$C,A497,DITARI!$G:$G))&lt;0.005,"OK","ERROR"))</f>
        <v/>
      </c>
      <c r="C497" s="474" t="str">
        <f aca="false">IF(A497="","",SUMIF(DITARI!$C:$C,A497,DITARI!$F:$F))</f>
        <v/>
      </c>
      <c r="D497" s="474" t="str">
        <f aca="false">IF(A497="","",SUMIF(DITARI!$C:$C,A497,DITARI!$G:$G))</f>
        <v/>
      </c>
      <c r="E497" s="474" t="str">
        <f aca="false">IF(A497="","",C497-D497)</f>
        <v/>
      </c>
      <c r="F497" s="116" t="str">
        <f aca="false">IF(A497="","",COUNTIF(DITARI!$C:$C,A497))</f>
        <v/>
      </c>
    </row>
    <row r="498" customFormat="false" ht="14.25" hidden="false" customHeight="true" outlineLevel="0" collapsed="false">
      <c r="A498" s="116" t="str">
        <f aca="false">IF(COUNTIF(DITARI!$C$6:C550,DITARI!C500)=1,DITARI!C500,"")</f>
        <v/>
      </c>
      <c r="B498" s="116" t="str">
        <f aca="false">IF(A498="","",IF(ABS(SUMIF(DITARI!$C:$C,A498,DITARI!$F:$F)-SUMIF(DITARI!$C:$C,A498,DITARI!$G:$G))&lt;0.005,"OK","ERROR"))</f>
        <v/>
      </c>
      <c r="C498" s="474" t="str">
        <f aca="false">IF(A498="","",SUMIF(DITARI!$C:$C,A498,DITARI!$F:$F))</f>
        <v/>
      </c>
      <c r="D498" s="474" t="str">
        <f aca="false">IF(A498="","",SUMIF(DITARI!$C:$C,A498,DITARI!$G:$G))</f>
        <v/>
      </c>
      <c r="E498" s="474" t="str">
        <f aca="false">IF(A498="","",C498-D498)</f>
        <v/>
      </c>
      <c r="F498" s="116" t="str">
        <f aca="false">IF(A498="","",COUNTIF(DITARI!$C:$C,A498))</f>
        <v/>
      </c>
    </row>
    <row r="499" customFormat="false" ht="14.25" hidden="false" customHeight="true" outlineLevel="0" collapsed="false">
      <c r="A499" s="116" t="str">
        <f aca="false">IF(COUNTIF(DITARI!$C$6:C501,DITARI!C501)=1,DITARI!C501,"")</f>
        <v/>
      </c>
      <c r="B499" s="116" t="str">
        <f aca="false">IF(A499="","",IF(ABS(SUMIF(DITARI!$C:$C,A499,DITARI!$F:$F)-SUMIF(DITARI!$C:$C,A499,DITARI!$G:$G))&lt;0.005,"OK","ERROR"))</f>
        <v/>
      </c>
      <c r="C499" s="474" t="str">
        <f aca="false">IF(A499="","",SUMIF(DITARI!$C:$C,A499,DITARI!$F:$F))</f>
        <v/>
      </c>
      <c r="D499" s="474" t="str">
        <f aca="false">IF(A499="","",SUMIF(DITARI!$C:$C,A499,DITARI!$G:$G))</f>
        <v/>
      </c>
      <c r="E499" s="474" t="str">
        <f aca="false">IF(A499="","",C499-D499)</f>
        <v/>
      </c>
      <c r="F499" s="116" t="str">
        <f aca="false">IF(A499="","",COUNTIF(DITARI!$C:$C,A499))</f>
        <v/>
      </c>
    </row>
    <row r="500" customFormat="false" ht="14.25" hidden="false" customHeight="true" outlineLevel="0" collapsed="false">
      <c r="A500" s="116" t="str">
        <f aca="false">IF(COUNTIF(DITARI!$C$6:C502,DITARI!C502)=1,DITARI!C502,"")</f>
        <v/>
      </c>
      <c r="B500" s="116" t="str">
        <f aca="false">IF(A500="","",IF(ABS(SUMIF(DITARI!$C:$C,A500,DITARI!$F:$F)-SUMIF(DITARI!$C:$C,A500,DITARI!$G:$G))&lt;0.005,"OK","ERROR"))</f>
        <v/>
      </c>
      <c r="C500" s="474" t="str">
        <f aca="false">IF(A500="","",SUMIF(DITARI!$C:$C,A500,DITARI!$F:$F))</f>
        <v/>
      </c>
      <c r="D500" s="474" t="str">
        <f aca="false">IF(A500="","",SUMIF(DITARI!$C:$C,A500,DITARI!$G:$G))</f>
        <v/>
      </c>
      <c r="E500" s="474" t="str">
        <f aca="false">IF(A500="","",C500-D500)</f>
        <v/>
      </c>
      <c r="F500" s="116" t="str">
        <f aca="false">IF(A500="","",COUNTIF(DITARI!$C:$C,A500))</f>
        <v/>
      </c>
    </row>
  </sheetData>
  <sheetProtection sheet="true" password="91db" formatCells="false" formatColumns="false" formatRows="false" sort="false" autoFilter="false"/>
  <conditionalFormatting sqref="B5:B404">
    <cfRule type="expression" priority="2" aboveAverage="0" equalAverage="0" bottom="0" percent="0" rank="0" text="" dxfId="4">
      <formula>B5="OK"</formula>
    </cfRule>
    <cfRule type="expression" priority="3" aboveAverage="0" equalAverage="0" bottom="0" percent="0" rank="0" text="" dxfId="5">
      <formula>B5="ERROR"</formula>
    </cfRule>
  </conditionalFormatting>
  <conditionalFormatting sqref="B4:B500">
    <cfRule type="expression" priority="4" aboveAverage="0" equalAverage="0" bottom="0" percent="0" rank="0" text="" dxfId="8">
      <formula>B4="OK"</formula>
    </cfRule>
    <cfRule type="expression" priority="5" aboveAverage="0" equalAverage="0" bottom="0" percent="0" rank="0" text="" dxfId="9">
      <formula>B4="ERROR"</formula>
    </cfRule>
  </conditionalFormatting>
  <hyperlinks>
    <hyperlink ref="L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2" min="1" style="1" width="12"/>
    <col collapsed="false" customWidth="true" hidden="false" outlineLevel="0" max="3" min="3" style="1" width="16"/>
    <col collapsed="false" customWidth="true" hidden="false" outlineLevel="0" max="4" min="4" style="1" width="42"/>
    <col collapsed="false" customWidth="true" hidden="false" outlineLevel="0" max="7" min="5" style="1" width="14"/>
    <col collapsed="false" customWidth="true" hidden="false" outlineLevel="0" max="8" min="8" style="1" width="22"/>
  </cols>
  <sheetData>
    <row r="1" customFormat="false" ht="17.25" hidden="false" customHeight="true" outlineLevel="0" collapsed="false">
      <c r="A1" s="475" t="s">
        <v>1334</v>
      </c>
      <c r="B1" s="475"/>
      <c r="C1" s="475"/>
      <c r="D1" s="475"/>
      <c r="E1" s="475"/>
      <c r="F1" s="475"/>
      <c r="G1" s="475"/>
      <c r="H1" s="475"/>
    </row>
    <row r="2" customFormat="false" ht="15" hidden="false" customHeight="true" outlineLevel="0" collapsed="false">
      <c r="A2" s="476" t="s">
        <v>1335</v>
      </c>
      <c r="B2" s="476"/>
      <c r="C2" s="476"/>
      <c r="D2" s="476"/>
      <c r="E2" s="476"/>
      <c r="F2" s="476"/>
      <c r="G2" s="476"/>
      <c r="H2" s="476"/>
    </row>
    <row r="4" customFormat="false" ht="15" hidden="false" customHeight="true" outlineLevel="0" collapsed="false">
      <c r="A4" s="477" t="s">
        <v>1336</v>
      </c>
      <c r="B4" s="477"/>
      <c r="C4" s="477"/>
      <c r="D4" s="477"/>
      <c r="E4" s="477"/>
      <c r="F4" s="477"/>
      <c r="G4" s="477"/>
      <c r="H4" s="477"/>
    </row>
    <row r="5" customFormat="false" ht="15" hidden="false" customHeight="true" outlineLevel="0" collapsed="false">
      <c r="A5" s="478" t="s">
        <v>740</v>
      </c>
      <c r="B5" s="478" t="s">
        <v>741</v>
      </c>
      <c r="C5" s="478" t="s">
        <v>742</v>
      </c>
      <c r="D5" s="478" t="s">
        <v>747</v>
      </c>
      <c r="E5" s="478" t="s">
        <v>212</v>
      </c>
      <c r="F5" s="478" t="s">
        <v>745</v>
      </c>
      <c r="G5" s="478" t="s">
        <v>1337</v>
      </c>
      <c r="H5" s="478" t="s">
        <v>746</v>
      </c>
    </row>
    <row r="6" customFormat="false" ht="15" hidden="false" customHeight="true" outlineLevel="0" collapsed="false">
      <c r="A6" s="479" t="n">
        <v>43871</v>
      </c>
      <c r="B6" s="480" t="n">
        <v>4</v>
      </c>
      <c r="C6" s="480" t="s">
        <v>1338</v>
      </c>
      <c r="D6" s="480" t="s">
        <v>1339</v>
      </c>
      <c r="E6" s="481" t="n">
        <v>29400000</v>
      </c>
      <c r="F6" s="481"/>
      <c r="G6" s="481" t="n">
        <v>29400000</v>
      </c>
      <c r="H6" s="480" t="s">
        <v>1340</v>
      </c>
    </row>
    <row r="7" customFormat="false" ht="15" hidden="false" customHeight="true" outlineLevel="0" collapsed="false">
      <c r="A7" s="479" t="n">
        <v>43983</v>
      </c>
      <c r="B7" s="480" t="n">
        <v>9</v>
      </c>
      <c r="C7" s="480" t="s">
        <v>1341</v>
      </c>
      <c r="D7" s="480" t="s">
        <v>1342</v>
      </c>
      <c r="E7" s="481" t="n">
        <v>3600000</v>
      </c>
      <c r="F7" s="481"/>
      <c r="G7" s="481" t="n">
        <v>33000000</v>
      </c>
      <c r="H7" s="480"/>
    </row>
    <row r="8" customFormat="false" ht="15" hidden="false" customHeight="true" outlineLevel="0" collapsed="false">
      <c r="D8" s="482" t="s">
        <v>1343</v>
      </c>
      <c r="E8" s="483" t="n">
        <v>33000000</v>
      </c>
      <c r="F8" s="483" t="n">
        <v>0</v>
      </c>
      <c r="G8" s="483" t="n">
        <v>33000000</v>
      </c>
    </row>
    <row r="11" customFormat="false" ht="15" hidden="false" customHeight="true" outlineLevel="0" collapsed="false">
      <c r="A11" s="477" t="s">
        <v>1344</v>
      </c>
      <c r="B11" s="477"/>
      <c r="C11" s="477"/>
      <c r="D11" s="477"/>
      <c r="E11" s="477"/>
      <c r="F11" s="477"/>
      <c r="G11" s="477"/>
      <c r="H11" s="477"/>
    </row>
    <row r="12" customFormat="false" ht="15" hidden="false" customHeight="true" outlineLevel="0" collapsed="false">
      <c r="A12" s="478" t="s">
        <v>740</v>
      </c>
      <c r="B12" s="478" t="s">
        <v>741</v>
      </c>
      <c r="C12" s="478" t="s">
        <v>742</v>
      </c>
      <c r="D12" s="478" t="s">
        <v>747</v>
      </c>
      <c r="E12" s="478" t="s">
        <v>212</v>
      </c>
      <c r="F12" s="478" t="s">
        <v>745</v>
      </c>
      <c r="G12" s="478" t="s">
        <v>1337</v>
      </c>
      <c r="H12" s="478" t="s">
        <v>746</v>
      </c>
    </row>
    <row r="13" customFormat="false" ht="15" hidden="false" customHeight="true" outlineLevel="0" collapsed="false">
      <c r="A13" s="479" t="n">
        <v>43983</v>
      </c>
      <c r="B13" s="480" t="n">
        <v>9</v>
      </c>
      <c r="C13" s="480" t="s">
        <v>1345</v>
      </c>
      <c r="D13" s="480" t="s">
        <v>1346</v>
      </c>
      <c r="E13" s="481"/>
      <c r="F13" s="481" t="n">
        <v>100000</v>
      </c>
      <c r="G13" s="481" t="n">
        <v>-100000</v>
      </c>
      <c r="H13" s="480"/>
    </row>
    <row r="14" customFormat="false" ht="15" hidden="false" customHeight="true" outlineLevel="0" collapsed="false">
      <c r="D14" s="482" t="s">
        <v>1343</v>
      </c>
      <c r="E14" s="483" t="n">
        <v>0</v>
      </c>
      <c r="F14" s="483" t="n">
        <v>100000</v>
      </c>
      <c r="G14" s="483" t="n">
        <v>-100000</v>
      </c>
    </row>
    <row r="17" customFormat="false" ht="15" hidden="false" customHeight="true" outlineLevel="0" collapsed="false">
      <c r="A17" s="477" t="s">
        <v>1347</v>
      </c>
      <c r="B17" s="477"/>
      <c r="C17" s="477"/>
      <c r="D17" s="477"/>
      <c r="E17" s="477"/>
      <c r="F17" s="477"/>
      <c r="G17" s="477"/>
      <c r="H17" s="477"/>
    </row>
    <row r="18" customFormat="false" ht="15" hidden="false" customHeight="true" outlineLevel="0" collapsed="false">
      <c r="A18" s="478" t="s">
        <v>740</v>
      </c>
      <c r="B18" s="478" t="s">
        <v>741</v>
      </c>
      <c r="C18" s="478" t="s">
        <v>742</v>
      </c>
      <c r="D18" s="478" t="s">
        <v>747</v>
      </c>
      <c r="E18" s="478" t="s">
        <v>212</v>
      </c>
      <c r="F18" s="478" t="s">
        <v>745</v>
      </c>
      <c r="G18" s="478" t="s">
        <v>1337</v>
      </c>
      <c r="H18" s="478" t="s">
        <v>746</v>
      </c>
    </row>
    <row r="19" customFormat="false" ht="15" hidden="false" customHeight="true" outlineLevel="0" collapsed="false">
      <c r="A19" s="479" t="n">
        <v>43831</v>
      </c>
      <c r="B19" s="480" t="n">
        <v>1</v>
      </c>
      <c r="C19" s="480" t="s">
        <v>1348</v>
      </c>
      <c r="D19" s="480" t="s">
        <v>1349</v>
      </c>
      <c r="E19" s="481"/>
      <c r="F19" s="481" t="n">
        <v>48000000</v>
      </c>
      <c r="G19" s="481" t="n">
        <v>-48000000</v>
      </c>
      <c r="H19" s="480"/>
    </row>
    <row r="20" customFormat="false" ht="15" hidden="false" customHeight="true" outlineLevel="0" collapsed="false">
      <c r="A20" s="479" t="n">
        <v>43983</v>
      </c>
      <c r="B20" s="480" t="n">
        <v>9</v>
      </c>
      <c r="C20" s="480" t="s">
        <v>1350</v>
      </c>
      <c r="D20" s="480" t="s">
        <v>1351</v>
      </c>
      <c r="E20" s="481"/>
      <c r="F20" s="481" t="n">
        <v>18000000</v>
      </c>
      <c r="G20" s="481" t="n">
        <v>-66000000</v>
      </c>
      <c r="H20" s="480"/>
    </row>
    <row r="21" customFormat="false" ht="15" hidden="false" customHeight="true" outlineLevel="0" collapsed="false">
      <c r="D21" s="482" t="s">
        <v>1343</v>
      </c>
      <c r="E21" s="483" t="n">
        <v>0</v>
      </c>
      <c r="F21" s="483" t="n">
        <v>66000000</v>
      </c>
      <c r="G21" s="483" t="n">
        <v>-66000000</v>
      </c>
    </row>
    <row r="24" customFormat="false" ht="15" hidden="false" customHeight="true" outlineLevel="0" collapsed="false">
      <c r="A24" s="477" t="s">
        <v>1352</v>
      </c>
      <c r="B24" s="477"/>
      <c r="C24" s="477"/>
      <c r="D24" s="477"/>
      <c r="E24" s="477"/>
      <c r="F24" s="477"/>
      <c r="G24" s="477"/>
      <c r="H24" s="477"/>
    </row>
    <row r="25" customFormat="false" ht="15" hidden="false" customHeight="true" outlineLevel="0" collapsed="false">
      <c r="A25" s="478" t="s">
        <v>740</v>
      </c>
      <c r="B25" s="478" t="s">
        <v>741</v>
      </c>
      <c r="C25" s="478" t="s">
        <v>742</v>
      </c>
      <c r="D25" s="478" t="s">
        <v>747</v>
      </c>
      <c r="E25" s="478" t="s">
        <v>212</v>
      </c>
      <c r="F25" s="478" t="s">
        <v>745</v>
      </c>
      <c r="G25" s="478" t="s">
        <v>1337</v>
      </c>
      <c r="H25" s="478" t="s">
        <v>746</v>
      </c>
    </row>
    <row r="26" customFormat="false" ht="15" hidden="false" customHeight="true" outlineLevel="0" collapsed="false">
      <c r="A26" s="479" t="n">
        <v>43983</v>
      </c>
      <c r="B26" s="480" t="n">
        <v>9</v>
      </c>
      <c r="C26" s="480" t="s">
        <v>1353</v>
      </c>
      <c r="D26" s="480" t="s">
        <v>1354</v>
      </c>
      <c r="E26" s="481"/>
      <c r="F26" s="481" t="n">
        <v>120000</v>
      </c>
      <c r="G26" s="481" t="n">
        <v>-120000</v>
      </c>
      <c r="H26" s="480"/>
    </row>
    <row r="27" customFormat="false" ht="15" hidden="false" customHeight="true" outlineLevel="0" collapsed="false">
      <c r="D27" s="482" t="s">
        <v>1343</v>
      </c>
      <c r="E27" s="483" t="n">
        <v>0</v>
      </c>
      <c r="F27" s="483" t="n">
        <v>120000</v>
      </c>
      <c r="G27" s="483" t="n">
        <v>-120000</v>
      </c>
    </row>
    <row r="30" customFormat="false" ht="15" hidden="false" customHeight="true" outlineLevel="0" collapsed="false">
      <c r="A30" s="477" t="s">
        <v>1355</v>
      </c>
      <c r="B30" s="477"/>
      <c r="C30" s="477"/>
      <c r="D30" s="477"/>
      <c r="E30" s="477"/>
      <c r="F30" s="477"/>
      <c r="G30" s="477"/>
      <c r="H30" s="477"/>
    </row>
    <row r="31" customFormat="false" ht="15" hidden="false" customHeight="true" outlineLevel="0" collapsed="false">
      <c r="A31" s="478" t="s">
        <v>740</v>
      </c>
      <c r="B31" s="478" t="s">
        <v>741</v>
      </c>
      <c r="C31" s="478" t="s">
        <v>742</v>
      </c>
      <c r="D31" s="478" t="s">
        <v>747</v>
      </c>
      <c r="E31" s="478" t="s">
        <v>212</v>
      </c>
      <c r="F31" s="478" t="s">
        <v>745</v>
      </c>
      <c r="G31" s="478" t="s">
        <v>1337</v>
      </c>
      <c r="H31" s="478" t="s">
        <v>746</v>
      </c>
    </row>
    <row r="32" customFormat="false" ht="15" hidden="false" customHeight="true" outlineLevel="0" collapsed="false">
      <c r="A32" s="479" t="n">
        <v>43983</v>
      </c>
      <c r="B32" s="480" t="n">
        <v>9</v>
      </c>
      <c r="C32" s="480" t="s">
        <v>1356</v>
      </c>
      <c r="D32" s="480" t="s">
        <v>1357</v>
      </c>
      <c r="E32" s="481" t="n">
        <v>60000</v>
      </c>
      <c r="F32" s="481"/>
      <c r="G32" s="481" t="n">
        <v>60000</v>
      </c>
      <c r="H32" s="480"/>
    </row>
    <row r="33" customFormat="false" ht="15" hidden="false" customHeight="true" outlineLevel="0" collapsed="false">
      <c r="A33" s="479" t="n">
        <v>43983</v>
      </c>
      <c r="B33" s="480" t="n">
        <v>9</v>
      </c>
      <c r="C33" s="480" t="s">
        <v>1358</v>
      </c>
      <c r="D33" s="480" t="s">
        <v>1359</v>
      </c>
      <c r="E33" s="481" t="n">
        <v>2200000</v>
      </c>
      <c r="F33" s="481"/>
      <c r="G33" s="481" t="n">
        <v>2260000</v>
      </c>
      <c r="H33" s="480"/>
    </row>
    <row r="34" customFormat="false" ht="15" hidden="false" customHeight="true" outlineLevel="0" collapsed="false">
      <c r="D34" s="482" t="s">
        <v>1343</v>
      </c>
      <c r="E34" s="483" t="n">
        <v>2260000</v>
      </c>
      <c r="F34" s="483" t="n">
        <v>0</v>
      </c>
      <c r="G34" s="483" t="n">
        <v>2260000</v>
      </c>
    </row>
    <row r="37" customFormat="false" ht="15" hidden="false" customHeight="true" outlineLevel="0" collapsed="false">
      <c r="A37" s="477" t="s">
        <v>1360</v>
      </c>
      <c r="B37" s="477"/>
      <c r="C37" s="477"/>
      <c r="D37" s="477"/>
      <c r="E37" s="477"/>
      <c r="F37" s="477"/>
      <c r="G37" s="477"/>
      <c r="H37" s="477"/>
    </row>
    <row r="38" customFormat="false" ht="15" hidden="false" customHeight="true" outlineLevel="0" collapsed="false">
      <c r="A38" s="478" t="s">
        <v>740</v>
      </c>
      <c r="B38" s="478" t="s">
        <v>741</v>
      </c>
      <c r="C38" s="478" t="s">
        <v>742</v>
      </c>
      <c r="D38" s="478" t="s">
        <v>747</v>
      </c>
      <c r="E38" s="478" t="s">
        <v>212</v>
      </c>
      <c r="F38" s="478" t="s">
        <v>745</v>
      </c>
      <c r="G38" s="478" t="s">
        <v>1337</v>
      </c>
      <c r="H38" s="478" t="s">
        <v>746</v>
      </c>
    </row>
    <row r="39" customFormat="false" ht="15" hidden="false" customHeight="true" outlineLevel="0" collapsed="false">
      <c r="A39" s="479" t="n">
        <v>43983</v>
      </c>
      <c r="B39" s="480" t="n">
        <v>9</v>
      </c>
      <c r="C39" s="480" t="s">
        <v>1361</v>
      </c>
      <c r="D39" s="480" t="s">
        <v>1362</v>
      </c>
      <c r="E39" s="481" t="n">
        <v>16000000</v>
      </c>
      <c r="F39" s="481"/>
      <c r="G39" s="481" t="n">
        <v>16000000</v>
      </c>
      <c r="H39" s="480"/>
    </row>
    <row r="40" customFormat="false" ht="15" hidden="false" customHeight="true" outlineLevel="0" collapsed="false">
      <c r="D40" s="482" t="s">
        <v>1343</v>
      </c>
      <c r="E40" s="483" t="n">
        <v>16000000</v>
      </c>
      <c r="F40" s="483" t="n">
        <v>0</v>
      </c>
      <c r="G40" s="483" t="n">
        <v>16000000</v>
      </c>
    </row>
    <row r="43" customFormat="false" ht="15" hidden="false" customHeight="true" outlineLevel="0" collapsed="false">
      <c r="A43" s="477" t="s">
        <v>1363</v>
      </c>
      <c r="B43" s="477"/>
      <c r="C43" s="477"/>
      <c r="D43" s="477"/>
      <c r="E43" s="477"/>
      <c r="F43" s="477"/>
      <c r="G43" s="477"/>
      <c r="H43" s="477"/>
    </row>
    <row r="44" customFormat="false" ht="15" hidden="false" customHeight="true" outlineLevel="0" collapsed="false">
      <c r="A44" s="478" t="s">
        <v>740</v>
      </c>
      <c r="B44" s="478" t="s">
        <v>741</v>
      </c>
      <c r="C44" s="478" t="s">
        <v>742</v>
      </c>
      <c r="D44" s="478" t="s">
        <v>747</v>
      </c>
      <c r="E44" s="478" t="s">
        <v>212</v>
      </c>
      <c r="F44" s="478" t="s">
        <v>745</v>
      </c>
      <c r="G44" s="478" t="s">
        <v>1337</v>
      </c>
      <c r="H44" s="478" t="s">
        <v>746</v>
      </c>
    </row>
    <row r="45" customFormat="false" ht="15" hidden="false" customHeight="true" outlineLevel="0" collapsed="false">
      <c r="A45" s="479" t="n">
        <v>43831</v>
      </c>
      <c r="B45" s="480" t="n">
        <v>1</v>
      </c>
      <c r="C45" s="480" t="s">
        <v>1348</v>
      </c>
      <c r="D45" s="480" t="s">
        <v>1349</v>
      </c>
      <c r="E45" s="481" t="n">
        <v>11000000</v>
      </c>
      <c r="F45" s="481"/>
      <c r="G45" s="481" t="n">
        <v>11000000</v>
      </c>
      <c r="H45" s="480"/>
    </row>
    <row r="46" customFormat="false" ht="15" hidden="false" customHeight="true" outlineLevel="0" collapsed="false">
      <c r="A46" s="479" t="n">
        <v>43982</v>
      </c>
      <c r="B46" s="480" t="n">
        <v>2</v>
      </c>
      <c r="C46" s="480" t="s">
        <v>1364</v>
      </c>
      <c r="D46" s="480" t="s">
        <v>1365</v>
      </c>
      <c r="E46" s="481" t="n">
        <v>33333333</v>
      </c>
      <c r="F46" s="481"/>
      <c r="G46" s="481" t="n">
        <v>44333333</v>
      </c>
      <c r="H46" s="480" t="s">
        <v>1366</v>
      </c>
    </row>
    <row r="47" customFormat="false" ht="15" hidden="false" customHeight="true" outlineLevel="0" collapsed="false">
      <c r="A47" s="479" t="n">
        <v>43983</v>
      </c>
      <c r="B47" s="480" t="n">
        <v>9</v>
      </c>
      <c r="C47" s="480" t="s">
        <v>1367</v>
      </c>
      <c r="D47" s="480" t="s">
        <v>1368</v>
      </c>
      <c r="E47" s="481" t="n">
        <v>6400000</v>
      </c>
      <c r="F47" s="481"/>
      <c r="G47" s="481" t="n">
        <v>50733333</v>
      </c>
      <c r="H47" s="480"/>
    </row>
    <row r="48" customFormat="false" ht="15" hidden="false" customHeight="true" outlineLevel="0" collapsed="false">
      <c r="A48" s="479" t="n">
        <v>43983</v>
      </c>
      <c r="B48" s="480" t="n">
        <v>9</v>
      </c>
      <c r="C48" s="480" t="s">
        <v>1353</v>
      </c>
      <c r="D48" s="480" t="s">
        <v>1354</v>
      </c>
      <c r="E48" s="481" t="n">
        <v>120000</v>
      </c>
      <c r="F48" s="481"/>
      <c r="G48" s="481" t="n">
        <v>50853333</v>
      </c>
      <c r="H48" s="480"/>
    </row>
    <row r="49" customFormat="false" ht="15" hidden="false" customHeight="true" outlineLevel="0" collapsed="false">
      <c r="D49" s="482" t="s">
        <v>1343</v>
      </c>
      <c r="E49" s="483" t="n">
        <v>50853333</v>
      </c>
      <c r="F49" s="483" t="n">
        <v>0</v>
      </c>
      <c r="G49" s="483" t="n">
        <v>50853333</v>
      </c>
    </row>
    <row r="52" customFormat="false" ht="15" hidden="false" customHeight="true" outlineLevel="0" collapsed="false">
      <c r="A52" s="477" t="s">
        <v>1369</v>
      </c>
      <c r="B52" s="477"/>
      <c r="C52" s="477"/>
      <c r="D52" s="477"/>
      <c r="E52" s="477"/>
      <c r="F52" s="477"/>
      <c r="G52" s="477"/>
      <c r="H52" s="477"/>
    </row>
    <row r="53" customFormat="false" ht="15" hidden="false" customHeight="true" outlineLevel="0" collapsed="false">
      <c r="A53" s="478" t="s">
        <v>740</v>
      </c>
      <c r="B53" s="478" t="s">
        <v>741</v>
      </c>
      <c r="C53" s="478" t="s">
        <v>742</v>
      </c>
      <c r="D53" s="478" t="s">
        <v>747</v>
      </c>
      <c r="E53" s="478" t="s">
        <v>212</v>
      </c>
      <c r="F53" s="478" t="s">
        <v>745</v>
      </c>
      <c r="G53" s="478" t="s">
        <v>1337</v>
      </c>
      <c r="H53" s="478" t="s">
        <v>746</v>
      </c>
    </row>
    <row r="54" customFormat="false" ht="15" hidden="false" customHeight="true" outlineLevel="0" collapsed="false">
      <c r="A54" s="479" t="n">
        <v>43831</v>
      </c>
      <c r="B54" s="480" t="n">
        <v>1</v>
      </c>
      <c r="C54" s="480" t="s">
        <v>1348</v>
      </c>
      <c r="D54" s="480" t="s">
        <v>1349</v>
      </c>
      <c r="E54" s="481" t="n">
        <v>12000000</v>
      </c>
      <c r="F54" s="481"/>
      <c r="G54" s="481" t="n">
        <v>12000000</v>
      </c>
      <c r="H54" s="480"/>
    </row>
    <row r="55" customFormat="false" ht="15" hidden="false" customHeight="true" outlineLevel="0" collapsed="false">
      <c r="D55" s="482" t="s">
        <v>1343</v>
      </c>
      <c r="E55" s="483" t="n">
        <v>12000000</v>
      </c>
      <c r="F55" s="483" t="n">
        <v>0</v>
      </c>
      <c r="G55" s="483" t="n">
        <v>12000000</v>
      </c>
    </row>
    <row r="58" customFormat="false" ht="15" hidden="false" customHeight="true" outlineLevel="0" collapsed="false">
      <c r="A58" s="477" t="s">
        <v>1370</v>
      </c>
      <c r="B58" s="477"/>
      <c r="C58" s="477"/>
      <c r="D58" s="477"/>
      <c r="E58" s="477"/>
      <c r="F58" s="477"/>
      <c r="G58" s="477"/>
      <c r="H58" s="477"/>
    </row>
    <row r="59" customFormat="false" ht="15" hidden="false" customHeight="true" outlineLevel="0" collapsed="false">
      <c r="A59" s="478" t="s">
        <v>740</v>
      </c>
      <c r="B59" s="478" t="s">
        <v>741</v>
      </c>
      <c r="C59" s="478" t="s">
        <v>742</v>
      </c>
      <c r="D59" s="478" t="s">
        <v>747</v>
      </c>
      <c r="E59" s="478" t="s">
        <v>212</v>
      </c>
      <c r="F59" s="478" t="s">
        <v>745</v>
      </c>
      <c r="G59" s="478" t="s">
        <v>1337</v>
      </c>
      <c r="H59" s="478" t="s">
        <v>746</v>
      </c>
    </row>
    <row r="60" customFormat="false" ht="15" hidden="false" customHeight="true" outlineLevel="0" collapsed="false">
      <c r="A60" s="479" t="n">
        <v>43983</v>
      </c>
      <c r="B60" s="480" t="n">
        <v>9</v>
      </c>
      <c r="C60" s="480" t="s">
        <v>1371</v>
      </c>
      <c r="D60" s="480" t="s">
        <v>1372</v>
      </c>
      <c r="E60" s="481" t="n">
        <v>1200000</v>
      </c>
      <c r="F60" s="481"/>
      <c r="G60" s="481" t="n">
        <v>1200000</v>
      </c>
      <c r="H60" s="480"/>
    </row>
    <row r="61" customFormat="false" ht="15" hidden="false" customHeight="true" outlineLevel="0" collapsed="false">
      <c r="D61" s="482" t="s">
        <v>1343</v>
      </c>
      <c r="E61" s="483" t="n">
        <v>1200000</v>
      </c>
      <c r="F61" s="483" t="n">
        <v>0</v>
      </c>
      <c r="G61" s="483" t="n">
        <v>1200000</v>
      </c>
    </row>
    <row r="64" customFormat="false" ht="15" hidden="false" customHeight="true" outlineLevel="0" collapsed="false">
      <c r="A64" s="477" t="s">
        <v>1373</v>
      </c>
      <c r="B64" s="477"/>
      <c r="C64" s="477"/>
      <c r="D64" s="477"/>
      <c r="E64" s="477"/>
      <c r="F64" s="477"/>
      <c r="G64" s="477"/>
      <c r="H64" s="477"/>
    </row>
    <row r="65" customFormat="false" ht="15" hidden="false" customHeight="true" outlineLevel="0" collapsed="false">
      <c r="A65" s="478" t="s">
        <v>740</v>
      </c>
      <c r="B65" s="478" t="s">
        <v>741</v>
      </c>
      <c r="C65" s="478" t="s">
        <v>742</v>
      </c>
      <c r="D65" s="478" t="s">
        <v>747</v>
      </c>
      <c r="E65" s="478" t="s">
        <v>212</v>
      </c>
      <c r="F65" s="478" t="s">
        <v>745</v>
      </c>
      <c r="G65" s="478" t="s">
        <v>1337</v>
      </c>
      <c r="H65" s="478" t="s">
        <v>746</v>
      </c>
    </row>
    <row r="66" customFormat="false" ht="15" hidden="false" customHeight="true" outlineLevel="0" collapsed="false">
      <c r="A66" s="479" t="n">
        <v>43892</v>
      </c>
      <c r="B66" s="480" t="n">
        <v>3</v>
      </c>
      <c r="C66" s="480" t="s">
        <v>1374</v>
      </c>
      <c r="D66" s="480" t="s">
        <v>1375</v>
      </c>
      <c r="E66" s="481" t="n">
        <v>500000</v>
      </c>
      <c r="F66" s="481"/>
      <c r="G66" s="481" t="n">
        <v>500000</v>
      </c>
      <c r="H66" s="480" t="s">
        <v>1376</v>
      </c>
    </row>
    <row r="67" customFormat="false" ht="15" hidden="false" customHeight="true" outlineLevel="0" collapsed="false">
      <c r="D67" s="482" t="s">
        <v>1343</v>
      </c>
      <c r="E67" s="483" t="n">
        <v>500000</v>
      </c>
      <c r="F67" s="483" t="n">
        <v>0</v>
      </c>
      <c r="G67" s="483" t="n">
        <v>500000</v>
      </c>
    </row>
    <row r="70" customFormat="false" ht="15" hidden="false" customHeight="true" outlineLevel="0" collapsed="false">
      <c r="A70" s="477" t="s">
        <v>1377</v>
      </c>
      <c r="B70" s="477"/>
      <c r="C70" s="477"/>
      <c r="D70" s="477"/>
      <c r="E70" s="477"/>
      <c r="F70" s="477"/>
      <c r="G70" s="477"/>
      <c r="H70" s="477"/>
    </row>
    <row r="71" customFormat="false" ht="15" hidden="false" customHeight="true" outlineLevel="0" collapsed="false">
      <c r="A71" s="478" t="s">
        <v>740</v>
      </c>
      <c r="B71" s="478" t="s">
        <v>741</v>
      </c>
      <c r="C71" s="478" t="s">
        <v>742</v>
      </c>
      <c r="D71" s="478" t="s">
        <v>747</v>
      </c>
      <c r="E71" s="478" t="s">
        <v>212</v>
      </c>
      <c r="F71" s="478" t="s">
        <v>745</v>
      </c>
      <c r="G71" s="478" t="s">
        <v>1337</v>
      </c>
      <c r="H71" s="478" t="s">
        <v>746</v>
      </c>
    </row>
    <row r="72" customFormat="false" ht="15" hidden="false" customHeight="true" outlineLevel="0" collapsed="false">
      <c r="A72" s="479" t="n">
        <v>43983</v>
      </c>
      <c r="B72" s="480" t="n">
        <v>9</v>
      </c>
      <c r="C72" s="480" t="s">
        <v>1378</v>
      </c>
      <c r="D72" s="480" t="s">
        <v>1379</v>
      </c>
      <c r="E72" s="481"/>
      <c r="F72" s="481" t="n">
        <v>4936667</v>
      </c>
      <c r="G72" s="481" t="n">
        <v>-4936667</v>
      </c>
      <c r="H72" s="480"/>
    </row>
    <row r="73" customFormat="false" ht="15" hidden="false" customHeight="true" outlineLevel="0" collapsed="false">
      <c r="D73" s="482" t="s">
        <v>1343</v>
      </c>
      <c r="E73" s="483" t="n">
        <v>0</v>
      </c>
      <c r="F73" s="483" t="n">
        <v>4936667</v>
      </c>
      <c r="G73" s="483" t="n">
        <v>-4936667</v>
      </c>
    </row>
    <row r="76" customFormat="false" ht="15" hidden="false" customHeight="true" outlineLevel="0" collapsed="false">
      <c r="A76" s="477" t="s">
        <v>1380</v>
      </c>
      <c r="B76" s="477"/>
      <c r="C76" s="477"/>
      <c r="D76" s="477"/>
      <c r="E76" s="477"/>
      <c r="F76" s="477"/>
      <c r="G76" s="477"/>
      <c r="H76" s="477"/>
    </row>
    <row r="77" customFormat="false" ht="15" hidden="false" customHeight="true" outlineLevel="0" collapsed="false">
      <c r="A77" s="478" t="s">
        <v>740</v>
      </c>
      <c r="B77" s="478" t="s">
        <v>741</v>
      </c>
      <c r="C77" s="478" t="s">
        <v>742</v>
      </c>
      <c r="D77" s="478" t="s">
        <v>747</v>
      </c>
      <c r="E77" s="478" t="s">
        <v>212</v>
      </c>
      <c r="F77" s="478" t="s">
        <v>745</v>
      </c>
      <c r="G77" s="478" t="s">
        <v>1337</v>
      </c>
      <c r="H77" s="478" t="s">
        <v>746</v>
      </c>
    </row>
    <row r="78" customFormat="false" ht="15" hidden="false" customHeight="true" outlineLevel="0" collapsed="false">
      <c r="A78" s="479" t="n">
        <v>43831</v>
      </c>
      <c r="B78" s="480" t="n">
        <v>8</v>
      </c>
      <c r="C78" s="480" t="s">
        <v>1381</v>
      </c>
      <c r="D78" s="480" t="s">
        <v>1382</v>
      </c>
      <c r="E78" s="481" t="n">
        <v>3920000</v>
      </c>
      <c r="F78" s="481"/>
      <c r="G78" s="481" t="n">
        <v>3920000</v>
      </c>
      <c r="H78" s="480"/>
    </row>
    <row r="79" customFormat="false" ht="15" hidden="false" customHeight="true" outlineLevel="0" collapsed="false">
      <c r="A79" s="479" t="n">
        <v>43831</v>
      </c>
      <c r="B79" s="480" t="n">
        <v>8</v>
      </c>
      <c r="C79" s="480" t="s">
        <v>1383</v>
      </c>
      <c r="D79" s="480" t="s">
        <v>1384</v>
      </c>
      <c r="E79" s="481" t="n">
        <v>617400</v>
      </c>
      <c r="F79" s="481"/>
      <c r="G79" s="481" t="n">
        <v>4537400</v>
      </c>
      <c r="H79" s="480"/>
    </row>
    <row r="80" customFormat="false" ht="15" hidden="false" customHeight="true" outlineLevel="0" collapsed="false">
      <c r="A80" s="479" t="n">
        <v>43831</v>
      </c>
      <c r="B80" s="480" t="n">
        <v>8</v>
      </c>
      <c r="C80" s="480" t="s">
        <v>1385</v>
      </c>
      <c r="D80" s="480" t="s">
        <v>1386</v>
      </c>
      <c r="E80" s="481" t="n">
        <v>10000</v>
      </c>
      <c r="F80" s="481"/>
      <c r="G80" s="481" t="n">
        <v>4547400</v>
      </c>
      <c r="H80" s="480"/>
    </row>
    <row r="81" customFormat="false" ht="15" hidden="false" customHeight="true" outlineLevel="0" collapsed="false">
      <c r="A81" s="479" t="n">
        <v>43831</v>
      </c>
      <c r="B81" s="480" t="n">
        <v>8</v>
      </c>
      <c r="C81" s="480" t="s">
        <v>1387</v>
      </c>
      <c r="D81" s="480" t="s">
        <v>1388</v>
      </c>
      <c r="E81" s="481" t="n">
        <v>20000</v>
      </c>
      <c r="F81" s="481"/>
      <c r="G81" s="481" t="n">
        <v>4567400</v>
      </c>
      <c r="H81" s="480"/>
    </row>
    <row r="82" customFormat="false" ht="15" hidden="false" customHeight="true" outlineLevel="0" collapsed="false">
      <c r="A82" s="479" t="n">
        <v>43983</v>
      </c>
      <c r="B82" s="480" t="n">
        <v>9</v>
      </c>
      <c r="C82" s="480" t="s">
        <v>1389</v>
      </c>
      <c r="D82" s="480" t="s">
        <v>1390</v>
      </c>
      <c r="E82" s="481"/>
      <c r="F82" s="481" t="n">
        <v>800000</v>
      </c>
      <c r="G82" s="481" t="n">
        <v>3767400</v>
      </c>
      <c r="H82" s="480"/>
    </row>
    <row r="83" customFormat="false" ht="15" hidden="false" customHeight="true" outlineLevel="0" collapsed="false">
      <c r="D83" s="482" t="s">
        <v>1343</v>
      </c>
      <c r="E83" s="483" t="n">
        <v>4567400</v>
      </c>
      <c r="F83" s="483" t="n">
        <v>800000</v>
      </c>
      <c r="G83" s="483" t="n">
        <v>3767400</v>
      </c>
    </row>
    <row r="86" customFormat="false" ht="15" hidden="false" customHeight="true" outlineLevel="0" collapsed="false">
      <c r="A86" s="477" t="s">
        <v>1391</v>
      </c>
      <c r="B86" s="477"/>
      <c r="C86" s="477"/>
      <c r="D86" s="477"/>
      <c r="E86" s="477"/>
      <c r="F86" s="477"/>
      <c r="G86" s="477"/>
      <c r="H86" s="477"/>
    </row>
    <row r="87" customFormat="false" ht="15" hidden="false" customHeight="true" outlineLevel="0" collapsed="false">
      <c r="A87" s="478" t="s">
        <v>740</v>
      </c>
      <c r="B87" s="478" t="s">
        <v>741</v>
      </c>
      <c r="C87" s="478" t="s">
        <v>742</v>
      </c>
      <c r="D87" s="478" t="s">
        <v>747</v>
      </c>
      <c r="E87" s="478" t="s">
        <v>212</v>
      </c>
      <c r="F87" s="478" t="s">
        <v>745</v>
      </c>
      <c r="G87" s="478" t="s">
        <v>1337</v>
      </c>
      <c r="H87" s="478" t="s">
        <v>746</v>
      </c>
    </row>
    <row r="88" customFormat="false" ht="15" hidden="false" customHeight="true" outlineLevel="0" collapsed="false">
      <c r="A88" s="479" t="n">
        <v>43983</v>
      </c>
      <c r="B88" s="480" t="n">
        <v>9</v>
      </c>
      <c r="C88" s="480" t="s">
        <v>1392</v>
      </c>
      <c r="D88" s="480" t="s">
        <v>1393</v>
      </c>
      <c r="E88" s="481"/>
      <c r="F88" s="481" t="n">
        <v>8000000</v>
      </c>
      <c r="G88" s="481" t="n">
        <v>-8000000</v>
      </c>
      <c r="H88" s="480"/>
    </row>
    <row r="89" customFormat="false" ht="15" hidden="false" customHeight="true" outlineLevel="0" collapsed="false">
      <c r="A89" s="479" t="n">
        <v>43983</v>
      </c>
      <c r="B89" s="480" t="n">
        <v>9</v>
      </c>
      <c r="C89" s="480" t="s">
        <v>1389</v>
      </c>
      <c r="D89" s="480" t="s">
        <v>1390</v>
      </c>
      <c r="E89" s="481" t="n">
        <v>800000</v>
      </c>
      <c r="F89" s="481"/>
      <c r="G89" s="481" t="n">
        <v>-7200000</v>
      </c>
      <c r="H89" s="480"/>
    </row>
    <row r="90" customFormat="false" ht="15" hidden="false" customHeight="true" outlineLevel="0" collapsed="false">
      <c r="D90" s="482" t="s">
        <v>1343</v>
      </c>
      <c r="E90" s="483" t="n">
        <v>800000</v>
      </c>
      <c r="F90" s="483" t="n">
        <v>8000000</v>
      </c>
      <c r="G90" s="483" t="n">
        <v>-7200000</v>
      </c>
    </row>
    <row r="93" customFormat="false" ht="15" hidden="false" customHeight="true" outlineLevel="0" collapsed="false">
      <c r="A93" s="477" t="s">
        <v>1394</v>
      </c>
      <c r="B93" s="477"/>
      <c r="C93" s="477"/>
      <c r="D93" s="477"/>
      <c r="E93" s="477"/>
      <c r="F93" s="477"/>
      <c r="G93" s="477"/>
      <c r="H93" s="477"/>
    </row>
    <row r="94" customFormat="false" ht="15" hidden="false" customHeight="true" outlineLevel="0" collapsed="false">
      <c r="A94" s="478" t="s">
        <v>740</v>
      </c>
      <c r="B94" s="478" t="s">
        <v>741</v>
      </c>
      <c r="C94" s="478" t="s">
        <v>742</v>
      </c>
      <c r="D94" s="478" t="s">
        <v>747</v>
      </c>
      <c r="E94" s="478" t="s">
        <v>212</v>
      </c>
      <c r="F94" s="478" t="s">
        <v>745</v>
      </c>
      <c r="G94" s="478" t="s">
        <v>1337</v>
      </c>
      <c r="H94" s="478" t="s">
        <v>746</v>
      </c>
    </row>
    <row r="95" customFormat="false" ht="15" hidden="false" customHeight="true" outlineLevel="0" collapsed="false">
      <c r="A95" s="479" t="n">
        <v>43983</v>
      </c>
      <c r="B95" s="480" t="n">
        <v>9</v>
      </c>
      <c r="C95" s="480" t="s">
        <v>1392</v>
      </c>
      <c r="D95" s="480" t="s">
        <v>1393</v>
      </c>
      <c r="E95" s="481" t="n">
        <v>8000000</v>
      </c>
      <c r="F95" s="481"/>
      <c r="G95" s="481" t="n">
        <v>8000000</v>
      </c>
      <c r="H95" s="480"/>
    </row>
    <row r="96" customFormat="false" ht="15" hidden="false" customHeight="true" outlineLevel="0" collapsed="false">
      <c r="A96" s="479" t="n">
        <v>43983</v>
      </c>
      <c r="B96" s="480" t="n">
        <v>9</v>
      </c>
      <c r="C96" s="480" t="s">
        <v>1395</v>
      </c>
      <c r="D96" s="480" t="s">
        <v>1396</v>
      </c>
      <c r="E96" s="481"/>
      <c r="F96" s="481" t="n">
        <v>8000000</v>
      </c>
      <c r="G96" s="481" t="n">
        <v>0</v>
      </c>
      <c r="H96" s="480"/>
    </row>
    <row r="97" customFormat="false" ht="15" hidden="false" customHeight="true" outlineLevel="0" collapsed="false">
      <c r="D97" s="482" t="s">
        <v>1343</v>
      </c>
      <c r="E97" s="483" t="n">
        <v>8000000</v>
      </c>
      <c r="F97" s="483" t="n">
        <v>8000000</v>
      </c>
      <c r="G97" s="483" t="n">
        <v>0</v>
      </c>
    </row>
    <row r="100" customFormat="false" ht="15" hidden="false" customHeight="true" outlineLevel="0" collapsed="false">
      <c r="A100" s="477" t="s">
        <v>1397</v>
      </c>
      <c r="B100" s="477"/>
      <c r="C100" s="477"/>
      <c r="D100" s="477"/>
      <c r="E100" s="477"/>
      <c r="F100" s="477"/>
      <c r="G100" s="477"/>
      <c r="H100" s="477"/>
    </row>
    <row r="101" customFormat="false" ht="15" hidden="false" customHeight="true" outlineLevel="0" collapsed="false">
      <c r="A101" s="478" t="s">
        <v>740</v>
      </c>
      <c r="B101" s="478" t="s">
        <v>741</v>
      </c>
      <c r="C101" s="478" t="s">
        <v>742</v>
      </c>
      <c r="D101" s="478" t="s">
        <v>747</v>
      </c>
      <c r="E101" s="478" t="s">
        <v>212</v>
      </c>
      <c r="F101" s="478" t="s">
        <v>745</v>
      </c>
      <c r="G101" s="478" t="s">
        <v>1337</v>
      </c>
      <c r="H101" s="478" t="s">
        <v>746</v>
      </c>
    </row>
    <row r="102" customFormat="false" ht="15" hidden="false" customHeight="true" outlineLevel="0" collapsed="false">
      <c r="A102" s="479" t="n">
        <v>43982</v>
      </c>
      <c r="B102" s="480" t="n">
        <v>2</v>
      </c>
      <c r="C102" s="480" t="s">
        <v>1364</v>
      </c>
      <c r="D102" s="480" t="s">
        <v>1365</v>
      </c>
      <c r="E102" s="481"/>
      <c r="F102" s="481" t="n">
        <v>40000000</v>
      </c>
      <c r="G102" s="481" t="n">
        <v>-40000000</v>
      </c>
      <c r="H102" s="480"/>
    </row>
    <row r="103" customFormat="false" ht="15" hidden="false" customHeight="true" outlineLevel="0" collapsed="false">
      <c r="A103" s="479" t="n">
        <v>43892</v>
      </c>
      <c r="B103" s="480" t="n">
        <v>3</v>
      </c>
      <c r="C103" s="480" t="s">
        <v>1374</v>
      </c>
      <c r="D103" s="480" t="s">
        <v>1375</v>
      </c>
      <c r="E103" s="481"/>
      <c r="F103" s="481" t="n">
        <v>600000</v>
      </c>
      <c r="G103" s="481" t="n">
        <v>-40600000</v>
      </c>
      <c r="H103" s="480"/>
    </row>
    <row r="104" customFormat="false" ht="15" hidden="false" customHeight="true" outlineLevel="0" collapsed="false">
      <c r="A104" s="479" t="n">
        <v>43871</v>
      </c>
      <c r="B104" s="480" t="n">
        <v>4</v>
      </c>
      <c r="C104" s="480" t="s">
        <v>1338</v>
      </c>
      <c r="D104" s="480" t="s">
        <v>1339</v>
      </c>
      <c r="E104" s="481"/>
      <c r="F104" s="481" t="n">
        <v>35280000</v>
      </c>
      <c r="G104" s="481" t="n">
        <v>-75880000</v>
      </c>
      <c r="H104" s="480"/>
    </row>
    <row r="105" customFormat="false" ht="15" hidden="false" customHeight="true" outlineLevel="0" collapsed="false">
      <c r="A105" s="479" t="n">
        <v>43893</v>
      </c>
      <c r="B105" s="480" t="n">
        <v>6</v>
      </c>
      <c r="C105" s="480" t="s">
        <v>1398</v>
      </c>
      <c r="D105" s="480" t="s">
        <v>1399</v>
      </c>
      <c r="E105" s="481" t="n">
        <v>600000</v>
      </c>
      <c r="F105" s="481"/>
      <c r="G105" s="481" t="n">
        <v>-75280000</v>
      </c>
      <c r="H105" s="480"/>
    </row>
    <row r="106" customFormat="false" ht="15" hidden="false" customHeight="true" outlineLevel="0" collapsed="false">
      <c r="A106" s="479" t="n">
        <v>43831</v>
      </c>
      <c r="B106" s="480" t="n">
        <v>8</v>
      </c>
      <c r="C106" s="480" t="s">
        <v>1381</v>
      </c>
      <c r="D106" s="480" t="s">
        <v>1382</v>
      </c>
      <c r="E106" s="481"/>
      <c r="F106" s="481" t="n">
        <v>3920000</v>
      </c>
      <c r="G106" s="481" t="n">
        <v>-79200000</v>
      </c>
      <c r="H106" s="480"/>
    </row>
    <row r="107" customFormat="false" ht="15" hidden="false" customHeight="true" outlineLevel="0" collapsed="false">
      <c r="A107" s="479" t="n">
        <v>43831</v>
      </c>
      <c r="B107" s="480" t="n">
        <v>8</v>
      </c>
      <c r="C107" s="480" t="s">
        <v>1385</v>
      </c>
      <c r="D107" s="480" t="s">
        <v>1386</v>
      </c>
      <c r="E107" s="481"/>
      <c r="F107" s="481" t="n">
        <v>12000</v>
      </c>
      <c r="G107" s="481" t="n">
        <v>-79212000</v>
      </c>
      <c r="H107" s="480"/>
    </row>
    <row r="108" customFormat="false" ht="15" hidden="false" customHeight="true" outlineLevel="0" collapsed="false">
      <c r="A108" s="479" t="n">
        <v>43831</v>
      </c>
      <c r="B108" s="480" t="n">
        <v>8</v>
      </c>
      <c r="C108" s="480" t="s">
        <v>1387</v>
      </c>
      <c r="D108" s="480" t="s">
        <v>1388</v>
      </c>
      <c r="E108" s="481"/>
      <c r="F108" s="481" t="n">
        <v>24000</v>
      </c>
      <c r="G108" s="481" t="n">
        <v>-79236000</v>
      </c>
      <c r="H108" s="480"/>
    </row>
    <row r="109" customFormat="false" ht="15" hidden="false" customHeight="true" outlineLevel="0" collapsed="false">
      <c r="A109" s="479" t="n">
        <v>43831</v>
      </c>
      <c r="B109" s="480" t="n">
        <v>8</v>
      </c>
      <c r="C109" s="480" t="s">
        <v>1400</v>
      </c>
      <c r="D109" s="480" t="s">
        <v>1401</v>
      </c>
      <c r="E109" s="481" t="n">
        <v>1960000</v>
      </c>
      <c r="F109" s="481"/>
      <c r="G109" s="481" t="n">
        <v>-77276000</v>
      </c>
      <c r="H109" s="480"/>
    </row>
    <row r="110" customFormat="false" ht="15" hidden="false" customHeight="true" outlineLevel="0" collapsed="false">
      <c r="A110" s="479" t="n">
        <v>43983</v>
      </c>
      <c r="B110" s="480" t="n">
        <v>9</v>
      </c>
      <c r="C110" s="480" t="s">
        <v>1361</v>
      </c>
      <c r="D110" s="480" t="s">
        <v>1362</v>
      </c>
      <c r="E110" s="481"/>
      <c r="F110" s="481" t="n">
        <v>16000000</v>
      </c>
      <c r="G110" s="481" t="n">
        <v>-93276000</v>
      </c>
      <c r="H110" s="480"/>
    </row>
    <row r="111" customFormat="false" ht="15" hidden="false" customHeight="true" outlineLevel="0" collapsed="false">
      <c r="A111" s="479" t="n">
        <v>43983</v>
      </c>
      <c r="B111" s="480" t="n">
        <v>9</v>
      </c>
      <c r="C111" s="480" t="s">
        <v>1341</v>
      </c>
      <c r="D111" s="480" t="s">
        <v>1342</v>
      </c>
      <c r="E111" s="481"/>
      <c r="F111" s="481" t="n">
        <v>4320000</v>
      </c>
      <c r="G111" s="481" t="n">
        <v>-97596000</v>
      </c>
      <c r="H111" s="480"/>
    </row>
    <row r="112" customFormat="false" ht="15" hidden="false" customHeight="true" outlineLevel="0" collapsed="false">
      <c r="A112" s="479" t="n">
        <v>43983</v>
      </c>
      <c r="B112" s="480" t="n">
        <v>9</v>
      </c>
      <c r="C112" s="480" t="s">
        <v>1371</v>
      </c>
      <c r="D112" s="480" t="s">
        <v>1372</v>
      </c>
      <c r="E112" s="481"/>
      <c r="F112" s="481" t="n">
        <v>1440000</v>
      </c>
      <c r="G112" s="481" t="n">
        <v>-99036000</v>
      </c>
      <c r="H112" s="480"/>
    </row>
    <row r="113" customFormat="false" ht="15" hidden="false" customHeight="true" outlineLevel="0" collapsed="false">
      <c r="A113" s="479" t="n">
        <v>43983</v>
      </c>
      <c r="B113" s="480" t="n">
        <v>9</v>
      </c>
      <c r="C113" s="480" t="s">
        <v>1402</v>
      </c>
      <c r="D113" s="480" t="s">
        <v>1403</v>
      </c>
      <c r="E113" s="481" t="n">
        <v>1000000</v>
      </c>
      <c r="F113" s="481"/>
      <c r="G113" s="481" t="n">
        <v>-98036000</v>
      </c>
      <c r="H113" s="480"/>
    </row>
    <row r="114" customFormat="false" ht="15" hidden="false" customHeight="true" outlineLevel="0" collapsed="false">
      <c r="D114" s="482" t="s">
        <v>1343</v>
      </c>
      <c r="E114" s="483" t="n">
        <v>3560000</v>
      </c>
      <c r="F114" s="483" t="n">
        <v>101596000</v>
      </c>
      <c r="G114" s="483" t="n">
        <v>-98036000</v>
      </c>
    </row>
    <row r="117" customFormat="false" ht="15" hidden="false" customHeight="true" outlineLevel="0" collapsed="false">
      <c r="A117" s="477" t="s">
        <v>1404</v>
      </c>
      <c r="B117" s="477"/>
      <c r="C117" s="477"/>
      <c r="D117" s="477"/>
      <c r="E117" s="477"/>
      <c r="F117" s="477"/>
      <c r="G117" s="477"/>
      <c r="H117" s="477"/>
    </row>
    <row r="118" customFormat="false" ht="15" hidden="false" customHeight="true" outlineLevel="0" collapsed="false">
      <c r="A118" s="478" t="s">
        <v>740</v>
      </c>
      <c r="B118" s="478" t="s">
        <v>741</v>
      </c>
      <c r="C118" s="478" t="s">
        <v>742</v>
      </c>
      <c r="D118" s="478" t="s">
        <v>747</v>
      </c>
      <c r="E118" s="478" t="s">
        <v>212</v>
      </c>
      <c r="F118" s="478" t="s">
        <v>745</v>
      </c>
      <c r="G118" s="478" t="s">
        <v>1337</v>
      </c>
      <c r="H118" s="478" t="s">
        <v>746</v>
      </c>
    </row>
    <row r="119" customFormat="false" ht="15" hidden="false" customHeight="true" outlineLevel="0" collapsed="false">
      <c r="A119" s="479" t="n">
        <v>43881</v>
      </c>
      <c r="B119" s="480" t="n">
        <v>5</v>
      </c>
      <c r="C119" s="480" t="s">
        <v>1405</v>
      </c>
      <c r="D119" s="480" t="s">
        <v>1406</v>
      </c>
      <c r="E119" s="481" t="n">
        <v>118000</v>
      </c>
      <c r="F119" s="481"/>
      <c r="G119" s="481" t="n">
        <v>118000</v>
      </c>
      <c r="H119" s="480" t="s">
        <v>1407</v>
      </c>
    </row>
    <row r="120" customFormat="false" ht="15" hidden="false" customHeight="true" outlineLevel="0" collapsed="false">
      <c r="A120" s="479" t="n">
        <v>43892</v>
      </c>
      <c r="B120" s="480" t="n">
        <v>7</v>
      </c>
      <c r="C120" s="480" t="s">
        <v>1408</v>
      </c>
      <c r="D120" s="480" t="s">
        <v>1409</v>
      </c>
      <c r="E120" s="481"/>
      <c r="F120" s="481" t="n">
        <v>118800</v>
      </c>
      <c r="G120" s="481" t="n">
        <v>-800</v>
      </c>
      <c r="H120" s="480"/>
    </row>
    <row r="121" customFormat="false" ht="15" hidden="false" customHeight="true" outlineLevel="0" collapsed="false">
      <c r="A121" s="479" t="n">
        <v>43983</v>
      </c>
      <c r="B121" s="480" t="n">
        <v>9</v>
      </c>
      <c r="C121" s="480" t="s">
        <v>1395</v>
      </c>
      <c r="D121" s="480" t="s">
        <v>1396</v>
      </c>
      <c r="E121" s="481" t="n">
        <v>21840000</v>
      </c>
      <c r="F121" s="481"/>
      <c r="G121" s="481" t="n">
        <v>21839200</v>
      </c>
      <c r="H121" s="480"/>
    </row>
    <row r="122" customFormat="false" ht="15" hidden="false" customHeight="true" outlineLevel="0" collapsed="false">
      <c r="A122" s="479" t="n">
        <v>43983</v>
      </c>
      <c r="B122" s="480" t="n">
        <v>9</v>
      </c>
      <c r="C122" s="480" t="s">
        <v>1410</v>
      </c>
      <c r="D122" s="480" t="s">
        <v>1411</v>
      </c>
      <c r="E122" s="481"/>
      <c r="F122" s="481" t="n">
        <v>1200000</v>
      </c>
      <c r="G122" s="481" t="n">
        <v>20639200</v>
      </c>
      <c r="H122" s="480"/>
    </row>
    <row r="123" customFormat="false" ht="15" hidden="false" customHeight="true" outlineLevel="0" collapsed="false">
      <c r="D123" s="482" t="s">
        <v>1343</v>
      </c>
      <c r="E123" s="483" t="n">
        <v>21958000</v>
      </c>
      <c r="F123" s="483" t="n">
        <v>1318800</v>
      </c>
      <c r="G123" s="483" t="n">
        <v>20639200</v>
      </c>
    </row>
    <row r="126" customFormat="false" ht="15" hidden="false" customHeight="true" outlineLevel="0" collapsed="false">
      <c r="A126" s="477" t="s">
        <v>1412</v>
      </c>
      <c r="B126" s="477"/>
      <c r="C126" s="477"/>
      <c r="D126" s="477"/>
      <c r="E126" s="477"/>
      <c r="F126" s="477"/>
      <c r="G126" s="477"/>
      <c r="H126" s="477"/>
    </row>
    <row r="127" customFormat="false" ht="15" hidden="false" customHeight="true" outlineLevel="0" collapsed="false">
      <c r="A127" s="478" t="s">
        <v>740</v>
      </c>
      <c r="B127" s="478" t="s">
        <v>741</v>
      </c>
      <c r="C127" s="478" t="s">
        <v>742</v>
      </c>
      <c r="D127" s="478" t="s">
        <v>747</v>
      </c>
      <c r="E127" s="478" t="s">
        <v>212</v>
      </c>
      <c r="F127" s="478" t="s">
        <v>745</v>
      </c>
      <c r="G127" s="478" t="s">
        <v>1337</v>
      </c>
      <c r="H127" s="478" t="s">
        <v>746</v>
      </c>
    </row>
    <row r="128" customFormat="false" ht="15" hidden="false" customHeight="true" outlineLevel="0" collapsed="false">
      <c r="A128" s="479" t="n">
        <v>43983</v>
      </c>
      <c r="B128" s="480" t="n">
        <v>9</v>
      </c>
      <c r="C128" s="480" t="s">
        <v>1413</v>
      </c>
      <c r="D128" s="480" t="s">
        <v>1414</v>
      </c>
      <c r="E128" s="481"/>
      <c r="F128" s="481" t="n">
        <v>2200000</v>
      </c>
      <c r="G128" s="481" t="n">
        <v>-2200000</v>
      </c>
      <c r="H128" s="480"/>
    </row>
    <row r="129" customFormat="false" ht="15" hidden="false" customHeight="true" outlineLevel="0" collapsed="false">
      <c r="A129" s="479" t="n">
        <v>43983</v>
      </c>
      <c r="B129" s="480" t="n">
        <v>9</v>
      </c>
      <c r="C129" s="480" t="s">
        <v>1415</v>
      </c>
      <c r="D129" s="480" t="s">
        <v>1416</v>
      </c>
      <c r="E129" s="481"/>
      <c r="F129" s="481" t="n">
        <v>150000</v>
      </c>
      <c r="G129" s="481" t="n">
        <v>-2350000</v>
      </c>
      <c r="H129" s="480"/>
    </row>
    <row r="130" customFormat="false" ht="15" hidden="false" customHeight="true" outlineLevel="0" collapsed="false">
      <c r="A130" s="479" t="n">
        <v>43983</v>
      </c>
      <c r="B130" s="480" t="n">
        <v>9</v>
      </c>
      <c r="C130" s="480" t="s">
        <v>1417</v>
      </c>
      <c r="D130" s="480" t="s">
        <v>1418</v>
      </c>
      <c r="E130" s="481" t="n">
        <v>246400</v>
      </c>
      <c r="F130" s="481"/>
      <c r="G130" s="481" t="n">
        <v>-2103600</v>
      </c>
      <c r="H130" s="480"/>
    </row>
    <row r="131" customFormat="false" ht="15" hidden="false" customHeight="true" outlineLevel="0" collapsed="false">
      <c r="D131" s="482" t="s">
        <v>1343</v>
      </c>
      <c r="E131" s="483" t="n">
        <v>246400</v>
      </c>
      <c r="F131" s="483" t="n">
        <v>2350000</v>
      </c>
      <c r="G131" s="483" t="n">
        <v>-2103600</v>
      </c>
    </row>
    <row r="134" customFormat="false" ht="15" hidden="false" customHeight="true" outlineLevel="0" collapsed="false">
      <c r="A134" s="477" t="s">
        <v>1419</v>
      </c>
      <c r="B134" s="477"/>
      <c r="C134" s="477"/>
      <c r="D134" s="477"/>
      <c r="E134" s="477"/>
      <c r="F134" s="477"/>
      <c r="G134" s="477"/>
      <c r="H134" s="477"/>
    </row>
    <row r="135" customFormat="false" ht="15" hidden="false" customHeight="true" outlineLevel="0" collapsed="false">
      <c r="A135" s="478" t="s">
        <v>740</v>
      </c>
      <c r="B135" s="478" t="s">
        <v>741</v>
      </c>
      <c r="C135" s="478" t="s">
        <v>742</v>
      </c>
      <c r="D135" s="478" t="s">
        <v>747</v>
      </c>
      <c r="E135" s="478" t="s">
        <v>212</v>
      </c>
      <c r="F135" s="478" t="s">
        <v>745</v>
      </c>
      <c r="G135" s="478" t="s">
        <v>1337</v>
      </c>
      <c r="H135" s="478" t="s">
        <v>746</v>
      </c>
    </row>
    <row r="136" customFormat="false" ht="15" hidden="false" customHeight="true" outlineLevel="0" collapsed="false">
      <c r="A136" s="479" t="n">
        <v>43983</v>
      </c>
      <c r="B136" s="480" t="n">
        <v>9</v>
      </c>
      <c r="C136" s="480" t="s">
        <v>1417</v>
      </c>
      <c r="D136" s="480" t="s">
        <v>1418</v>
      </c>
      <c r="E136" s="481"/>
      <c r="F136" s="481" t="n">
        <v>613800</v>
      </c>
      <c r="G136" s="481" t="n">
        <v>-613800</v>
      </c>
      <c r="H136" s="480"/>
    </row>
    <row r="137" customFormat="false" ht="15" hidden="false" customHeight="true" outlineLevel="0" collapsed="false">
      <c r="A137" s="479" t="n">
        <v>43983</v>
      </c>
      <c r="B137" s="480" t="n">
        <v>9</v>
      </c>
      <c r="C137" s="480" t="s">
        <v>1356</v>
      </c>
      <c r="D137" s="480" t="s">
        <v>1357</v>
      </c>
      <c r="E137" s="481"/>
      <c r="F137" s="481" t="n">
        <v>60000</v>
      </c>
      <c r="G137" s="481" t="n">
        <v>-673800</v>
      </c>
      <c r="H137" s="480"/>
    </row>
    <row r="138" customFormat="false" ht="15" hidden="false" customHeight="true" outlineLevel="0" collapsed="false">
      <c r="D138" s="482" t="s">
        <v>1343</v>
      </c>
      <c r="E138" s="483" t="n">
        <v>0</v>
      </c>
      <c r="F138" s="483" t="n">
        <v>673800</v>
      </c>
      <c r="G138" s="483" t="n">
        <v>-673800</v>
      </c>
    </row>
    <row r="141" customFormat="false" ht="15" hidden="false" customHeight="true" outlineLevel="0" collapsed="false">
      <c r="A141" s="477" t="s">
        <v>1420</v>
      </c>
      <c r="B141" s="477"/>
      <c r="C141" s="477"/>
      <c r="D141" s="477"/>
      <c r="E141" s="477"/>
      <c r="F141" s="477"/>
      <c r="G141" s="477"/>
      <c r="H141" s="477"/>
    </row>
    <row r="142" customFormat="false" ht="15" hidden="false" customHeight="true" outlineLevel="0" collapsed="false">
      <c r="A142" s="478" t="s">
        <v>740</v>
      </c>
      <c r="B142" s="478" t="s">
        <v>741</v>
      </c>
      <c r="C142" s="478" t="s">
        <v>742</v>
      </c>
      <c r="D142" s="478" t="s">
        <v>747</v>
      </c>
      <c r="E142" s="478" t="s">
        <v>212</v>
      </c>
      <c r="F142" s="478" t="s">
        <v>745</v>
      </c>
      <c r="G142" s="478" t="s">
        <v>1337</v>
      </c>
      <c r="H142" s="478" t="s">
        <v>746</v>
      </c>
    </row>
    <row r="143" customFormat="false" ht="15" hidden="false" customHeight="true" outlineLevel="0" collapsed="false">
      <c r="A143" s="479" t="n">
        <v>43831</v>
      </c>
      <c r="B143" s="480" t="n">
        <v>1</v>
      </c>
      <c r="C143" s="480" t="s">
        <v>1348</v>
      </c>
      <c r="D143" s="480" t="s">
        <v>1349</v>
      </c>
      <c r="E143" s="481" t="n">
        <v>12500000</v>
      </c>
      <c r="F143" s="481"/>
      <c r="G143" s="481" t="n">
        <v>12500000</v>
      </c>
      <c r="H143" s="480"/>
    </row>
    <row r="144" customFormat="false" ht="15" hidden="false" customHeight="true" outlineLevel="0" collapsed="false">
      <c r="A144" s="479" t="n">
        <v>43831</v>
      </c>
      <c r="B144" s="480" t="n">
        <v>8</v>
      </c>
      <c r="C144" s="480" t="s">
        <v>1383</v>
      </c>
      <c r="D144" s="480" t="s">
        <v>1384</v>
      </c>
      <c r="E144" s="481"/>
      <c r="F144" s="481" t="n">
        <v>1975680</v>
      </c>
      <c r="G144" s="481" t="n">
        <v>10524320</v>
      </c>
      <c r="H144" s="480"/>
    </row>
    <row r="145" customFormat="false" ht="15" hidden="false" customHeight="true" outlineLevel="0" collapsed="false">
      <c r="A145" s="479" t="n">
        <v>43983</v>
      </c>
      <c r="B145" s="480" t="n">
        <v>9</v>
      </c>
      <c r="C145" s="480" t="s">
        <v>1350</v>
      </c>
      <c r="D145" s="480" t="s">
        <v>1351</v>
      </c>
      <c r="E145" s="481"/>
      <c r="F145" s="481" t="n">
        <v>12500000</v>
      </c>
      <c r="G145" s="481" t="n">
        <v>-1975680</v>
      </c>
      <c r="H145" s="480"/>
    </row>
    <row r="146" customFormat="false" ht="15" hidden="false" customHeight="true" outlineLevel="0" collapsed="false">
      <c r="D146" s="482" t="s">
        <v>1343</v>
      </c>
      <c r="E146" s="483" t="n">
        <v>12500000</v>
      </c>
      <c r="F146" s="483" t="n">
        <v>14475680</v>
      </c>
      <c r="G146" s="483" t="n">
        <v>-1975680</v>
      </c>
    </row>
    <row r="149" customFormat="false" ht="15" hidden="false" customHeight="true" outlineLevel="0" collapsed="false">
      <c r="A149" s="477" t="s">
        <v>1421</v>
      </c>
      <c r="B149" s="477"/>
      <c r="C149" s="477"/>
      <c r="D149" s="477"/>
      <c r="E149" s="477"/>
      <c r="F149" s="477"/>
      <c r="G149" s="477"/>
      <c r="H149" s="477"/>
    </row>
    <row r="150" customFormat="false" ht="15" hidden="false" customHeight="true" outlineLevel="0" collapsed="false">
      <c r="A150" s="478" t="s">
        <v>740</v>
      </c>
      <c r="B150" s="478" t="s">
        <v>741</v>
      </c>
      <c r="C150" s="478" t="s">
        <v>742</v>
      </c>
      <c r="D150" s="478" t="s">
        <v>747</v>
      </c>
      <c r="E150" s="478" t="s">
        <v>212</v>
      </c>
      <c r="F150" s="478" t="s">
        <v>745</v>
      </c>
      <c r="G150" s="478" t="s">
        <v>1337</v>
      </c>
      <c r="H150" s="478" t="s">
        <v>746</v>
      </c>
    </row>
    <row r="151" customFormat="false" ht="15" hidden="false" customHeight="true" outlineLevel="0" collapsed="false">
      <c r="A151" s="479" t="n">
        <v>43983</v>
      </c>
      <c r="B151" s="480" t="n">
        <v>9</v>
      </c>
      <c r="C151" s="480" t="s">
        <v>1422</v>
      </c>
      <c r="D151" s="480" t="s">
        <v>1423</v>
      </c>
      <c r="E151" s="481"/>
      <c r="F151" s="481" t="n">
        <v>91500</v>
      </c>
      <c r="G151" s="481" t="n">
        <v>-91500</v>
      </c>
      <c r="H151" s="480"/>
    </row>
    <row r="152" customFormat="false" ht="15" hidden="false" customHeight="true" outlineLevel="0" collapsed="false">
      <c r="D152" s="482" t="s">
        <v>1343</v>
      </c>
      <c r="E152" s="483" t="n">
        <v>0</v>
      </c>
      <c r="F152" s="483" t="n">
        <v>91500</v>
      </c>
      <c r="G152" s="483" t="n">
        <v>-91500</v>
      </c>
    </row>
    <row r="155" customFormat="false" ht="15" hidden="false" customHeight="true" outlineLevel="0" collapsed="false">
      <c r="A155" s="477" t="s">
        <v>1424</v>
      </c>
      <c r="B155" s="477"/>
      <c r="C155" s="477"/>
      <c r="D155" s="477"/>
      <c r="E155" s="477"/>
      <c r="F155" s="477"/>
      <c r="G155" s="477"/>
      <c r="H155" s="477"/>
    </row>
    <row r="156" customFormat="false" ht="15" hidden="false" customHeight="true" outlineLevel="0" collapsed="false">
      <c r="A156" s="478" t="s">
        <v>740</v>
      </c>
      <c r="B156" s="478" t="s">
        <v>741</v>
      </c>
      <c r="C156" s="478" t="s">
        <v>742</v>
      </c>
      <c r="D156" s="478" t="s">
        <v>747</v>
      </c>
      <c r="E156" s="478" t="s">
        <v>212</v>
      </c>
      <c r="F156" s="478" t="s">
        <v>745</v>
      </c>
      <c r="G156" s="478" t="s">
        <v>1337</v>
      </c>
      <c r="H156" s="478" t="s">
        <v>746</v>
      </c>
    </row>
    <row r="157" customFormat="false" ht="15" hidden="false" customHeight="true" outlineLevel="0" collapsed="false">
      <c r="A157" s="479" t="n">
        <v>43831</v>
      </c>
      <c r="B157" s="480" t="n">
        <v>1</v>
      </c>
      <c r="C157" s="480" t="s">
        <v>1348</v>
      </c>
      <c r="D157" s="480" t="s">
        <v>1349</v>
      </c>
      <c r="E157" s="481" t="n">
        <v>12500000</v>
      </c>
      <c r="F157" s="481"/>
      <c r="G157" s="481" t="n">
        <v>12500000</v>
      </c>
      <c r="H157" s="480"/>
    </row>
    <row r="158" customFormat="false" ht="15" hidden="false" customHeight="true" outlineLevel="0" collapsed="false">
      <c r="A158" s="479" t="n">
        <v>43893</v>
      </c>
      <c r="B158" s="480" t="n">
        <v>6</v>
      </c>
      <c r="C158" s="480" t="s">
        <v>1398</v>
      </c>
      <c r="D158" s="480" t="s">
        <v>1399</v>
      </c>
      <c r="E158" s="481"/>
      <c r="F158" s="481" t="n">
        <v>499200</v>
      </c>
      <c r="G158" s="481" t="n">
        <v>12000800</v>
      </c>
      <c r="H158" s="480"/>
    </row>
    <row r="159" customFormat="false" ht="15" hidden="false" customHeight="true" outlineLevel="0" collapsed="false">
      <c r="A159" s="479" t="n">
        <v>43892</v>
      </c>
      <c r="B159" s="480" t="n">
        <v>7</v>
      </c>
      <c r="C159" s="480" t="s">
        <v>1408</v>
      </c>
      <c r="D159" s="480" t="s">
        <v>1409</v>
      </c>
      <c r="E159" s="481" t="n">
        <v>120000</v>
      </c>
      <c r="F159" s="481"/>
      <c r="G159" s="481" t="n">
        <v>12120800</v>
      </c>
      <c r="H159" s="480"/>
    </row>
    <row r="160" customFormat="false" ht="15" hidden="false" customHeight="true" outlineLevel="0" collapsed="false">
      <c r="A160" s="479" t="n">
        <v>43831</v>
      </c>
      <c r="B160" s="480" t="n">
        <v>8</v>
      </c>
      <c r="C160" s="480" t="s">
        <v>1400</v>
      </c>
      <c r="D160" s="480" t="s">
        <v>1401</v>
      </c>
      <c r="E160" s="481"/>
      <c r="F160" s="481" t="n">
        <v>1960000</v>
      </c>
      <c r="G160" s="481" t="n">
        <v>10160800</v>
      </c>
      <c r="H160" s="480"/>
    </row>
    <row r="161" customFormat="false" ht="15" hidden="false" customHeight="true" outlineLevel="0" collapsed="false">
      <c r="A161" s="479" t="n">
        <v>43983</v>
      </c>
      <c r="B161" s="480" t="n">
        <v>9</v>
      </c>
      <c r="C161" s="480" t="s">
        <v>1350</v>
      </c>
      <c r="D161" s="480" t="s">
        <v>1351</v>
      </c>
      <c r="E161" s="481" t="n">
        <v>30500000</v>
      </c>
      <c r="F161" s="481"/>
      <c r="G161" s="481" t="n">
        <v>40660800</v>
      </c>
      <c r="H161" s="480"/>
    </row>
    <row r="162" customFormat="false" ht="15" hidden="false" customHeight="true" outlineLevel="0" collapsed="false">
      <c r="A162" s="479" t="n">
        <v>43983</v>
      </c>
      <c r="B162" s="480" t="n">
        <v>9</v>
      </c>
      <c r="C162" s="480" t="s">
        <v>1367</v>
      </c>
      <c r="D162" s="480" t="s">
        <v>1368</v>
      </c>
      <c r="E162" s="481"/>
      <c r="F162" s="481" t="n">
        <v>7680000</v>
      </c>
      <c r="G162" s="481" t="n">
        <v>32980800</v>
      </c>
      <c r="H162" s="480"/>
    </row>
    <row r="163" customFormat="false" ht="15" hidden="false" customHeight="true" outlineLevel="0" collapsed="false">
      <c r="A163" s="479" t="n">
        <v>43983</v>
      </c>
      <c r="B163" s="480" t="n">
        <v>9</v>
      </c>
      <c r="C163" s="480" t="s">
        <v>1425</v>
      </c>
      <c r="D163" s="480" t="s">
        <v>1426</v>
      </c>
      <c r="E163" s="481"/>
      <c r="F163" s="481" t="n">
        <v>440000</v>
      </c>
      <c r="G163" s="481" t="n">
        <v>32540800</v>
      </c>
      <c r="H163" s="480"/>
    </row>
    <row r="164" customFormat="false" ht="15" hidden="false" customHeight="true" outlineLevel="0" collapsed="false">
      <c r="A164" s="479" t="n">
        <v>43983</v>
      </c>
      <c r="B164" s="480" t="n">
        <v>9</v>
      </c>
      <c r="C164" s="480" t="s">
        <v>1427</v>
      </c>
      <c r="D164" s="480" t="s">
        <v>1428</v>
      </c>
      <c r="E164" s="481"/>
      <c r="F164" s="481" t="n">
        <v>350000</v>
      </c>
      <c r="G164" s="481" t="n">
        <v>32190800</v>
      </c>
      <c r="H164" s="480"/>
    </row>
    <row r="165" customFormat="false" ht="15" hidden="false" customHeight="true" outlineLevel="0" collapsed="false">
      <c r="A165" s="479" t="n">
        <v>43983</v>
      </c>
      <c r="B165" s="480" t="n">
        <v>9</v>
      </c>
      <c r="C165" s="480" t="s">
        <v>1429</v>
      </c>
      <c r="D165" s="480" t="s">
        <v>1430</v>
      </c>
      <c r="E165" s="481"/>
      <c r="F165" s="481" t="n">
        <v>540000</v>
      </c>
      <c r="G165" s="481" t="n">
        <v>31650800</v>
      </c>
      <c r="H165" s="480"/>
    </row>
    <row r="166" customFormat="false" ht="15" hidden="false" customHeight="true" outlineLevel="0" collapsed="false">
      <c r="A166" s="479" t="n">
        <v>43983</v>
      </c>
      <c r="B166" s="480" t="n">
        <v>9</v>
      </c>
      <c r="C166" s="480" t="s">
        <v>1431</v>
      </c>
      <c r="D166" s="480" t="s">
        <v>1432</v>
      </c>
      <c r="E166" s="481"/>
      <c r="F166" s="481" t="n">
        <v>120000</v>
      </c>
      <c r="G166" s="481" t="n">
        <v>31530800</v>
      </c>
      <c r="H166" s="480"/>
    </row>
    <row r="167" customFormat="false" ht="15" hidden="false" customHeight="true" outlineLevel="0" collapsed="false">
      <c r="A167" s="479" t="n">
        <v>43983</v>
      </c>
      <c r="B167" s="480" t="n">
        <v>9</v>
      </c>
      <c r="C167" s="480" t="s">
        <v>1433</v>
      </c>
      <c r="D167" s="480" t="s">
        <v>1434</v>
      </c>
      <c r="E167" s="481"/>
      <c r="F167" s="481" t="n">
        <v>640000</v>
      </c>
      <c r="G167" s="481" t="n">
        <v>30890800</v>
      </c>
      <c r="H167" s="480"/>
    </row>
    <row r="168" customFormat="false" ht="15" hidden="false" customHeight="true" outlineLevel="0" collapsed="false">
      <c r="A168" s="479" t="n">
        <v>43983</v>
      </c>
      <c r="B168" s="480" t="n">
        <v>9</v>
      </c>
      <c r="C168" s="480" t="s">
        <v>1435</v>
      </c>
      <c r="D168" s="480" t="s">
        <v>1436</v>
      </c>
      <c r="E168" s="481"/>
      <c r="F168" s="481" t="n">
        <v>125000</v>
      </c>
      <c r="G168" s="481" t="n">
        <v>30765800</v>
      </c>
      <c r="H168" s="480"/>
    </row>
    <row r="169" customFormat="false" ht="15" hidden="false" customHeight="true" outlineLevel="0" collapsed="false">
      <c r="A169" s="479" t="n">
        <v>43983</v>
      </c>
      <c r="B169" s="480" t="n">
        <v>9</v>
      </c>
      <c r="C169" s="480" t="s">
        <v>1358</v>
      </c>
      <c r="D169" s="480" t="s">
        <v>1359</v>
      </c>
      <c r="E169" s="481"/>
      <c r="F169" s="481" t="n">
        <v>2200000</v>
      </c>
      <c r="G169" s="481" t="n">
        <v>28565800</v>
      </c>
      <c r="H169" s="480"/>
    </row>
    <row r="170" customFormat="false" ht="15" hidden="false" customHeight="true" outlineLevel="0" collapsed="false">
      <c r="A170" s="479" t="n">
        <v>43983</v>
      </c>
      <c r="B170" s="480" t="n">
        <v>9</v>
      </c>
      <c r="C170" s="480" t="s">
        <v>1422</v>
      </c>
      <c r="D170" s="480" t="s">
        <v>1423</v>
      </c>
      <c r="E170" s="481"/>
      <c r="F170" s="481" t="n">
        <v>518500</v>
      </c>
      <c r="G170" s="481" t="n">
        <v>28047300</v>
      </c>
      <c r="H170" s="480"/>
    </row>
    <row r="171" customFormat="false" ht="15" hidden="false" customHeight="true" outlineLevel="0" collapsed="false">
      <c r="A171" s="479" t="n">
        <v>43983</v>
      </c>
      <c r="B171" s="480" t="n">
        <v>9</v>
      </c>
      <c r="C171" s="480" t="s">
        <v>1437</v>
      </c>
      <c r="D171" s="480" t="s">
        <v>1438</v>
      </c>
      <c r="E171" s="481"/>
      <c r="F171" s="481" t="n">
        <v>135000</v>
      </c>
      <c r="G171" s="481" t="n">
        <v>27912300</v>
      </c>
      <c r="H171" s="480"/>
    </row>
    <row r="172" customFormat="false" ht="15" hidden="false" customHeight="true" outlineLevel="0" collapsed="false">
      <c r="A172" s="479" t="n">
        <v>43983</v>
      </c>
      <c r="B172" s="480" t="n">
        <v>9</v>
      </c>
      <c r="C172" s="480" t="s">
        <v>1439</v>
      </c>
      <c r="D172" s="480" t="s">
        <v>1440</v>
      </c>
      <c r="E172" s="481" t="n">
        <v>110000</v>
      </c>
      <c r="F172" s="481"/>
      <c r="G172" s="481" t="n">
        <v>28022300</v>
      </c>
      <c r="H172" s="480"/>
    </row>
    <row r="173" customFormat="false" ht="15" hidden="false" customHeight="true" outlineLevel="0" collapsed="false">
      <c r="A173" s="479" t="n">
        <v>43983</v>
      </c>
      <c r="B173" s="480" t="n">
        <v>9</v>
      </c>
      <c r="C173" s="480" t="s">
        <v>1402</v>
      </c>
      <c r="D173" s="480" t="s">
        <v>1403</v>
      </c>
      <c r="E173" s="481"/>
      <c r="F173" s="481" t="n">
        <v>1000000</v>
      </c>
      <c r="G173" s="481" t="n">
        <v>27022300</v>
      </c>
      <c r="H173" s="480"/>
    </row>
    <row r="174" customFormat="false" ht="15" hidden="false" customHeight="true" outlineLevel="0" collapsed="false">
      <c r="A174" s="479" t="n">
        <v>43983</v>
      </c>
      <c r="B174" s="480" t="n">
        <v>9</v>
      </c>
      <c r="C174" s="480" t="s">
        <v>1410</v>
      </c>
      <c r="D174" s="480" t="s">
        <v>1411</v>
      </c>
      <c r="E174" s="481" t="n">
        <v>1200000</v>
      </c>
      <c r="F174" s="481"/>
      <c r="G174" s="481" t="n">
        <v>28222300</v>
      </c>
      <c r="H174" s="480"/>
    </row>
    <row r="175" customFormat="false" ht="15" hidden="false" customHeight="true" outlineLevel="0" collapsed="false">
      <c r="A175" s="479" t="n">
        <v>43983</v>
      </c>
      <c r="B175" s="480" t="n">
        <v>9</v>
      </c>
      <c r="C175" s="480" t="s">
        <v>1441</v>
      </c>
      <c r="D175" s="480" t="s">
        <v>1442</v>
      </c>
      <c r="E175" s="481"/>
      <c r="F175" s="481" t="n">
        <v>180000</v>
      </c>
      <c r="G175" s="481" t="n">
        <v>28042300</v>
      </c>
      <c r="H175" s="480"/>
    </row>
    <row r="176" customFormat="false" ht="15" hidden="false" customHeight="true" outlineLevel="0" collapsed="false">
      <c r="D176" s="482" t="s">
        <v>1343</v>
      </c>
      <c r="E176" s="483" t="n">
        <v>44430000</v>
      </c>
      <c r="F176" s="483" t="n">
        <v>16387700</v>
      </c>
      <c r="G176" s="483" t="n">
        <v>28042300</v>
      </c>
    </row>
    <row r="179" customFormat="false" ht="15" hidden="false" customHeight="true" outlineLevel="0" collapsed="false">
      <c r="A179" s="477" t="s">
        <v>1443</v>
      </c>
      <c r="B179" s="477"/>
      <c r="C179" s="477"/>
      <c r="D179" s="477"/>
      <c r="E179" s="477"/>
      <c r="F179" s="477"/>
      <c r="G179" s="477"/>
      <c r="H179" s="477"/>
    </row>
    <row r="180" customFormat="false" ht="15" hidden="false" customHeight="true" outlineLevel="0" collapsed="false">
      <c r="A180" s="478" t="s">
        <v>740</v>
      </c>
      <c r="B180" s="478" t="s">
        <v>741</v>
      </c>
      <c r="C180" s="478" t="s">
        <v>742</v>
      </c>
      <c r="D180" s="478" t="s">
        <v>747</v>
      </c>
      <c r="E180" s="478" t="s">
        <v>212</v>
      </c>
      <c r="F180" s="478" t="s">
        <v>745</v>
      </c>
      <c r="G180" s="478" t="s">
        <v>1337</v>
      </c>
      <c r="H180" s="478" t="s">
        <v>746</v>
      </c>
    </row>
    <row r="181" customFormat="false" ht="15" hidden="false" customHeight="true" outlineLevel="0" collapsed="false">
      <c r="A181" s="479" t="n">
        <v>43983</v>
      </c>
      <c r="B181" s="480" t="n">
        <v>9</v>
      </c>
      <c r="C181" s="480" t="s">
        <v>1444</v>
      </c>
      <c r="D181" s="480" t="s">
        <v>1445</v>
      </c>
      <c r="E181" s="481"/>
      <c r="F181" s="481" t="n">
        <v>240000</v>
      </c>
      <c r="G181" s="481" t="n">
        <v>-240000</v>
      </c>
      <c r="H181" s="480"/>
    </row>
    <row r="182" customFormat="false" ht="15" hidden="false" customHeight="true" outlineLevel="0" collapsed="false">
      <c r="D182" s="482" t="s">
        <v>1343</v>
      </c>
      <c r="E182" s="483" t="n">
        <v>0</v>
      </c>
      <c r="F182" s="483" t="n">
        <v>240000</v>
      </c>
      <c r="G182" s="483" t="n">
        <v>-240000</v>
      </c>
    </row>
    <row r="185" customFormat="false" ht="15" hidden="false" customHeight="true" outlineLevel="0" collapsed="false">
      <c r="A185" s="477" t="s">
        <v>1446</v>
      </c>
      <c r="B185" s="477"/>
      <c r="C185" s="477"/>
      <c r="D185" s="477"/>
      <c r="E185" s="477"/>
      <c r="F185" s="477"/>
      <c r="G185" s="477"/>
      <c r="H185" s="477"/>
    </row>
    <row r="186" customFormat="false" ht="15" hidden="false" customHeight="true" outlineLevel="0" collapsed="false">
      <c r="A186" s="478" t="s">
        <v>740</v>
      </c>
      <c r="B186" s="478" t="s">
        <v>741</v>
      </c>
      <c r="C186" s="478" t="s">
        <v>742</v>
      </c>
      <c r="D186" s="478" t="s">
        <v>747</v>
      </c>
      <c r="E186" s="478" t="s">
        <v>212</v>
      </c>
      <c r="F186" s="478" t="s">
        <v>745</v>
      </c>
      <c r="G186" s="478" t="s">
        <v>1337</v>
      </c>
      <c r="H186" s="478" t="s">
        <v>746</v>
      </c>
    </row>
    <row r="187" customFormat="false" ht="15" hidden="false" customHeight="true" outlineLevel="0" collapsed="false">
      <c r="A187" s="479" t="n">
        <v>43983</v>
      </c>
      <c r="B187" s="480" t="n">
        <v>9</v>
      </c>
      <c r="C187" s="480" t="s">
        <v>1395</v>
      </c>
      <c r="D187" s="480" t="s">
        <v>1396</v>
      </c>
      <c r="E187" s="481" t="n">
        <v>8000000</v>
      </c>
      <c r="F187" s="481"/>
      <c r="G187" s="481" t="n">
        <v>8000000</v>
      </c>
      <c r="H187" s="480"/>
    </row>
    <row r="188" customFormat="false" ht="15" hidden="false" customHeight="true" outlineLevel="0" collapsed="false">
      <c r="D188" s="482" t="s">
        <v>1343</v>
      </c>
      <c r="E188" s="483" t="n">
        <v>8000000</v>
      </c>
      <c r="F188" s="483" t="n">
        <v>0</v>
      </c>
      <c r="G188" s="483" t="n">
        <v>8000000</v>
      </c>
    </row>
    <row r="191" customFormat="false" ht="15" hidden="false" customHeight="true" outlineLevel="0" collapsed="false">
      <c r="A191" s="477" t="s">
        <v>1447</v>
      </c>
      <c r="B191" s="477"/>
      <c r="C191" s="477"/>
      <c r="D191" s="477"/>
      <c r="E191" s="477"/>
      <c r="F191" s="477"/>
      <c r="G191" s="477"/>
      <c r="H191" s="477"/>
    </row>
    <row r="192" customFormat="false" ht="15" hidden="false" customHeight="true" outlineLevel="0" collapsed="false">
      <c r="A192" s="478" t="s">
        <v>740</v>
      </c>
      <c r="B192" s="478" t="s">
        <v>741</v>
      </c>
      <c r="C192" s="478" t="s">
        <v>742</v>
      </c>
      <c r="D192" s="478" t="s">
        <v>747</v>
      </c>
      <c r="E192" s="478" t="s">
        <v>212</v>
      </c>
      <c r="F192" s="478" t="s">
        <v>745</v>
      </c>
      <c r="G192" s="478" t="s">
        <v>1337</v>
      </c>
      <c r="H192" s="478" t="s">
        <v>746</v>
      </c>
    </row>
    <row r="193" customFormat="false" ht="15" hidden="false" customHeight="true" outlineLevel="0" collapsed="false">
      <c r="A193" s="479" t="n">
        <v>43983</v>
      </c>
      <c r="B193" s="480" t="n">
        <v>9</v>
      </c>
      <c r="C193" s="480" t="s">
        <v>1422</v>
      </c>
      <c r="D193" s="480" t="s">
        <v>1423</v>
      </c>
      <c r="E193" s="481" t="n">
        <v>610000</v>
      </c>
      <c r="F193" s="481"/>
      <c r="G193" s="481" t="n">
        <v>610000</v>
      </c>
      <c r="H193" s="480"/>
    </row>
    <row r="194" customFormat="false" ht="15" hidden="false" customHeight="true" outlineLevel="0" collapsed="false">
      <c r="D194" s="482" t="s">
        <v>1343</v>
      </c>
      <c r="E194" s="483" t="n">
        <v>610000</v>
      </c>
      <c r="F194" s="483" t="n">
        <v>0</v>
      </c>
      <c r="G194" s="483" t="n">
        <v>610000</v>
      </c>
    </row>
    <row r="197" customFormat="false" ht="15" hidden="false" customHeight="true" outlineLevel="0" collapsed="false">
      <c r="A197" s="477" t="s">
        <v>1448</v>
      </c>
      <c r="B197" s="477"/>
      <c r="C197" s="477"/>
      <c r="D197" s="477"/>
      <c r="E197" s="477"/>
      <c r="F197" s="477"/>
      <c r="G197" s="477"/>
      <c r="H197" s="477"/>
    </row>
    <row r="198" customFormat="false" ht="15" hidden="false" customHeight="true" outlineLevel="0" collapsed="false">
      <c r="A198" s="478" t="s">
        <v>740</v>
      </c>
      <c r="B198" s="478" t="s">
        <v>741</v>
      </c>
      <c r="C198" s="478" t="s">
        <v>742</v>
      </c>
      <c r="D198" s="478" t="s">
        <v>747</v>
      </c>
      <c r="E198" s="478" t="s">
        <v>212</v>
      </c>
      <c r="F198" s="478" t="s">
        <v>745</v>
      </c>
      <c r="G198" s="478" t="s">
        <v>1337</v>
      </c>
      <c r="H198" s="478" t="s">
        <v>746</v>
      </c>
    </row>
    <row r="199" customFormat="false" ht="15" hidden="false" customHeight="true" outlineLevel="0" collapsed="false">
      <c r="A199" s="479" t="n">
        <v>43983</v>
      </c>
      <c r="B199" s="480" t="n">
        <v>9</v>
      </c>
      <c r="C199" s="480" t="s">
        <v>1431</v>
      </c>
      <c r="D199" s="480" t="s">
        <v>1432</v>
      </c>
      <c r="E199" s="481" t="n">
        <v>120000</v>
      </c>
      <c r="F199" s="481"/>
      <c r="G199" s="481" t="n">
        <v>120000</v>
      </c>
      <c r="H199" s="480"/>
    </row>
    <row r="200" customFormat="false" ht="15" hidden="false" customHeight="true" outlineLevel="0" collapsed="false">
      <c r="D200" s="482" t="s">
        <v>1343</v>
      </c>
      <c r="E200" s="483" t="n">
        <v>120000</v>
      </c>
      <c r="F200" s="483" t="n">
        <v>0</v>
      </c>
      <c r="G200" s="483" t="n">
        <v>120000</v>
      </c>
    </row>
    <row r="203" customFormat="false" ht="15" hidden="false" customHeight="true" outlineLevel="0" collapsed="false">
      <c r="A203" s="477" t="s">
        <v>1449</v>
      </c>
      <c r="B203" s="477"/>
      <c r="C203" s="477"/>
      <c r="D203" s="477"/>
      <c r="E203" s="477"/>
      <c r="F203" s="477"/>
      <c r="G203" s="477"/>
      <c r="H203" s="477"/>
    </row>
    <row r="204" customFormat="false" ht="15" hidden="false" customHeight="true" outlineLevel="0" collapsed="false">
      <c r="A204" s="478" t="s">
        <v>740</v>
      </c>
      <c r="B204" s="478" t="s">
        <v>741</v>
      </c>
      <c r="C204" s="478" t="s">
        <v>742</v>
      </c>
      <c r="D204" s="478" t="s">
        <v>747</v>
      </c>
      <c r="E204" s="478" t="s">
        <v>212</v>
      </c>
      <c r="F204" s="478" t="s">
        <v>745</v>
      </c>
      <c r="G204" s="478" t="s">
        <v>1337</v>
      </c>
      <c r="H204" s="478" t="s">
        <v>746</v>
      </c>
    </row>
    <row r="205" customFormat="false" ht="15" hidden="false" customHeight="true" outlineLevel="0" collapsed="false">
      <c r="A205" s="479" t="n">
        <v>43983</v>
      </c>
      <c r="B205" s="480" t="n">
        <v>9</v>
      </c>
      <c r="C205" s="480" t="s">
        <v>1437</v>
      </c>
      <c r="D205" s="480" t="s">
        <v>1438</v>
      </c>
      <c r="E205" s="481" t="n">
        <v>135000</v>
      </c>
      <c r="F205" s="481"/>
      <c r="G205" s="481" t="n">
        <v>135000</v>
      </c>
      <c r="H205" s="480"/>
    </row>
    <row r="206" customFormat="false" ht="15" hidden="false" customHeight="true" outlineLevel="0" collapsed="false">
      <c r="D206" s="482" t="s">
        <v>1343</v>
      </c>
      <c r="E206" s="483" t="n">
        <v>135000</v>
      </c>
      <c r="F206" s="483" t="n">
        <v>0</v>
      </c>
      <c r="G206" s="483" t="n">
        <v>135000</v>
      </c>
    </row>
    <row r="209" customFormat="false" ht="15" hidden="false" customHeight="true" outlineLevel="0" collapsed="false">
      <c r="A209" s="477" t="s">
        <v>1450</v>
      </c>
      <c r="B209" s="477"/>
      <c r="C209" s="477"/>
      <c r="D209" s="477"/>
      <c r="E209" s="477"/>
      <c r="F209" s="477"/>
      <c r="G209" s="477"/>
      <c r="H209" s="477"/>
    </row>
    <row r="210" customFormat="false" ht="15" hidden="false" customHeight="true" outlineLevel="0" collapsed="false">
      <c r="A210" s="478" t="s">
        <v>740</v>
      </c>
      <c r="B210" s="478" t="s">
        <v>741</v>
      </c>
      <c r="C210" s="478" t="s">
        <v>742</v>
      </c>
      <c r="D210" s="478" t="s">
        <v>747</v>
      </c>
      <c r="E210" s="478" t="s">
        <v>212</v>
      </c>
      <c r="F210" s="478" t="s">
        <v>745</v>
      </c>
      <c r="G210" s="478" t="s">
        <v>1337</v>
      </c>
      <c r="H210" s="478" t="s">
        <v>746</v>
      </c>
    </row>
    <row r="211" customFormat="false" ht="15" hidden="false" customHeight="true" outlineLevel="0" collapsed="false">
      <c r="A211" s="479" t="n">
        <v>43983</v>
      </c>
      <c r="B211" s="480" t="n">
        <v>9</v>
      </c>
      <c r="C211" s="480" t="s">
        <v>1444</v>
      </c>
      <c r="D211" s="480" t="s">
        <v>1445</v>
      </c>
      <c r="E211" s="481" t="n">
        <v>200000</v>
      </c>
      <c r="F211" s="481"/>
      <c r="G211" s="481" t="n">
        <v>200000</v>
      </c>
      <c r="H211" s="480"/>
    </row>
    <row r="212" customFormat="false" ht="15" hidden="false" customHeight="true" outlineLevel="0" collapsed="false">
      <c r="D212" s="482" t="s">
        <v>1343</v>
      </c>
      <c r="E212" s="483" t="n">
        <v>200000</v>
      </c>
      <c r="F212" s="483" t="n">
        <v>0</v>
      </c>
      <c r="G212" s="483" t="n">
        <v>200000</v>
      </c>
    </row>
    <row r="215" customFormat="false" ht="15" hidden="false" customHeight="true" outlineLevel="0" collapsed="false">
      <c r="A215" s="477" t="s">
        <v>1451</v>
      </c>
      <c r="B215" s="477"/>
      <c r="C215" s="477"/>
      <c r="D215" s="477"/>
      <c r="E215" s="477"/>
      <c r="F215" s="477"/>
      <c r="G215" s="477"/>
      <c r="H215" s="477"/>
    </row>
    <row r="216" customFormat="false" ht="15" hidden="false" customHeight="true" outlineLevel="0" collapsed="false">
      <c r="A216" s="478" t="s">
        <v>740</v>
      </c>
      <c r="B216" s="478" t="s">
        <v>741</v>
      </c>
      <c r="C216" s="478" t="s">
        <v>742</v>
      </c>
      <c r="D216" s="478" t="s">
        <v>747</v>
      </c>
      <c r="E216" s="478" t="s">
        <v>212</v>
      </c>
      <c r="F216" s="478" t="s">
        <v>745</v>
      </c>
      <c r="G216" s="478" t="s">
        <v>1337</v>
      </c>
      <c r="H216" s="478" t="s">
        <v>746</v>
      </c>
    </row>
    <row r="217" customFormat="false" ht="15" hidden="false" customHeight="true" outlineLevel="0" collapsed="false">
      <c r="A217" s="479" t="n">
        <v>43983</v>
      </c>
      <c r="B217" s="480" t="n">
        <v>9</v>
      </c>
      <c r="C217" s="480" t="s">
        <v>1413</v>
      </c>
      <c r="D217" s="480" t="s">
        <v>1414</v>
      </c>
      <c r="E217" s="481" t="n">
        <v>2200000</v>
      </c>
      <c r="F217" s="481"/>
      <c r="G217" s="481" t="n">
        <v>2200000</v>
      </c>
      <c r="H217" s="480"/>
    </row>
    <row r="218" customFormat="false" ht="15" hidden="false" customHeight="true" outlineLevel="0" collapsed="false">
      <c r="A218" s="479" t="n">
        <v>43983</v>
      </c>
      <c r="B218" s="480" t="n">
        <v>9</v>
      </c>
      <c r="C218" s="480" t="s">
        <v>1415</v>
      </c>
      <c r="D218" s="480" t="s">
        <v>1416</v>
      </c>
      <c r="E218" s="481" t="n">
        <v>150000</v>
      </c>
      <c r="F218" s="481"/>
      <c r="G218" s="481" t="n">
        <v>2350000</v>
      </c>
      <c r="H218" s="480"/>
    </row>
    <row r="219" customFormat="false" ht="15" hidden="false" customHeight="true" outlineLevel="0" collapsed="false">
      <c r="D219" s="482" t="s">
        <v>1343</v>
      </c>
      <c r="E219" s="483" t="n">
        <v>2350000</v>
      </c>
      <c r="F219" s="483" t="n">
        <v>0</v>
      </c>
      <c r="G219" s="483" t="n">
        <v>2350000</v>
      </c>
    </row>
    <row r="222" customFormat="false" ht="15" hidden="false" customHeight="true" outlineLevel="0" collapsed="false">
      <c r="A222" s="477" t="s">
        <v>1452</v>
      </c>
      <c r="B222" s="477"/>
      <c r="C222" s="477"/>
      <c r="D222" s="477"/>
      <c r="E222" s="477"/>
      <c r="F222" s="477"/>
      <c r="G222" s="477"/>
      <c r="H222" s="477"/>
    </row>
    <row r="223" customFormat="false" ht="15" hidden="false" customHeight="true" outlineLevel="0" collapsed="false">
      <c r="A223" s="478" t="s">
        <v>740</v>
      </c>
      <c r="B223" s="478" t="s">
        <v>741</v>
      </c>
      <c r="C223" s="478" t="s">
        <v>742</v>
      </c>
      <c r="D223" s="478" t="s">
        <v>747</v>
      </c>
      <c r="E223" s="478" t="s">
        <v>212</v>
      </c>
      <c r="F223" s="478" t="s">
        <v>745</v>
      </c>
      <c r="G223" s="478" t="s">
        <v>1337</v>
      </c>
      <c r="H223" s="478" t="s">
        <v>746</v>
      </c>
    </row>
    <row r="224" customFormat="false" ht="15" hidden="false" customHeight="true" outlineLevel="0" collapsed="false">
      <c r="A224" s="479" t="n">
        <v>43983</v>
      </c>
      <c r="B224" s="480" t="n">
        <v>9</v>
      </c>
      <c r="C224" s="480" t="s">
        <v>1417</v>
      </c>
      <c r="D224" s="480" t="s">
        <v>1418</v>
      </c>
      <c r="E224" s="481" t="n">
        <v>367400</v>
      </c>
      <c r="F224" s="481"/>
      <c r="G224" s="481" t="n">
        <v>367400</v>
      </c>
      <c r="H224" s="480"/>
    </row>
    <row r="225" customFormat="false" ht="15" hidden="false" customHeight="true" outlineLevel="0" collapsed="false">
      <c r="D225" s="482" t="s">
        <v>1343</v>
      </c>
      <c r="E225" s="483" t="n">
        <v>367400</v>
      </c>
      <c r="F225" s="483" t="n">
        <v>0</v>
      </c>
      <c r="G225" s="483" t="n">
        <v>367400</v>
      </c>
    </row>
    <row r="228" customFormat="false" ht="15" hidden="false" customHeight="true" outlineLevel="0" collapsed="false">
      <c r="A228" s="477" t="s">
        <v>1453</v>
      </c>
      <c r="B228" s="477"/>
      <c r="C228" s="477"/>
      <c r="D228" s="477"/>
      <c r="E228" s="477"/>
      <c r="F228" s="477"/>
      <c r="G228" s="477"/>
      <c r="H228" s="477"/>
    </row>
    <row r="229" customFormat="false" ht="15" hidden="false" customHeight="true" outlineLevel="0" collapsed="false">
      <c r="A229" s="478" t="s">
        <v>740</v>
      </c>
      <c r="B229" s="478" t="s">
        <v>741</v>
      </c>
      <c r="C229" s="478" t="s">
        <v>742</v>
      </c>
      <c r="D229" s="478" t="s">
        <v>747</v>
      </c>
      <c r="E229" s="478" t="s">
        <v>212</v>
      </c>
      <c r="F229" s="478" t="s">
        <v>745</v>
      </c>
      <c r="G229" s="478" t="s">
        <v>1337</v>
      </c>
      <c r="H229" s="478" t="s">
        <v>746</v>
      </c>
    </row>
    <row r="230" customFormat="false" ht="15" hidden="false" customHeight="true" outlineLevel="0" collapsed="false">
      <c r="A230" s="479" t="n">
        <v>43983</v>
      </c>
      <c r="B230" s="480" t="n">
        <v>9</v>
      </c>
      <c r="C230" s="480" t="s">
        <v>1429</v>
      </c>
      <c r="D230" s="480" t="s">
        <v>1430</v>
      </c>
      <c r="E230" s="481" t="n">
        <v>540000</v>
      </c>
      <c r="F230" s="481"/>
      <c r="G230" s="481" t="n">
        <v>540000</v>
      </c>
      <c r="H230" s="480"/>
    </row>
    <row r="231" customFormat="false" ht="15" hidden="false" customHeight="true" outlineLevel="0" collapsed="false">
      <c r="D231" s="482" t="s">
        <v>1343</v>
      </c>
      <c r="E231" s="483" t="n">
        <v>540000</v>
      </c>
      <c r="F231" s="483" t="n">
        <v>0</v>
      </c>
      <c r="G231" s="483" t="n">
        <v>540000</v>
      </c>
    </row>
    <row r="234" customFormat="false" ht="15" hidden="false" customHeight="true" outlineLevel="0" collapsed="false">
      <c r="A234" s="477" t="s">
        <v>1454</v>
      </c>
      <c r="B234" s="477"/>
      <c r="C234" s="477"/>
      <c r="D234" s="477"/>
      <c r="E234" s="477"/>
      <c r="F234" s="477"/>
      <c r="G234" s="477"/>
      <c r="H234" s="477"/>
    </row>
    <row r="235" customFormat="false" ht="15" hidden="false" customHeight="true" outlineLevel="0" collapsed="false">
      <c r="A235" s="478" t="s">
        <v>740</v>
      </c>
      <c r="B235" s="478" t="s">
        <v>741</v>
      </c>
      <c r="C235" s="478" t="s">
        <v>742</v>
      </c>
      <c r="D235" s="478" t="s">
        <v>747</v>
      </c>
      <c r="E235" s="478" t="s">
        <v>212</v>
      </c>
      <c r="F235" s="478" t="s">
        <v>745</v>
      </c>
      <c r="G235" s="478" t="s">
        <v>1337</v>
      </c>
      <c r="H235" s="478" t="s">
        <v>746</v>
      </c>
    </row>
    <row r="236" customFormat="false" ht="15" hidden="false" customHeight="true" outlineLevel="0" collapsed="false">
      <c r="A236" s="479" t="n">
        <v>43983</v>
      </c>
      <c r="B236" s="480" t="n">
        <v>9</v>
      </c>
      <c r="C236" s="480" t="s">
        <v>1425</v>
      </c>
      <c r="D236" s="480" t="s">
        <v>1426</v>
      </c>
      <c r="E236" s="481" t="n">
        <v>440000</v>
      </c>
      <c r="F236" s="481"/>
      <c r="G236" s="481" t="n">
        <v>440000</v>
      </c>
      <c r="H236" s="480"/>
    </row>
    <row r="237" customFormat="false" ht="15" hidden="false" customHeight="true" outlineLevel="0" collapsed="false">
      <c r="A237" s="479" t="n">
        <v>43983</v>
      </c>
      <c r="B237" s="480" t="n">
        <v>9</v>
      </c>
      <c r="C237" s="480" t="s">
        <v>1441</v>
      </c>
      <c r="D237" s="480" t="s">
        <v>1442</v>
      </c>
      <c r="E237" s="481" t="n">
        <v>180000</v>
      </c>
      <c r="F237" s="481"/>
      <c r="G237" s="481" t="n">
        <v>620000</v>
      </c>
      <c r="H237" s="480"/>
    </row>
    <row r="238" customFormat="false" ht="15" hidden="false" customHeight="true" outlineLevel="0" collapsed="false">
      <c r="D238" s="482" t="s">
        <v>1343</v>
      </c>
      <c r="E238" s="483" t="n">
        <v>620000</v>
      </c>
      <c r="F238" s="483" t="n">
        <v>0</v>
      </c>
      <c r="G238" s="483" t="n">
        <v>620000</v>
      </c>
    </row>
    <row r="241" customFormat="false" ht="15" hidden="false" customHeight="true" outlineLevel="0" collapsed="false">
      <c r="A241" s="477" t="s">
        <v>1455</v>
      </c>
      <c r="B241" s="477"/>
      <c r="C241" s="477"/>
      <c r="D241" s="477"/>
      <c r="E241" s="477"/>
      <c r="F241" s="477"/>
      <c r="G241" s="477"/>
      <c r="H241" s="477"/>
    </row>
    <row r="242" customFormat="false" ht="15" hidden="false" customHeight="true" outlineLevel="0" collapsed="false">
      <c r="A242" s="478" t="s">
        <v>740</v>
      </c>
      <c r="B242" s="478" t="s">
        <v>741</v>
      </c>
      <c r="C242" s="478" t="s">
        <v>742</v>
      </c>
      <c r="D242" s="478" t="s">
        <v>747</v>
      </c>
      <c r="E242" s="478" t="s">
        <v>212</v>
      </c>
      <c r="F242" s="478" t="s">
        <v>745</v>
      </c>
      <c r="G242" s="478" t="s">
        <v>1337</v>
      </c>
      <c r="H242" s="478" t="s">
        <v>746</v>
      </c>
    </row>
    <row r="243" customFormat="false" ht="15" hidden="false" customHeight="true" outlineLevel="0" collapsed="false">
      <c r="A243" s="479" t="n">
        <v>43983</v>
      </c>
      <c r="B243" s="480" t="n">
        <v>9</v>
      </c>
      <c r="C243" s="480" t="s">
        <v>1345</v>
      </c>
      <c r="D243" s="480" t="s">
        <v>1346</v>
      </c>
      <c r="E243" s="481" t="n">
        <v>100000</v>
      </c>
      <c r="F243" s="481"/>
      <c r="G243" s="481" t="n">
        <v>100000</v>
      </c>
      <c r="H243" s="480"/>
    </row>
    <row r="244" customFormat="false" ht="15" hidden="false" customHeight="true" outlineLevel="0" collapsed="false">
      <c r="D244" s="482" t="s">
        <v>1343</v>
      </c>
      <c r="E244" s="483" t="n">
        <v>100000</v>
      </c>
      <c r="F244" s="483" t="n">
        <v>0</v>
      </c>
      <c r="G244" s="483" t="n">
        <v>100000</v>
      </c>
    </row>
    <row r="247" customFormat="false" ht="15" hidden="false" customHeight="true" outlineLevel="0" collapsed="false">
      <c r="A247" s="477" t="s">
        <v>1456</v>
      </c>
      <c r="B247" s="477"/>
      <c r="C247" s="477"/>
      <c r="D247" s="477"/>
      <c r="E247" s="477"/>
      <c r="F247" s="477"/>
      <c r="G247" s="477"/>
      <c r="H247" s="477"/>
    </row>
    <row r="248" customFormat="false" ht="15" hidden="false" customHeight="true" outlineLevel="0" collapsed="false">
      <c r="A248" s="478" t="s">
        <v>740</v>
      </c>
      <c r="B248" s="478" t="s">
        <v>741</v>
      </c>
      <c r="C248" s="478" t="s">
        <v>742</v>
      </c>
      <c r="D248" s="478" t="s">
        <v>747</v>
      </c>
      <c r="E248" s="478" t="s">
        <v>212</v>
      </c>
      <c r="F248" s="478" t="s">
        <v>745</v>
      </c>
      <c r="G248" s="478" t="s">
        <v>1337</v>
      </c>
      <c r="H248" s="478" t="s">
        <v>746</v>
      </c>
    </row>
    <row r="249" customFormat="false" ht="15" hidden="false" customHeight="true" outlineLevel="0" collapsed="false">
      <c r="A249" s="479" t="n">
        <v>43983</v>
      </c>
      <c r="B249" s="480" t="n">
        <v>9</v>
      </c>
      <c r="C249" s="480" t="s">
        <v>1427</v>
      </c>
      <c r="D249" s="480" t="s">
        <v>1428</v>
      </c>
      <c r="E249" s="481" t="n">
        <v>350000</v>
      </c>
      <c r="F249" s="481"/>
      <c r="G249" s="481" t="n">
        <v>350000</v>
      </c>
      <c r="H249" s="480"/>
    </row>
    <row r="250" customFormat="false" ht="15" hidden="false" customHeight="true" outlineLevel="0" collapsed="false">
      <c r="A250" s="479" t="n">
        <v>43983</v>
      </c>
      <c r="B250" s="480" t="n">
        <v>9</v>
      </c>
      <c r="C250" s="480" t="s">
        <v>1433</v>
      </c>
      <c r="D250" s="480" t="s">
        <v>1434</v>
      </c>
      <c r="E250" s="481" t="n">
        <v>640000</v>
      </c>
      <c r="F250" s="481"/>
      <c r="G250" s="481" t="n">
        <v>990000</v>
      </c>
      <c r="H250" s="480"/>
    </row>
    <row r="251" customFormat="false" ht="15" hidden="false" customHeight="true" outlineLevel="0" collapsed="false">
      <c r="D251" s="482" t="s">
        <v>1343</v>
      </c>
      <c r="E251" s="483" t="n">
        <v>990000</v>
      </c>
      <c r="F251" s="483" t="n">
        <v>0</v>
      </c>
      <c r="G251" s="483" t="n">
        <v>990000</v>
      </c>
    </row>
    <row r="254" customFormat="false" ht="15" hidden="false" customHeight="true" outlineLevel="0" collapsed="false">
      <c r="A254" s="477" t="s">
        <v>1457</v>
      </c>
      <c r="B254" s="477"/>
      <c r="C254" s="477"/>
      <c r="D254" s="477"/>
      <c r="E254" s="477"/>
      <c r="F254" s="477"/>
      <c r="G254" s="477"/>
      <c r="H254" s="477"/>
    </row>
    <row r="255" customFormat="false" ht="15" hidden="false" customHeight="true" outlineLevel="0" collapsed="false">
      <c r="A255" s="478" t="s">
        <v>740</v>
      </c>
      <c r="B255" s="478" t="s">
        <v>741</v>
      </c>
      <c r="C255" s="478" t="s">
        <v>742</v>
      </c>
      <c r="D255" s="478" t="s">
        <v>747</v>
      </c>
      <c r="E255" s="478" t="s">
        <v>212</v>
      </c>
      <c r="F255" s="478" t="s">
        <v>745</v>
      </c>
      <c r="G255" s="478" t="s">
        <v>1337</v>
      </c>
      <c r="H255" s="478" t="s">
        <v>746</v>
      </c>
    </row>
    <row r="256" customFormat="false" ht="15" hidden="false" customHeight="true" outlineLevel="0" collapsed="false">
      <c r="A256" s="479" t="n">
        <v>43983</v>
      </c>
      <c r="B256" s="480" t="n">
        <v>9</v>
      </c>
      <c r="C256" s="480" t="s">
        <v>1435</v>
      </c>
      <c r="D256" s="480" t="s">
        <v>1436</v>
      </c>
      <c r="E256" s="481" t="n">
        <v>125000</v>
      </c>
      <c r="F256" s="481"/>
      <c r="G256" s="481" t="n">
        <v>125000</v>
      </c>
      <c r="H256" s="480"/>
    </row>
    <row r="257" customFormat="false" ht="15" hidden="false" customHeight="true" outlineLevel="0" collapsed="false">
      <c r="D257" s="482" t="s">
        <v>1343</v>
      </c>
      <c r="E257" s="483" t="n">
        <v>125000</v>
      </c>
      <c r="F257" s="483" t="n">
        <v>0</v>
      </c>
      <c r="G257" s="483" t="n">
        <v>125000</v>
      </c>
    </row>
    <row r="260" customFormat="false" ht="15" hidden="false" customHeight="true" outlineLevel="0" collapsed="false">
      <c r="A260" s="477" t="s">
        <v>1458</v>
      </c>
      <c r="B260" s="477"/>
      <c r="C260" s="477"/>
      <c r="D260" s="477"/>
      <c r="E260" s="477"/>
      <c r="F260" s="477"/>
      <c r="G260" s="477"/>
      <c r="H260" s="477"/>
    </row>
    <row r="261" customFormat="false" ht="15" hidden="false" customHeight="true" outlineLevel="0" collapsed="false">
      <c r="A261" s="478" t="s">
        <v>740</v>
      </c>
      <c r="B261" s="478" t="s">
        <v>741</v>
      </c>
      <c r="C261" s="478" t="s">
        <v>742</v>
      </c>
      <c r="D261" s="478" t="s">
        <v>747</v>
      </c>
      <c r="E261" s="478" t="s">
        <v>212</v>
      </c>
      <c r="F261" s="478" t="s">
        <v>745</v>
      </c>
      <c r="G261" s="478" t="s">
        <v>1337</v>
      </c>
      <c r="H261" s="478" t="s">
        <v>746</v>
      </c>
    </row>
    <row r="262" customFormat="false" ht="15" hidden="false" customHeight="true" outlineLevel="0" collapsed="false">
      <c r="A262" s="479" t="n">
        <v>43983</v>
      </c>
      <c r="B262" s="480" t="n">
        <v>9</v>
      </c>
      <c r="C262" s="480" t="s">
        <v>1378</v>
      </c>
      <c r="D262" s="480" t="s">
        <v>1379</v>
      </c>
      <c r="E262" s="481" t="n">
        <v>4936667</v>
      </c>
      <c r="F262" s="481"/>
      <c r="G262" s="481" t="n">
        <v>4936667</v>
      </c>
      <c r="H262" s="480"/>
    </row>
    <row r="263" customFormat="false" ht="15" hidden="false" customHeight="true" outlineLevel="0" collapsed="false">
      <c r="D263" s="482" t="s">
        <v>1343</v>
      </c>
      <c r="E263" s="483" t="n">
        <v>4936667</v>
      </c>
      <c r="F263" s="483" t="n">
        <v>0</v>
      </c>
      <c r="G263" s="483" t="n">
        <v>4936667</v>
      </c>
    </row>
    <row r="266" customFormat="false" ht="15" hidden="false" customHeight="true" outlineLevel="0" collapsed="false">
      <c r="A266" s="477" t="s">
        <v>1459</v>
      </c>
      <c r="B266" s="477"/>
      <c r="C266" s="477"/>
      <c r="D266" s="477"/>
      <c r="E266" s="477"/>
      <c r="F266" s="477"/>
      <c r="G266" s="477"/>
      <c r="H266" s="477"/>
    </row>
    <row r="267" customFormat="false" ht="15" hidden="false" customHeight="true" outlineLevel="0" collapsed="false">
      <c r="A267" s="478" t="s">
        <v>740</v>
      </c>
      <c r="B267" s="478" t="s">
        <v>741</v>
      </c>
      <c r="C267" s="478" t="s">
        <v>742</v>
      </c>
      <c r="D267" s="478" t="s">
        <v>747</v>
      </c>
      <c r="E267" s="478" t="s">
        <v>212</v>
      </c>
      <c r="F267" s="478" t="s">
        <v>745</v>
      </c>
      <c r="G267" s="478" t="s">
        <v>1337</v>
      </c>
      <c r="H267" s="478" t="s">
        <v>746</v>
      </c>
    </row>
    <row r="268" customFormat="false" ht="15" hidden="false" customHeight="true" outlineLevel="0" collapsed="false">
      <c r="A268" s="479" t="n">
        <v>43983</v>
      </c>
      <c r="B268" s="480" t="n">
        <v>9</v>
      </c>
      <c r="C268" s="480" t="s">
        <v>1395</v>
      </c>
      <c r="D268" s="480" t="s">
        <v>1396</v>
      </c>
      <c r="E268" s="481"/>
      <c r="F268" s="481" t="n">
        <v>18200000</v>
      </c>
      <c r="G268" s="481" t="n">
        <v>-18200000</v>
      </c>
      <c r="H268" s="480"/>
    </row>
    <row r="269" customFormat="false" ht="15" hidden="false" customHeight="true" outlineLevel="0" collapsed="false">
      <c r="D269" s="482" t="s">
        <v>1343</v>
      </c>
      <c r="E269" s="483" t="n">
        <v>0</v>
      </c>
      <c r="F269" s="483" t="n">
        <v>18200000</v>
      </c>
      <c r="G269" s="483" t="n">
        <v>-18200000</v>
      </c>
    </row>
    <row r="272" customFormat="false" ht="15" hidden="false" customHeight="true" outlineLevel="0" collapsed="false">
      <c r="A272" s="477" t="s">
        <v>1460</v>
      </c>
      <c r="B272" s="477"/>
      <c r="C272" s="477"/>
      <c r="D272" s="477"/>
      <c r="E272" s="477"/>
      <c r="F272" s="477"/>
      <c r="G272" s="477"/>
      <c r="H272" s="477"/>
    </row>
    <row r="273" customFormat="false" ht="15" hidden="false" customHeight="true" outlineLevel="0" collapsed="false">
      <c r="A273" s="478" t="s">
        <v>740</v>
      </c>
      <c r="B273" s="478" t="s">
        <v>741</v>
      </c>
      <c r="C273" s="478" t="s">
        <v>742</v>
      </c>
      <c r="D273" s="478" t="s">
        <v>747</v>
      </c>
      <c r="E273" s="478" t="s">
        <v>212</v>
      </c>
      <c r="F273" s="478" t="s">
        <v>745</v>
      </c>
      <c r="G273" s="478" t="s">
        <v>1337</v>
      </c>
      <c r="H273" s="478" t="s">
        <v>746</v>
      </c>
    </row>
    <row r="274" customFormat="false" ht="15" hidden="false" customHeight="true" outlineLevel="0" collapsed="false">
      <c r="A274" s="479" t="n">
        <v>43881</v>
      </c>
      <c r="B274" s="480" t="n">
        <v>5</v>
      </c>
      <c r="C274" s="480" t="s">
        <v>1405</v>
      </c>
      <c r="D274" s="480" t="s">
        <v>1406</v>
      </c>
      <c r="E274" s="481"/>
      <c r="F274" s="481" t="n">
        <v>99000</v>
      </c>
      <c r="G274" s="481" t="n">
        <v>-99000</v>
      </c>
      <c r="H274" s="480"/>
    </row>
    <row r="275" customFormat="false" ht="15" hidden="false" customHeight="true" outlineLevel="0" collapsed="false">
      <c r="D275" s="482" t="s">
        <v>1343</v>
      </c>
      <c r="E275" s="483" t="n">
        <v>0</v>
      </c>
      <c r="F275" s="483" t="n">
        <v>99000</v>
      </c>
      <c r="G275" s="483" t="n">
        <v>-99000</v>
      </c>
    </row>
    <row r="278" customFormat="false" ht="15" hidden="false" customHeight="true" outlineLevel="0" collapsed="false">
      <c r="A278" s="477" t="s">
        <v>1461</v>
      </c>
      <c r="B278" s="477"/>
      <c r="C278" s="477"/>
      <c r="D278" s="477"/>
      <c r="E278" s="477"/>
      <c r="F278" s="477"/>
      <c r="G278" s="477"/>
      <c r="H278" s="477"/>
    </row>
    <row r="279" customFormat="false" ht="15" hidden="false" customHeight="true" outlineLevel="0" collapsed="false">
      <c r="A279" s="478" t="s">
        <v>740</v>
      </c>
      <c r="B279" s="478" t="s">
        <v>741</v>
      </c>
      <c r="C279" s="478" t="s">
        <v>742</v>
      </c>
      <c r="D279" s="478" t="s">
        <v>747</v>
      </c>
      <c r="E279" s="478" t="s">
        <v>212</v>
      </c>
      <c r="F279" s="478" t="s">
        <v>745</v>
      </c>
      <c r="G279" s="478" t="s">
        <v>1337</v>
      </c>
      <c r="H279" s="478" t="s">
        <v>746</v>
      </c>
    </row>
    <row r="280" customFormat="false" ht="15" hidden="false" customHeight="true" outlineLevel="0" collapsed="false">
      <c r="A280" s="479" t="n">
        <v>43983</v>
      </c>
      <c r="B280" s="480" t="n">
        <v>9</v>
      </c>
      <c r="C280" s="480" t="s">
        <v>1439</v>
      </c>
      <c r="D280" s="480" t="s">
        <v>1440</v>
      </c>
      <c r="E280" s="481"/>
      <c r="F280" s="481" t="n">
        <v>110000</v>
      </c>
      <c r="G280" s="481" t="n">
        <v>-110000</v>
      </c>
      <c r="H280" s="480"/>
    </row>
    <row r="281" customFormat="false" ht="15" hidden="false" customHeight="true" outlineLevel="0" collapsed="false">
      <c r="D281" s="482" t="s">
        <v>1343</v>
      </c>
      <c r="E281" s="483" t="n">
        <v>0</v>
      </c>
      <c r="F281" s="483" t="n">
        <v>110000</v>
      </c>
      <c r="G281" s="483" t="n">
        <v>-110000</v>
      </c>
    </row>
    <row r="284" customFormat="false" ht="15" hidden="false" customHeight="true" outlineLevel="0" collapsed="false">
      <c r="A284" s="477" t="s">
        <v>1462</v>
      </c>
      <c r="B284" s="477"/>
      <c r="C284" s="477"/>
      <c r="D284" s="477"/>
      <c r="E284" s="477"/>
      <c r="F284" s="477"/>
      <c r="G284" s="477"/>
      <c r="H284" s="477"/>
    </row>
    <row r="285" customFormat="false" ht="15" hidden="false" customHeight="true" outlineLevel="0" collapsed="false">
      <c r="A285" s="478" t="s">
        <v>740</v>
      </c>
      <c r="B285" s="478" t="s">
        <v>741</v>
      </c>
      <c r="C285" s="478" t="s">
        <v>742</v>
      </c>
      <c r="D285" s="478" t="s">
        <v>747</v>
      </c>
      <c r="E285" s="478" t="s">
        <v>212</v>
      </c>
      <c r="F285" s="478" t="s">
        <v>745</v>
      </c>
      <c r="G285" s="478" t="s">
        <v>1337</v>
      </c>
      <c r="H285" s="478" t="s">
        <v>746</v>
      </c>
    </row>
    <row r="286" customFormat="false" ht="15" hidden="false" customHeight="true" outlineLevel="0" collapsed="false">
      <c r="A286" s="479" t="n">
        <v>43893</v>
      </c>
      <c r="B286" s="480" t="n">
        <v>6</v>
      </c>
      <c r="C286" s="480" t="s">
        <v>1398</v>
      </c>
      <c r="D286" s="480" t="s">
        <v>1399</v>
      </c>
      <c r="E286" s="481"/>
      <c r="F286" s="481" t="n">
        <v>100800</v>
      </c>
      <c r="G286" s="481" t="n">
        <v>-100800</v>
      </c>
      <c r="H286" s="480"/>
    </row>
    <row r="287" customFormat="false" ht="15" hidden="false" customHeight="true" outlineLevel="0" collapsed="false">
      <c r="A287" s="479" t="n">
        <v>43892</v>
      </c>
      <c r="B287" s="480" t="n">
        <v>7</v>
      </c>
      <c r="C287" s="480" t="s">
        <v>1408</v>
      </c>
      <c r="D287" s="480" t="s">
        <v>1409</v>
      </c>
      <c r="E287" s="481"/>
      <c r="F287" s="481" t="n">
        <v>1200</v>
      </c>
      <c r="G287" s="481" t="n">
        <v>-102000</v>
      </c>
      <c r="H287" s="480"/>
    </row>
    <row r="288" customFormat="false" ht="15" hidden="false" customHeight="true" outlineLevel="0" collapsed="false">
      <c r="D288" s="482" t="s">
        <v>1343</v>
      </c>
      <c r="E288" s="483" t="n">
        <v>0</v>
      </c>
      <c r="F288" s="483" t="n">
        <v>102000</v>
      </c>
      <c r="G288" s="483" t="n">
        <v>-102000</v>
      </c>
    </row>
    <row r="291" customFormat="false" ht="15" hidden="false" customHeight="true" outlineLevel="0" collapsed="false">
      <c r="A291" s="477" t="s">
        <v>1463</v>
      </c>
      <c r="B291" s="477"/>
      <c r="C291" s="477"/>
      <c r="D291" s="477"/>
      <c r="E291" s="477"/>
      <c r="F291" s="477"/>
      <c r="G291" s="477"/>
      <c r="H291" s="477"/>
    </row>
    <row r="292" customFormat="false" ht="15" hidden="false" customHeight="true" outlineLevel="0" collapsed="false">
      <c r="A292" s="478" t="s">
        <v>740</v>
      </c>
      <c r="B292" s="478" t="s">
        <v>741</v>
      </c>
      <c r="C292" s="478" t="s">
        <v>742</v>
      </c>
      <c r="D292" s="478" t="s">
        <v>747</v>
      </c>
      <c r="E292" s="478" t="s">
        <v>212</v>
      </c>
      <c r="F292" s="478" t="s">
        <v>745</v>
      </c>
      <c r="G292" s="478" t="s">
        <v>1337</v>
      </c>
      <c r="H292" s="478" t="s">
        <v>746</v>
      </c>
    </row>
    <row r="293" customFormat="false" ht="15" hidden="false" customHeight="true" outlineLevel="0" collapsed="false">
      <c r="A293" s="479" t="n">
        <v>43982</v>
      </c>
      <c r="B293" s="480" t="n">
        <v>2</v>
      </c>
      <c r="C293" s="480" t="s">
        <v>1364</v>
      </c>
      <c r="D293" s="480" t="s">
        <v>1365</v>
      </c>
      <c r="E293" s="481" t="n">
        <v>6666667</v>
      </c>
      <c r="F293" s="481"/>
      <c r="G293" s="481" t="n">
        <v>6666667</v>
      </c>
      <c r="H293" s="480"/>
    </row>
    <row r="294" customFormat="false" ht="15" hidden="false" customHeight="true" outlineLevel="0" collapsed="false">
      <c r="A294" s="479" t="n">
        <v>43892</v>
      </c>
      <c r="B294" s="480" t="n">
        <v>3</v>
      </c>
      <c r="C294" s="480" t="s">
        <v>1374</v>
      </c>
      <c r="D294" s="480" t="s">
        <v>1375</v>
      </c>
      <c r="E294" s="481" t="n">
        <v>100000</v>
      </c>
      <c r="F294" s="481"/>
      <c r="G294" s="481" t="n">
        <v>6766667</v>
      </c>
      <c r="H294" s="480"/>
    </row>
    <row r="295" customFormat="false" ht="15" hidden="false" customHeight="true" outlineLevel="0" collapsed="false">
      <c r="A295" s="479" t="n">
        <v>43871</v>
      </c>
      <c r="B295" s="480" t="n">
        <v>4</v>
      </c>
      <c r="C295" s="480" t="s">
        <v>1338</v>
      </c>
      <c r="D295" s="480" t="s">
        <v>1339</v>
      </c>
      <c r="E295" s="481" t="n">
        <v>5880000</v>
      </c>
      <c r="F295" s="481"/>
      <c r="G295" s="481" t="n">
        <v>12646667</v>
      </c>
      <c r="H295" s="480"/>
    </row>
    <row r="296" customFormat="false" ht="15" hidden="false" customHeight="true" outlineLevel="0" collapsed="false">
      <c r="A296" s="479" t="n">
        <v>43831</v>
      </c>
      <c r="B296" s="480" t="n">
        <v>8</v>
      </c>
      <c r="C296" s="480" t="s">
        <v>1383</v>
      </c>
      <c r="D296" s="480" t="s">
        <v>1384</v>
      </c>
      <c r="E296" s="481" t="n">
        <v>1358280</v>
      </c>
      <c r="F296" s="481"/>
      <c r="G296" s="481" t="n">
        <v>14004947</v>
      </c>
      <c r="H296" s="480"/>
    </row>
    <row r="297" customFormat="false" ht="15" hidden="false" customHeight="true" outlineLevel="0" collapsed="false">
      <c r="A297" s="479" t="n">
        <v>43831</v>
      </c>
      <c r="B297" s="480" t="n">
        <v>8</v>
      </c>
      <c r="C297" s="480" t="s">
        <v>1385</v>
      </c>
      <c r="D297" s="480" t="s">
        <v>1386</v>
      </c>
      <c r="E297" s="481" t="n">
        <v>2000</v>
      </c>
      <c r="F297" s="481"/>
      <c r="G297" s="481" t="n">
        <v>14006947</v>
      </c>
      <c r="H297" s="480"/>
    </row>
    <row r="298" customFormat="false" ht="15" hidden="false" customHeight="true" outlineLevel="0" collapsed="false">
      <c r="A298" s="479" t="n">
        <v>43831</v>
      </c>
      <c r="B298" s="480" t="n">
        <v>8</v>
      </c>
      <c r="C298" s="480" t="s">
        <v>1387</v>
      </c>
      <c r="D298" s="480" t="s">
        <v>1388</v>
      </c>
      <c r="E298" s="481" t="n">
        <v>4000</v>
      </c>
      <c r="F298" s="481"/>
      <c r="G298" s="481" t="n">
        <v>14010947</v>
      </c>
      <c r="H298" s="480"/>
    </row>
    <row r="299" customFormat="false" ht="15" hidden="false" customHeight="true" outlineLevel="0" collapsed="false">
      <c r="A299" s="479" t="n">
        <v>43983</v>
      </c>
      <c r="B299" s="480" t="n">
        <v>9</v>
      </c>
      <c r="C299" s="480" t="s">
        <v>1367</v>
      </c>
      <c r="D299" s="480" t="s">
        <v>1368</v>
      </c>
      <c r="E299" s="481" t="n">
        <v>1280000</v>
      </c>
      <c r="F299" s="481"/>
      <c r="G299" s="481" t="n">
        <v>15290947</v>
      </c>
      <c r="H299" s="480"/>
    </row>
    <row r="300" customFormat="false" ht="15" hidden="false" customHeight="true" outlineLevel="0" collapsed="false">
      <c r="A300" s="479" t="n">
        <v>43983</v>
      </c>
      <c r="B300" s="480" t="n">
        <v>9</v>
      </c>
      <c r="C300" s="480" t="s">
        <v>1341</v>
      </c>
      <c r="D300" s="480" t="s">
        <v>1342</v>
      </c>
      <c r="E300" s="481" t="n">
        <v>720000</v>
      </c>
      <c r="F300" s="481"/>
      <c r="G300" s="481" t="n">
        <v>16010947</v>
      </c>
      <c r="H300" s="480"/>
    </row>
    <row r="301" customFormat="false" ht="15" hidden="false" customHeight="true" outlineLevel="0" collapsed="false">
      <c r="A301" s="479" t="n">
        <v>43983</v>
      </c>
      <c r="B301" s="480" t="n">
        <v>9</v>
      </c>
      <c r="C301" s="480" t="s">
        <v>1444</v>
      </c>
      <c r="D301" s="480" t="s">
        <v>1445</v>
      </c>
      <c r="E301" s="481" t="n">
        <v>40000</v>
      </c>
      <c r="F301" s="481"/>
      <c r="G301" s="481" t="n">
        <v>16050947</v>
      </c>
      <c r="H301" s="480"/>
    </row>
    <row r="302" customFormat="false" ht="15" hidden="false" customHeight="true" outlineLevel="0" collapsed="false">
      <c r="A302" s="479" t="n">
        <v>43983</v>
      </c>
      <c r="B302" s="480" t="n">
        <v>9</v>
      </c>
      <c r="C302" s="480" t="s">
        <v>1371</v>
      </c>
      <c r="D302" s="480" t="s">
        <v>1372</v>
      </c>
      <c r="E302" s="481" t="n">
        <v>240000</v>
      </c>
      <c r="F302" s="481"/>
      <c r="G302" s="481" t="n">
        <v>16290947</v>
      </c>
      <c r="H302" s="480"/>
    </row>
    <row r="303" customFormat="false" ht="15" hidden="false" customHeight="true" outlineLevel="0" collapsed="false">
      <c r="D303" s="482" t="s">
        <v>1343</v>
      </c>
      <c r="E303" s="483" t="n">
        <v>16290947</v>
      </c>
      <c r="F303" s="483" t="n">
        <v>0</v>
      </c>
      <c r="G303" s="483" t="n">
        <v>16290947</v>
      </c>
    </row>
    <row r="306" customFormat="false" ht="15" hidden="false" customHeight="true" outlineLevel="0" collapsed="false">
      <c r="A306" s="477" t="s">
        <v>1464</v>
      </c>
      <c r="B306" s="477"/>
      <c r="C306" s="477"/>
      <c r="D306" s="477"/>
      <c r="E306" s="477"/>
      <c r="F306" s="477"/>
      <c r="G306" s="477"/>
      <c r="H306" s="477"/>
    </row>
    <row r="307" customFormat="false" ht="15" hidden="false" customHeight="true" outlineLevel="0" collapsed="false">
      <c r="A307" s="478" t="s">
        <v>740</v>
      </c>
      <c r="B307" s="478" t="s">
        <v>741</v>
      </c>
      <c r="C307" s="478" t="s">
        <v>742</v>
      </c>
      <c r="D307" s="478" t="s">
        <v>747</v>
      </c>
      <c r="E307" s="478" t="s">
        <v>212</v>
      </c>
      <c r="F307" s="478" t="s">
        <v>745</v>
      </c>
      <c r="G307" s="478" t="s">
        <v>1337</v>
      </c>
      <c r="H307" s="478" t="s">
        <v>746</v>
      </c>
    </row>
    <row r="308" customFormat="false" ht="15" hidden="false" customHeight="true" outlineLevel="0" collapsed="false">
      <c r="A308" s="479" t="n">
        <v>43881</v>
      </c>
      <c r="B308" s="480" t="n">
        <v>5</v>
      </c>
      <c r="C308" s="480" t="s">
        <v>1405</v>
      </c>
      <c r="D308" s="480" t="s">
        <v>1406</v>
      </c>
      <c r="E308" s="481"/>
      <c r="F308" s="481" t="n">
        <v>19800</v>
      </c>
      <c r="G308" s="481" t="n">
        <v>-19800</v>
      </c>
      <c r="H308" s="480"/>
    </row>
    <row r="309" customFormat="false" ht="15" hidden="false" customHeight="true" outlineLevel="0" collapsed="false">
      <c r="A309" s="479" t="n">
        <v>43983</v>
      </c>
      <c r="B309" s="480" t="n">
        <v>9</v>
      </c>
      <c r="C309" s="480" t="s">
        <v>1395</v>
      </c>
      <c r="D309" s="480" t="s">
        <v>1396</v>
      </c>
      <c r="E309" s="481"/>
      <c r="F309" s="481" t="n">
        <v>3640000</v>
      </c>
      <c r="G309" s="481" t="n">
        <v>-3659800</v>
      </c>
      <c r="H309" s="480"/>
    </row>
    <row r="310" customFormat="false" ht="15" hidden="false" customHeight="true" outlineLevel="0" collapsed="false">
      <c r="D310" s="482" t="s">
        <v>1343</v>
      </c>
      <c r="E310" s="483" t="n">
        <v>0</v>
      </c>
      <c r="F310" s="483" t="n">
        <v>3659800</v>
      </c>
      <c r="G310" s="483" t="n">
        <v>-3659800</v>
      </c>
    </row>
  </sheetData>
  <sheetProtection sheet="true" password="91db" formatCells="false" formatColumns="false" formatRows="false" sort="false" autoFilter="false"/>
  <mergeCells count="43">
    <mergeCell ref="A1:H1"/>
    <mergeCell ref="A2:H2"/>
    <mergeCell ref="A4:H4"/>
    <mergeCell ref="A11:H11"/>
    <mergeCell ref="A17:H17"/>
    <mergeCell ref="A24:H24"/>
    <mergeCell ref="A30:H30"/>
    <mergeCell ref="A37:H37"/>
    <mergeCell ref="A43:H43"/>
    <mergeCell ref="A52:H52"/>
    <mergeCell ref="A58:H58"/>
    <mergeCell ref="A64:H64"/>
    <mergeCell ref="A70:H70"/>
    <mergeCell ref="A76:H76"/>
    <mergeCell ref="A86:H86"/>
    <mergeCell ref="A93:H93"/>
    <mergeCell ref="A100:H100"/>
    <mergeCell ref="A117:H117"/>
    <mergeCell ref="A126:H126"/>
    <mergeCell ref="A134:H134"/>
    <mergeCell ref="A141:H141"/>
    <mergeCell ref="A149:H149"/>
    <mergeCell ref="A155:H155"/>
    <mergeCell ref="A179:H179"/>
    <mergeCell ref="A185:H185"/>
    <mergeCell ref="A191:H191"/>
    <mergeCell ref="A197:H197"/>
    <mergeCell ref="A203:H203"/>
    <mergeCell ref="A209:H209"/>
    <mergeCell ref="A215:H215"/>
    <mergeCell ref="A222:H222"/>
    <mergeCell ref="A228:H228"/>
    <mergeCell ref="A234:H234"/>
    <mergeCell ref="A241:H241"/>
    <mergeCell ref="A247:H247"/>
    <mergeCell ref="A254:H254"/>
    <mergeCell ref="A260:H260"/>
    <mergeCell ref="A266:H266"/>
    <mergeCell ref="A272:H272"/>
    <mergeCell ref="A278:H278"/>
    <mergeCell ref="A284:H284"/>
    <mergeCell ref="A291:H291"/>
    <mergeCell ref="A306:H30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7" min="1" style="1" width="18"/>
  </cols>
  <sheetData>
    <row r="1" customFormat="false" ht="15" hidden="false" customHeight="true" outlineLevel="0" collapsed="false">
      <c r="A1" s="361" t="s">
        <v>183</v>
      </c>
      <c r="B1" s="361" t="s">
        <v>184</v>
      </c>
      <c r="C1" s="361" t="s">
        <v>191</v>
      </c>
      <c r="D1" s="361" t="s">
        <v>1465</v>
      </c>
      <c r="E1" s="361" t="s">
        <v>790</v>
      </c>
      <c r="F1" s="361" t="s">
        <v>791</v>
      </c>
      <c r="G1" s="361" t="s">
        <v>1337</v>
      </c>
    </row>
    <row r="2" customFormat="false" ht="15" hidden="false" customHeight="true" outlineLevel="0" collapsed="false">
      <c r="A2" s="101" t="str">
        <f aca="false">IFERROR(INDEX(DITARI!$D$6:$D$550,MATCH(0,COUNTIF($A$1:A1,DITARI!$D$6:$D$550)+(DITARI!$D$6:$D$550=""),0)),"")</f>
        <v/>
      </c>
      <c r="B2" s="101" t="str">
        <f aca="false">IF($A2="","",IFERROR(VLOOKUP($A2,PLANI_LLOGARIVE!$A:$I,2,FALSE()),"⚠ Nuk është te PLANI_LLOGARIVE"))</f>
        <v/>
      </c>
      <c r="C2" s="101" t="str">
        <f aca="false">IF($A2="","",IFERROR(VLOOKUP($A2,PLANI_LLOGARIVE!$A:$I,9,FALSE()),""))</f>
        <v/>
      </c>
      <c r="D2" s="101" t="str">
        <f aca="false">IF($A2="","",COUNTIF(DITARI!$D:$D,$A2))</f>
        <v/>
      </c>
      <c r="E2" s="101" t="str">
        <f aca="false">IF($A2="","",SUMIFS(DITARI!$F:$F,DITARI!$D:$D,$A2))</f>
        <v/>
      </c>
      <c r="F2" s="101" t="str">
        <f aca="false">IF($A2="","",SUMIFS(DITARI!$G:$G,DITARI!$D:$D,$A2))</f>
        <v/>
      </c>
      <c r="G2" s="101" t="str">
        <f aca="false">IF($A2="","",$E2-$F2)</f>
        <v/>
      </c>
    </row>
    <row r="3" customFormat="false" ht="15" hidden="false" customHeight="true" outlineLevel="0" collapsed="false">
      <c r="A3" s="101" t="str">
        <f aca="false">IFERROR(INDEX(DITARI!$D$6:$D$550,MATCH(0,COUNTIF($A$1:A2,DITARI!$D$6:$D$550)+(DITARI!$D$6:$D$550=""),0)),"")</f>
        <v/>
      </c>
      <c r="B3" s="101" t="str">
        <f aca="false">IF($A3="","",IFERROR(VLOOKUP($A3,PLANI_LLOGARIVE!$A:$I,2,FALSE()),"⚠ Nuk është te PLANI_LLOGARIVE"))</f>
        <v/>
      </c>
      <c r="C3" s="101" t="str">
        <f aca="false">IF($A3="","",IFERROR(VLOOKUP($A3,PLANI_LLOGARIVE!$A:$I,9,FALSE()),""))</f>
        <v/>
      </c>
      <c r="D3" s="101" t="str">
        <f aca="false">IF($A3="","",COUNTIF(DITARI!$D:$D,$A3))</f>
        <v/>
      </c>
      <c r="E3" s="101" t="str">
        <f aca="false">IF($A3="","",SUMIFS(DITARI!$F:$F,DITARI!$D:$D,$A3))</f>
        <v/>
      </c>
      <c r="F3" s="101" t="str">
        <f aca="false">IF($A3="","",SUMIFS(DITARI!$G:$G,DITARI!$D:$D,$A3))</f>
        <v/>
      </c>
      <c r="G3" s="101" t="str">
        <f aca="false">IF($A3="","",$E3-$F3)</f>
        <v/>
      </c>
    </row>
    <row r="4" customFormat="false" ht="15" hidden="false" customHeight="true" outlineLevel="0" collapsed="false">
      <c r="A4" s="101" t="str">
        <f aca="false">IFERROR(INDEX(DITARI!$D$6:$D$550,MATCH(0,COUNTIF($A$1:A3,DITARI!$D$6:$D$550)+(DITARI!$D$6:$D$550=""),0)),"")</f>
        <v/>
      </c>
      <c r="B4" s="101" t="str">
        <f aca="false">IF($A4="","",IFERROR(VLOOKUP($A4,PLANI_LLOGARIVE!$A:$I,2,FALSE()),"⚠ Nuk është te PLANI_LLOGARIVE"))</f>
        <v/>
      </c>
      <c r="C4" s="101" t="str">
        <f aca="false">IF($A4="","",IFERROR(VLOOKUP($A4,PLANI_LLOGARIVE!$A:$I,9,FALSE()),""))</f>
        <v/>
      </c>
      <c r="D4" s="101" t="str">
        <f aca="false">IF($A4="","",COUNTIF(DITARI!$D:$D,$A4))</f>
        <v/>
      </c>
      <c r="E4" s="101" t="str">
        <f aca="false">IF($A4="","",SUMIFS(DITARI!$F:$F,DITARI!$D:$D,$A4))</f>
        <v/>
      </c>
      <c r="F4" s="101" t="str">
        <f aca="false">IF($A4="","",SUMIFS(DITARI!$G:$G,DITARI!$D:$D,$A4))</f>
        <v/>
      </c>
      <c r="G4" s="101" t="str">
        <f aca="false">IF($A4="","",$E4-$F4)</f>
        <v/>
      </c>
    </row>
    <row r="5" customFormat="false" ht="15" hidden="false" customHeight="true" outlineLevel="0" collapsed="false">
      <c r="A5" s="101" t="str">
        <f aca="false">IFERROR(INDEX(DITARI!$D$6:$D$550,MATCH(0,COUNTIF($A$1:A4,DITARI!$D$6:$D$550)+(DITARI!$D$6:$D$550=""),0)),"")</f>
        <v/>
      </c>
      <c r="B5" s="101" t="str">
        <f aca="false">IF($A5="","",IFERROR(VLOOKUP($A5,PLANI_LLOGARIVE!$A:$I,2,FALSE()),"⚠ Nuk është te PLANI_LLOGARIVE"))</f>
        <v/>
      </c>
      <c r="C5" s="101" t="str">
        <f aca="false">IF($A5="","",IFERROR(VLOOKUP($A5,PLANI_LLOGARIVE!$A:$I,9,FALSE()),""))</f>
        <v/>
      </c>
      <c r="D5" s="101" t="str">
        <f aca="false">IF($A5="","",COUNTIF(DITARI!$D:$D,$A5))</f>
        <v/>
      </c>
      <c r="E5" s="101" t="str">
        <f aca="false">IF($A5="","",SUMIFS(DITARI!$F:$F,DITARI!$D:$D,$A5))</f>
        <v/>
      </c>
      <c r="F5" s="101" t="str">
        <f aca="false">IF($A5="","",SUMIFS(DITARI!$G:$G,DITARI!$D:$D,$A5))</f>
        <v/>
      </c>
      <c r="G5" s="101" t="str">
        <f aca="false">IF($A5="","",$E5-$F5)</f>
        <v/>
      </c>
    </row>
    <row r="6" customFormat="false" ht="15" hidden="false" customHeight="true" outlineLevel="0" collapsed="false">
      <c r="A6" s="101" t="str">
        <f aca="false">IFERROR(INDEX(DITARI!$D$6:$D$550,MATCH(0,COUNTIF($A$1:A5,DITARI!$D$6:$D$550)+(DITARI!$D$6:$D$550=""),0)),"")</f>
        <v/>
      </c>
      <c r="B6" s="101" t="str">
        <f aca="false">IF($A6="","",IFERROR(VLOOKUP($A6,PLANI_LLOGARIVE!$A:$I,2,FALSE()),"⚠ Nuk është te PLANI_LLOGARIVE"))</f>
        <v/>
      </c>
      <c r="C6" s="101" t="str">
        <f aca="false">IF($A6="","",IFERROR(VLOOKUP($A6,PLANI_LLOGARIVE!$A:$I,9,FALSE()),""))</f>
        <v/>
      </c>
      <c r="D6" s="101" t="str">
        <f aca="false">IF($A6="","",COUNTIF(DITARI!$D:$D,$A6))</f>
        <v/>
      </c>
      <c r="E6" s="101" t="str">
        <f aca="false">IF($A6="","",SUMIFS(DITARI!$F:$F,DITARI!$D:$D,$A6))</f>
        <v/>
      </c>
      <c r="F6" s="101" t="str">
        <f aca="false">IF($A6="","",SUMIFS(DITARI!$G:$G,DITARI!$D:$D,$A6))</f>
        <v/>
      </c>
      <c r="G6" s="101" t="str">
        <f aca="false">IF($A6="","",$E6-$F6)</f>
        <v/>
      </c>
    </row>
    <row r="7" customFormat="false" ht="15" hidden="false" customHeight="true" outlineLevel="0" collapsed="false">
      <c r="A7" s="101" t="str">
        <f aca="false">IFERROR(INDEX(DITARI!$D$6:$D$550,MATCH(0,COUNTIF($A$1:A6,DITARI!$D$6:$D$550)+(DITARI!$D$6:$D$550=""),0)),"")</f>
        <v/>
      </c>
      <c r="B7" s="101" t="str">
        <f aca="false">IF($A7="","",IFERROR(VLOOKUP($A7,PLANI_LLOGARIVE!$A:$I,2,FALSE()),"⚠ Nuk është te PLANI_LLOGARIVE"))</f>
        <v/>
      </c>
      <c r="C7" s="101" t="str">
        <f aca="false">IF($A7="","",IFERROR(VLOOKUP($A7,PLANI_LLOGARIVE!$A:$I,9,FALSE()),""))</f>
        <v/>
      </c>
      <c r="D7" s="101" t="str">
        <f aca="false">IF($A7="","",COUNTIF(DITARI!$D:$D,$A7))</f>
        <v/>
      </c>
      <c r="E7" s="101" t="str">
        <f aca="false">IF($A7="","",SUMIFS(DITARI!$F:$F,DITARI!$D:$D,$A7))</f>
        <v/>
      </c>
      <c r="F7" s="101" t="str">
        <f aca="false">IF($A7="","",SUMIFS(DITARI!$G:$G,DITARI!$D:$D,$A7))</f>
        <v/>
      </c>
      <c r="G7" s="101" t="str">
        <f aca="false">IF($A7="","",$E7-$F7)</f>
        <v/>
      </c>
    </row>
    <row r="8" customFormat="false" ht="15" hidden="false" customHeight="true" outlineLevel="0" collapsed="false">
      <c r="A8" s="101" t="str">
        <f aca="false">IFERROR(INDEX(DITARI!$D$6:$D$550,MATCH(0,COUNTIF($A$1:A7,DITARI!$D$6:$D$550)+(DITARI!$D$6:$D$550=""),0)),"")</f>
        <v/>
      </c>
      <c r="B8" s="101" t="str">
        <f aca="false">IF($A8="","",IFERROR(VLOOKUP($A8,PLANI_LLOGARIVE!$A:$I,2,FALSE()),"⚠ Nuk është te PLANI_LLOGARIVE"))</f>
        <v/>
      </c>
      <c r="C8" s="101" t="str">
        <f aca="false">IF($A8="","",IFERROR(VLOOKUP($A8,PLANI_LLOGARIVE!$A:$I,9,FALSE()),""))</f>
        <v/>
      </c>
      <c r="D8" s="101" t="str">
        <f aca="false">IF($A8="","",COUNTIF(DITARI!$D:$D,$A8))</f>
        <v/>
      </c>
      <c r="E8" s="101" t="str">
        <f aca="false">IF($A8="","",SUMIFS(DITARI!$F:$F,DITARI!$D:$D,$A8))</f>
        <v/>
      </c>
      <c r="F8" s="101" t="str">
        <f aca="false">IF($A8="","",SUMIFS(DITARI!$G:$G,DITARI!$D:$D,$A8))</f>
        <v/>
      </c>
      <c r="G8" s="101" t="str">
        <f aca="false">IF($A8="","",$E8-$F8)</f>
        <v/>
      </c>
    </row>
    <row r="9" customFormat="false" ht="15" hidden="false" customHeight="true" outlineLevel="0" collapsed="false">
      <c r="A9" s="101" t="str">
        <f aca="false">IFERROR(INDEX(DITARI!$D$6:$D$550,MATCH(0,COUNTIF($A$1:A8,DITARI!$D$6:$D$550)+(DITARI!$D$6:$D$550=""),0)),"")</f>
        <v/>
      </c>
      <c r="B9" s="101" t="str">
        <f aca="false">IF($A9="","",IFERROR(VLOOKUP($A9,PLANI_LLOGARIVE!$A:$I,2,FALSE()),"⚠ Nuk është te PLANI_LLOGARIVE"))</f>
        <v/>
      </c>
      <c r="C9" s="101" t="str">
        <f aca="false">IF($A9="","",IFERROR(VLOOKUP($A9,PLANI_LLOGARIVE!$A:$I,9,FALSE()),""))</f>
        <v/>
      </c>
      <c r="D9" s="101" t="str">
        <f aca="false">IF($A9="","",COUNTIF(DITARI!$D:$D,$A9))</f>
        <v/>
      </c>
      <c r="E9" s="101" t="str">
        <f aca="false">IF($A9="","",SUMIFS(DITARI!$F:$F,DITARI!$D:$D,$A9))</f>
        <v/>
      </c>
      <c r="F9" s="101" t="str">
        <f aca="false">IF($A9="","",SUMIFS(DITARI!$G:$G,DITARI!$D:$D,$A9))</f>
        <v/>
      </c>
      <c r="G9" s="101" t="str">
        <f aca="false">IF($A9="","",$E9-$F9)</f>
        <v/>
      </c>
    </row>
    <row r="10" customFormat="false" ht="15" hidden="false" customHeight="true" outlineLevel="0" collapsed="false">
      <c r="A10" s="101" t="str">
        <f aca="false">IFERROR(INDEX(DITARI!$D$6:$D$550,MATCH(0,COUNTIF($A$1:A9,DITARI!$D$6:$D$550)+(DITARI!$D$6:$D$550=""),0)),"")</f>
        <v/>
      </c>
      <c r="B10" s="101" t="str">
        <f aca="false">IF($A10="","",IFERROR(VLOOKUP($A10,PLANI_LLOGARIVE!$A:$I,2,FALSE()),"⚠ Nuk është te PLANI_LLOGARIVE"))</f>
        <v/>
      </c>
      <c r="C10" s="101" t="str">
        <f aca="false">IF($A10="","",IFERROR(VLOOKUP($A10,PLANI_LLOGARIVE!$A:$I,9,FALSE()),""))</f>
        <v/>
      </c>
      <c r="D10" s="101" t="str">
        <f aca="false">IF($A10="","",COUNTIF(DITARI!$D:$D,$A10))</f>
        <v/>
      </c>
      <c r="E10" s="101" t="str">
        <f aca="false">IF($A10="","",SUMIFS(DITARI!$F:$F,DITARI!$D:$D,$A10))</f>
        <v/>
      </c>
      <c r="F10" s="101" t="str">
        <f aca="false">IF($A10="","",SUMIFS(DITARI!$G:$G,DITARI!$D:$D,$A10))</f>
        <v/>
      </c>
      <c r="G10" s="101" t="str">
        <f aca="false">IF($A10="","",$E10-$F10)</f>
        <v/>
      </c>
    </row>
    <row r="11" customFormat="false" ht="15" hidden="false" customHeight="true" outlineLevel="0" collapsed="false">
      <c r="A11" s="101" t="str">
        <f aca="false">IFERROR(INDEX(DITARI!$D$6:$D$550,MATCH(0,COUNTIF($A$1:A10,DITARI!$D$6:$D$550)+(DITARI!$D$6:$D$550=""),0)),"")</f>
        <v/>
      </c>
      <c r="B11" s="101" t="str">
        <f aca="false">IF($A11="","",IFERROR(VLOOKUP($A11,PLANI_LLOGARIVE!$A:$I,2,FALSE()),"⚠ Nuk është te PLANI_LLOGARIVE"))</f>
        <v/>
      </c>
      <c r="C11" s="101" t="str">
        <f aca="false">IF($A11="","",IFERROR(VLOOKUP($A11,PLANI_LLOGARIVE!$A:$I,9,FALSE()),""))</f>
        <v/>
      </c>
      <c r="D11" s="101" t="str">
        <f aca="false">IF($A11="","",COUNTIF(DITARI!$D:$D,$A11))</f>
        <v/>
      </c>
      <c r="E11" s="101" t="str">
        <f aca="false">IF($A11="","",SUMIFS(DITARI!$F:$F,DITARI!$D:$D,$A11))</f>
        <v/>
      </c>
      <c r="F11" s="101" t="str">
        <f aca="false">IF($A11="","",SUMIFS(DITARI!$G:$G,DITARI!$D:$D,$A11))</f>
        <v/>
      </c>
      <c r="G11" s="101" t="str">
        <f aca="false">IF($A11="","",$E11-$F11)</f>
        <v/>
      </c>
    </row>
    <row r="12" customFormat="false" ht="15" hidden="false" customHeight="true" outlineLevel="0" collapsed="false">
      <c r="A12" s="101" t="str">
        <f aca="false">IFERROR(INDEX(DITARI!$D$6:$D$550,MATCH(0,COUNTIF($A$1:A11,DITARI!$D$6:$D$550)+(DITARI!$D$6:$D$550=""),0)),"")</f>
        <v/>
      </c>
      <c r="B12" s="101" t="str">
        <f aca="false">IF($A12="","",IFERROR(VLOOKUP($A12,PLANI_LLOGARIVE!$A:$I,2,FALSE()),"⚠ Nuk është te PLANI_LLOGARIVE"))</f>
        <v/>
      </c>
      <c r="C12" s="101" t="str">
        <f aca="false">IF($A12="","",IFERROR(VLOOKUP($A12,PLANI_LLOGARIVE!$A:$I,9,FALSE()),""))</f>
        <v/>
      </c>
      <c r="D12" s="101" t="str">
        <f aca="false">IF($A12="","",COUNTIF(DITARI!$D:$D,$A12))</f>
        <v/>
      </c>
      <c r="E12" s="101" t="str">
        <f aca="false">IF($A12="","",SUMIFS(DITARI!$F:$F,DITARI!$D:$D,$A12))</f>
        <v/>
      </c>
      <c r="F12" s="101" t="str">
        <f aca="false">IF($A12="","",SUMIFS(DITARI!$G:$G,DITARI!$D:$D,$A12))</f>
        <v/>
      </c>
      <c r="G12" s="101" t="str">
        <f aca="false">IF($A12="","",$E12-$F12)</f>
        <v/>
      </c>
    </row>
    <row r="13" customFormat="false" ht="15" hidden="false" customHeight="true" outlineLevel="0" collapsed="false">
      <c r="A13" s="101" t="str">
        <f aca="false">IFERROR(INDEX(DITARI!$D$6:$D$550,MATCH(0,COUNTIF($A$1:A12,DITARI!$D$6:$D$550)+(DITARI!$D$6:$D$550=""),0)),"")</f>
        <v/>
      </c>
      <c r="B13" s="101" t="str">
        <f aca="false">IF($A13="","",IFERROR(VLOOKUP($A13,PLANI_LLOGARIVE!$A:$I,2,FALSE()),"⚠ Nuk është te PLANI_LLOGARIVE"))</f>
        <v/>
      </c>
      <c r="C13" s="101" t="str">
        <f aca="false">IF($A13="","",IFERROR(VLOOKUP($A13,PLANI_LLOGARIVE!$A:$I,9,FALSE()),""))</f>
        <v/>
      </c>
      <c r="D13" s="101" t="str">
        <f aca="false">IF($A13="","",COUNTIF(DITARI!$D:$D,$A13))</f>
        <v/>
      </c>
      <c r="E13" s="101" t="str">
        <f aca="false">IF($A13="","",SUMIFS(DITARI!$F:$F,DITARI!$D:$D,$A13))</f>
        <v/>
      </c>
      <c r="F13" s="101" t="str">
        <f aca="false">IF($A13="","",SUMIFS(DITARI!$G:$G,DITARI!$D:$D,$A13))</f>
        <v/>
      </c>
      <c r="G13" s="101" t="str">
        <f aca="false">IF($A13="","",$E13-$F13)</f>
        <v/>
      </c>
    </row>
    <row r="14" customFormat="false" ht="15" hidden="false" customHeight="true" outlineLevel="0" collapsed="false">
      <c r="A14" s="101" t="str">
        <f aca="false">IFERROR(INDEX(DITARI!$D$6:$D$550,MATCH(0,COUNTIF($A$1:A13,DITARI!$D$6:$D$550)+(DITARI!$D$6:$D$550=""),0)),"")</f>
        <v/>
      </c>
      <c r="B14" s="101" t="str">
        <f aca="false">IF($A14="","",IFERROR(VLOOKUP($A14,PLANI_LLOGARIVE!$A:$I,2,FALSE()),"⚠ Nuk është te PLANI_LLOGARIVE"))</f>
        <v/>
      </c>
      <c r="C14" s="101" t="str">
        <f aca="false">IF($A14="","",IFERROR(VLOOKUP($A14,PLANI_LLOGARIVE!$A:$I,9,FALSE()),""))</f>
        <v/>
      </c>
      <c r="D14" s="101" t="str">
        <f aca="false">IF($A14="","",COUNTIF(DITARI!$D:$D,$A14))</f>
        <v/>
      </c>
      <c r="E14" s="101" t="str">
        <f aca="false">IF($A14="","",SUMIFS(DITARI!$F:$F,DITARI!$D:$D,$A14))</f>
        <v/>
      </c>
      <c r="F14" s="101" t="str">
        <f aca="false">IF($A14="","",SUMIFS(DITARI!$G:$G,DITARI!$D:$D,$A14))</f>
        <v/>
      </c>
      <c r="G14" s="101" t="str">
        <f aca="false">IF($A14="","",$E14-$F14)</f>
        <v/>
      </c>
    </row>
    <row r="15" customFormat="false" ht="15" hidden="false" customHeight="true" outlineLevel="0" collapsed="false">
      <c r="A15" s="101" t="str">
        <f aca="false">IFERROR(INDEX(DITARI!$D$6:$D$550,MATCH(0,COUNTIF($A$1:A14,DITARI!$D$6:$D$550)+(DITARI!$D$6:$D$550=""),0)),"")</f>
        <v/>
      </c>
      <c r="B15" s="101" t="str">
        <f aca="false">IF($A15="","",IFERROR(VLOOKUP($A15,PLANI_LLOGARIVE!$A:$I,2,FALSE()),"⚠ Nuk është te PLANI_LLOGARIVE"))</f>
        <v/>
      </c>
      <c r="C15" s="101" t="str">
        <f aca="false">IF($A15="","",IFERROR(VLOOKUP($A15,PLANI_LLOGARIVE!$A:$I,9,FALSE()),""))</f>
        <v/>
      </c>
      <c r="D15" s="101" t="str">
        <f aca="false">IF($A15="","",COUNTIF(DITARI!$D:$D,$A15))</f>
        <v/>
      </c>
      <c r="E15" s="101" t="str">
        <f aca="false">IF($A15="","",SUMIFS(DITARI!$F:$F,DITARI!$D:$D,$A15))</f>
        <v/>
      </c>
      <c r="F15" s="101" t="str">
        <f aca="false">IF($A15="","",SUMIFS(DITARI!$G:$G,DITARI!$D:$D,$A15))</f>
        <v/>
      </c>
      <c r="G15" s="101" t="str">
        <f aca="false">IF($A15="","",$E15-$F15)</f>
        <v/>
      </c>
    </row>
    <row r="16" customFormat="false" ht="15" hidden="false" customHeight="true" outlineLevel="0" collapsed="false">
      <c r="A16" s="101" t="str">
        <f aca="false">IFERROR(INDEX(DITARI!$D$6:$D$550,MATCH(0,COUNTIF($A$1:A15,DITARI!$D$6:$D$550)+(DITARI!$D$6:$D$550=""),0)),"")</f>
        <v/>
      </c>
      <c r="B16" s="101" t="str">
        <f aca="false">IF($A16="","",IFERROR(VLOOKUP($A16,PLANI_LLOGARIVE!$A:$I,2,FALSE()),"⚠ Nuk është te PLANI_LLOGARIVE"))</f>
        <v/>
      </c>
      <c r="C16" s="101" t="str">
        <f aca="false">IF($A16="","",IFERROR(VLOOKUP($A16,PLANI_LLOGARIVE!$A:$I,9,FALSE()),""))</f>
        <v/>
      </c>
      <c r="D16" s="101" t="str">
        <f aca="false">IF($A16="","",COUNTIF(DITARI!$D:$D,$A16))</f>
        <v/>
      </c>
      <c r="E16" s="101" t="str">
        <f aca="false">IF($A16="","",SUMIFS(DITARI!$F:$F,DITARI!$D:$D,$A16))</f>
        <v/>
      </c>
      <c r="F16" s="101" t="str">
        <f aca="false">IF($A16="","",SUMIFS(DITARI!$G:$G,DITARI!$D:$D,$A16))</f>
        <v/>
      </c>
      <c r="G16" s="101" t="str">
        <f aca="false">IF($A16="","",$E16-$F16)</f>
        <v/>
      </c>
    </row>
    <row r="17" customFormat="false" ht="15" hidden="false" customHeight="true" outlineLevel="0" collapsed="false">
      <c r="A17" s="101" t="str">
        <f aca="false">IFERROR(INDEX(DITARI!$D$6:$D$550,MATCH(0,COUNTIF($A$1:A16,DITARI!$D$6:$D$550)+(DITARI!$D$6:$D$550=""),0)),"")</f>
        <v/>
      </c>
      <c r="B17" s="101" t="str">
        <f aca="false">IF($A17="","",IFERROR(VLOOKUP($A17,PLANI_LLOGARIVE!$A:$I,2,FALSE()),"⚠ Nuk është te PLANI_LLOGARIVE"))</f>
        <v/>
      </c>
      <c r="C17" s="101" t="str">
        <f aca="false">IF($A17="","",IFERROR(VLOOKUP($A17,PLANI_LLOGARIVE!$A:$I,9,FALSE()),""))</f>
        <v/>
      </c>
      <c r="D17" s="101" t="str">
        <f aca="false">IF($A17="","",COUNTIF(DITARI!$D:$D,$A17))</f>
        <v/>
      </c>
      <c r="E17" s="101" t="str">
        <f aca="false">IF($A17="","",SUMIFS(DITARI!$F:$F,DITARI!$D:$D,$A17))</f>
        <v/>
      </c>
      <c r="F17" s="101" t="str">
        <f aca="false">IF($A17="","",SUMIFS(DITARI!$G:$G,DITARI!$D:$D,$A17))</f>
        <v/>
      </c>
      <c r="G17" s="101" t="str">
        <f aca="false">IF($A17="","",$E17-$F17)</f>
        <v/>
      </c>
    </row>
    <row r="18" customFormat="false" ht="15" hidden="false" customHeight="true" outlineLevel="0" collapsed="false">
      <c r="A18" s="101" t="str">
        <f aca="false">IFERROR(INDEX(DITARI!$D$6:$D$550,MATCH(0,COUNTIF($A$1:A17,DITARI!$D$6:$D$550)+(DITARI!$D$6:$D$550=""),0)),"")</f>
        <v/>
      </c>
      <c r="B18" s="101" t="str">
        <f aca="false">IF($A18="","",IFERROR(VLOOKUP($A18,PLANI_LLOGARIVE!$A:$I,2,FALSE()),"⚠ Nuk është te PLANI_LLOGARIVE"))</f>
        <v/>
      </c>
      <c r="C18" s="101" t="str">
        <f aca="false">IF($A18="","",IFERROR(VLOOKUP($A18,PLANI_LLOGARIVE!$A:$I,9,FALSE()),""))</f>
        <v/>
      </c>
      <c r="D18" s="101" t="str">
        <f aca="false">IF($A18="","",COUNTIF(DITARI!$D:$D,$A18))</f>
        <v/>
      </c>
      <c r="E18" s="101" t="str">
        <f aca="false">IF($A18="","",SUMIFS(DITARI!$F:$F,DITARI!$D:$D,$A18))</f>
        <v/>
      </c>
      <c r="F18" s="101" t="str">
        <f aca="false">IF($A18="","",SUMIFS(DITARI!$G:$G,DITARI!$D:$D,$A18))</f>
        <v/>
      </c>
      <c r="G18" s="101" t="str">
        <f aca="false">IF($A18="","",$E18-$F18)</f>
        <v/>
      </c>
    </row>
    <row r="19" customFormat="false" ht="15" hidden="false" customHeight="true" outlineLevel="0" collapsed="false">
      <c r="A19" s="101" t="str">
        <f aca="false">IFERROR(INDEX(DITARI!$D$6:$D$550,MATCH(0,COUNTIF($A$1:A18,DITARI!$D$6:$D$550)+(DITARI!$D$6:$D$550=""),0)),"")</f>
        <v/>
      </c>
      <c r="B19" s="101" t="str">
        <f aca="false">IF($A19="","",IFERROR(VLOOKUP($A19,PLANI_LLOGARIVE!$A:$I,2,FALSE()),"⚠ Nuk është te PLANI_LLOGARIVE"))</f>
        <v/>
      </c>
      <c r="C19" s="101" t="str">
        <f aca="false">IF($A19="","",IFERROR(VLOOKUP($A19,PLANI_LLOGARIVE!$A:$I,9,FALSE()),""))</f>
        <v/>
      </c>
      <c r="D19" s="101" t="str">
        <f aca="false">IF($A19="","",COUNTIF(DITARI!$D:$D,$A19))</f>
        <v/>
      </c>
      <c r="E19" s="101" t="str">
        <f aca="false">IF($A19="","",SUMIFS(DITARI!$F:$F,DITARI!$D:$D,$A19))</f>
        <v/>
      </c>
      <c r="F19" s="101" t="str">
        <f aca="false">IF($A19="","",SUMIFS(DITARI!$G:$G,DITARI!$D:$D,$A19))</f>
        <v/>
      </c>
      <c r="G19" s="101" t="str">
        <f aca="false">IF($A19="","",$E19-$F19)</f>
        <v/>
      </c>
    </row>
    <row r="20" customFormat="false" ht="15" hidden="false" customHeight="true" outlineLevel="0" collapsed="false">
      <c r="A20" s="101" t="str">
        <f aca="false">IFERROR(INDEX(DITARI!$D$6:$D$550,MATCH(0,COUNTIF($A$1:A19,DITARI!$D$6:$D$550)+(DITARI!$D$6:$D$550=""),0)),"")</f>
        <v/>
      </c>
      <c r="B20" s="101" t="str">
        <f aca="false">IF($A20="","",IFERROR(VLOOKUP($A20,PLANI_LLOGARIVE!$A:$I,2,FALSE()),"⚠ Nuk është te PLANI_LLOGARIVE"))</f>
        <v/>
      </c>
      <c r="C20" s="101" t="str">
        <f aca="false">IF($A20="","",IFERROR(VLOOKUP($A20,PLANI_LLOGARIVE!$A:$I,9,FALSE()),""))</f>
        <v/>
      </c>
      <c r="D20" s="101" t="str">
        <f aca="false">IF($A20="","",COUNTIF(DITARI!$D:$D,$A20))</f>
        <v/>
      </c>
      <c r="E20" s="101" t="str">
        <f aca="false">IF($A20="","",SUMIFS(DITARI!$F:$F,DITARI!$D:$D,$A20))</f>
        <v/>
      </c>
      <c r="F20" s="101" t="str">
        <f aca="false">IF($A20="","",SUMIFS(DITARI!$G:$G,DITARI!$D:$D,$A20))</f>
        <v/>
      </c>
      <c r="G20" s="101" t="str">
        <f aca="false">IF($A20="","",$E20-$F20)</f>
        <v/>
      </c>
    </row>
    <row r="21" customFormat="false" ht="15" hidden="false" customHeight="true" outlineLevel="0" collapsed="false">
      <c r="A21" s="101" t="str">
        <f aca="false">IFERROR(INDEX(DITARI!$D$6:$D$550,MATCH(0,COUNTIF($A$1:A20,DITARI!$D$6:$D$550)+(DITARI!$D$6:$D$550=""),0)),"")</f>
        <v/>
      </c>
      <c r="B21" s="101" t="str">
        <f aca="false">IF($A21="","",IFERROR(VLOOKUP($A21,PLANI_LLOGARIVE!$A:$I,2,FALSE()),"⚠ Nuk është te PLANI_LLOGARIVE"))</f>
        <v/>
      </c>
      <c r="C21" s="101" t="str">
        <f aca="false">IF($A21="","",IFERROR(VLOOKUP($A21,PLANI_LLOGARIVE!$A:$I,9,FALSE()),""))</f>
        <v/>
      </c>
      <c r="D21" s="101" t="str">
        <f aca="false">IF($A21="","",COUNTIF(DITARI!$D:$D,$A21))</f>
        <v/>
      </c>
      <c r="E21" s="101" t="str">
        <f aca="false">IF($A21="","",SUMIFS(DITARI!$F:$F,DITARI!$D:$D,$A21))</f>
        <v/>
      </c>
      <c r="F21" s="101" t="str">
        <f aca="false">IF($A21="","",SUMIFS(DITARI!$G:$G,DITARI!$D:$D,$A21))</f>
        <v/>
      </c>
      <c r="G21" s="101" t="str">
        <f aca="false">IF($A21="","",$E21-$F21)</f>
        <v/>
      </c>
    </row>
    <row r="22" customFormat="false" ht="15" hidden="false" customHeight="true" outlineLevel="0" collapsed="false">
      <c r="A22" s="101" t="str">
        <f aca="false">IFERROR(INDEX(DITARI!$D$6:$D$550,MATCH(0,COUNTIF($A$1:A21,DITARI!$D$6:$D$550)+(DITARI!$D$6:$D$550=""),0)),"")</f>
        <v/>
      </c>
      <c r="B22" s="101" t="str">
        <f aca="false">IF($A22="","",IFERROR(VLOOKUP($A22,PLANI_LLOGARIVE!$A:$I,2,FALSE()),"⚠ Nuk është te PLANI_LLOGARIVE"))</f>
        <v/>
      </c>
      <c r="C22" s="101" t="str">
        <f aca="false">IF($A22="","",IFERROR(VLOOKUP($A22,PLANI_LLOGARIVE!$A:$I,9,FALSE()),""))</f>
        <v/>
      </c>
      <c r="D22" s="101" t="str">
        <f aca="false">IF($A22="","",COUNTIF(DITARI!$D:$D,$A22))</f>
        <v/>
      </c>
      <c r="E22" s="101" t="str">
        <f aca="false">IF($A22="","",SUMIFS(DITARI!$F:$F,DITARI!$D:$D,$A22))</f>
        <v/>
      </c>
      <c r="F22" s="101" t="str">
        <f aca="false">IF($A22="","",SUMIFS(DITARI!$G:$G,DITARI!$D:$D,$A22))</f>
        <v/>
      </c>
      <c r="G22" s="101" t="str">
        <f aca="false">IF($A22="","",$E22-$F22)</f>
        <v/>
      </c>
    </row>
    <row r="23" customFormat="false" ht="15" hidden="false" customHeight="true" outlineLevel="0" collapsed="false">
      <c r="A23" s="101" t="str">
        <f aca="false">IFERROR(INDEX(DITARI!$D$6:$D$550,MATCH(0,COUNTIF($A$1:A22,DITARI!$D$6:$D$550)+(DITARI!$D$6:$D$550=""),0)),"")</f>
        <v/>
      </c>
      <c r="B23" s="101" t="str">
        <f aca="false">IF($A23="","",IFERROR(VLOOKUP($A23,PLANI_LLOGARIVE!$A:$I,2,FALSE()),"⚠ Nuk është te PLANI_LLOGARIVE"))</f>
        <v/>
      </c>
      <c r="C23" s="101" t="str">
        <f aca="false">IF($A23="","",IFERROR(VLOOKUP($A23,PLANI_LLOGARIVE!$A:$I,9,FALSE()),""))</f>
        <v/>
      </c>
      <c r="D23" s="101" t="str">
        <f aca="false">IF($A23="","",COUNTIF(DITARI!$D:$D,$A23))</f>
        <v/>
      </c>
      <c r="E23" s="101" t="str">
        <f aca="false">IF($A23="","",SUMIFS(DITARI!$F:$F,DITARI!$D:$D,$A23))</f>
        <v/>
      </c>
      <c r="F23" s="101" t="str">
        <f aca="false">IF($A23="","",SUMIFS(DITARI!$G:$G,DITARI!$D:$D,$A23))</f>
        <v/>
      </c>
      <c r="G23" s="101" t="str">
        <f aca="false">IF($A23="","",$E23-$F23)</f>
        <v/>
      </c>
    </row>
    <row r="24" customFormat="false" ht="15" hidden="false" customHeight="true" outlineLevel="0" collapsed="false">
      <c r="A24" s="101" t="str">
        <f aca="false">IFERROR(INDEX(DITARI!$D$6:$D$550,MATCH(0,COUNTIF($A$1:A23,DITARI!$D$6:$D$550)+(DITARI!$D$6:$D$550=""),0)),"")</f>
        <v/>
      </c>
      <c r="B24" s="101" t="str">
        <f aca="false">IF($A24="","",IFERROR(VLOOKUP($A24,PLANI_LLOGARIVE!$A:$I,2,FALSE()),"⚠ Nuk është te PLANI_LLOGARIVE"))</f>
        <v/>
      </c>
      <c r="C24" s="101" t="str">
        <f aca="false">IF($A24="","",IFERROR(VLOOKUP($A24,PLANI_LLOGARIVE!$A:$I,9,FALSE()),""))</f>
        <v/>
      </c>
      <c r="D24" s="101" t="str">
        <f aca="false">IF($A24="","",COUNTIF(DITARI!$D:$D,$A24))</f>
        <v/>
      </c>
      <c r="E24" s="101" t="str">
        <f aca="false">IF($A24="","",SUMIFS(DITARI!$F:$F,DITARI!$D:$D,$A24))</f>
        <v/>
      </c>
      <c r="F24" s="101" t="str">
        <f aca="false">IF($A24="","",SUMIFS(DITARI!$G:$G,DITARI!$D:$D,$A24))</f>
        <v/>
      </c>
      <c r="G24" s="101" t="str">
        <f aca="false">IF($A24="","",$E24-$F24)</f>
        <v/>
      </c>
    </row>
    <row r="25" customFormat="false" ht="15" hidden="false" customHeight="true" outlineLevel="0" collapsed="false">
      <c r="A25" s="101" t="str">
        <f aca="false">IFERROR(INDEX(DITARI!$D$6:$D$550,MATCH(0,COUNTIF($A$1:A24,DITARI!$D$6:$D$550)+(DITARI!$D$6:$D$550=""),0)),"")</f>
        <v/>
      </c>
      <c r="B25" s="101" t="str">
        <f aca="false">IF($A25="","",IFERROR(VLOOKUP($A25,PLANI_LLOGARIVE!$A:$I,2,FALSE()),"⚠ Nuk është te PLANI_LLOGARIVE"))</f>
        <v/>
      </c>
      <c r="C25" s="101" t="str">
        <f aca="false">IF($A25="","",IFERROR(VLOOKUP($A25,PLANI_LLOGARIVE!$A:$I,9,FALSE()),""))</f>
        <v/>
      </c>
      <c r="D25" s="101" t="str">
        <f aca="false">IF($A25="","",COUNTIF(DITARI!$D:$D,$A25))</f>
        <v/>
      </c>
      <c r="E25" s="101" t="str">
        <f aca="false">IF($A25="","",SUMIFS(DITARI!$F:$F,DITARI!$D:$D,$A25))</f>
        <v/>
      </c>
      <c r="F25" s="101" t="str">
        <f aca="false">IF($A25="","",SUMIFS(DITARI!$G:$G,DITARI!$D:$D,$A25))</f>
        <v/>
      </c>
      <c r="G25" s="101" t="str">
        <f aca="false">IF($A25="","",$E25-$F25)</f>
        <v/>
      </c>
    </row>
    <row r="26" customFormat="false" ht="15" hidden="false" customHeight="true" outlineLevel="0" collapsed="false">
      <c r="A26" s="101" t="str">
        <f aca="false">IFERROR(INDEX(DITARI!$D$6:$D$550,MATCH(0,COUNTIF($A$1:A25,DITARI!$D$6:$D$550)+(DITARI!$D$6:$D$550=""),0)),"")</f>
        <v/>
      </c>
      <c r="B26" s="101" t="str">
        <f aca="false">IF($A26="","",IFERROR(VLOOKUP($A26,PLANI_LLOGARIVE!$A:$I,2,FALSE()),"⚠ Nuk është te PLANI_LLOGARIVE"))</f>
        <v/>
      </c>
      <c r="C26" s="101" t="str">
        <f aca="false">IF($A26="","",IFERROR(VLOOKUP($A26,PLANI_LLOGARIVE!$A:$I,9,FALSE()),""))</f>
        <v/>
      </c>
      <c r="D26" s="101" t="str">
        <f aca="false">IF($A26="","",COUNTIF(DITARI!$D:$D,$A26))</f>
        <v/>
      </c>
      <c r="E26" s="101" t="str">
        <f aca="false">IF($A26="","",SUMIFS(DITARI!$F:$F,DITARI!$D:$D,$A26))</f>
        <v/>
      </c>
      <c r="F26" s="101" t="str">
        <f aca="false">IF($A26="","",SUMIFS(DITARI!$G:$G,DITARI!$D:$D,$A26))</f>
        <v/>
      </c>
      <c r="G26" s="101" t="str">
        <f aca="false">IF($A26="","",$E26-$F26)</f>
        <v/>
      </c>
    </row>
    <row r="27" customFormat="false" ht="15" hidden="false" customHeight="true" outlineLevel="0" collapsed="false">
      <c r="A27" s="101" t="str">
        <f aca="false">IFERROR(INDEX(DITARI!$D$6:$D$550,MATCH(0,COUNTIF($A$1:A26,DITARI!$D$6:$D$550)+(DITARI!$D$6:$D$550=""),0)),"")</f>
        <v/>
      </c>
      <c r="B27" s="101" t="str">
        <f aca="false">IF($A27="","",IFERROR(VLOOKUP($A27,PLANI_LLOGARIVE!$A:$I,2,FALSE()),"⚠ Nuk është te PLANI_LLOGARIVE"))</f>
        <v/>
      </c>
      <c r="C27" s="101" t="str">
        <f aca="false">IF($A27="","",IFERROR(VLOOKUP($A27,PLANI_LLOGARIVE!$A:$I,9,FALSE()),""))</f>
        <v/>
      </c>
      <c r="D27" s="101" t="str">
        <f aca="false">IF($A27="","",COUNTIF(DITARI!$D:$D,$A27))</f>
        <v/>
      </c>
      <c r="E27" s="101" t="str">
        <f aca="false">IF($A27="","",SUMIFS(DITARI!$F:$F,DITARI!$D:$D,$A27))</f>
        <v/>
      </c>
      <c r="F27" s="101" t="str">
        <f aca="false">IF($A27="","",SUMIFS(DITARI!$G:$G,DITARI!$D:$D,$A27))</f>
        <v/>
      </c>
      <c r="G27" s="101" t="str">
        <f aca="false">IF($A27="","",$E27-$F27)</f>
        <v/>
      </c>
    </row>
    <row r="28" customFormat="false" ht="15" hidden="false" customHeight="true" outlineLevel="0" collapsed="false">
      <c r="A28" s="101" t="str">
        <f aca="false">IFERROR(INDEX(DITARI!$D$6:$D$550,MATCH(0,COUNTIF($A$1:A27,DITARI!$D$6:$D$550)+(DITARI!$D$6:$D$550=""),0)),"")</f>
        <v/>
      </c>
      <c r="B28" s="101" t="str">
        <f aca="false">IF($A28="","",IFERROR(VLOOKUP($A28,PLANI_LLOGARIVE!$A:$I,2,FALSE()),"⚠ Nuk është te PLANI_LLOGARIVE"))</f>
        <v/>
      </c>
      <c r="C28" s="101" t="str">
        <f aca="false">IF($A28="","",IFERROR(VLOOKUP($A28,PLANI_LLOGARIVE!$A:$I,9,FALSE()),""))</f>
        <v/>
      </c>
      <c r="D28" s="101" t="str">
        <f aca="false">IF($A28="","",COUNTIF(DITARI!$D:$D,$A28))</f>
        <v/>
      </c>
      <c r="E28" s="101" t="str">
        <f aca="false">IF($A28="","",SUMIFS(DITARI!$F:$F,DITARI!$D:$D,$A28))</f>
        <v/>
      </c>
      <c r="F28" s="101" t="str">
        <f aca="false">IF($A28="","",SUMIFS(DITARI!$G:$G,DITARI!$D:$D,$A28))</f>
        <v/>
      </c>
      <c r="G28" s="101" t="str">
        <f aca="false">IF($A28="","",$E28-$F28)</f>
        <v/>
      </c>
    </row>
    <row r="29" customFormat="false" ht="15" hidden="false" customHeight="true" outlineLevel="0" collapsed="false">
      <c r="A29" s="101" t="str">
        <f aca="false">IFERROR(INDEX(DITARI!$D$6:$D$550,MATCH(0,COUNTIF($A$1:A28,DITARI!$D$6:$D$550)+(DITARI!$D$6:$D$550=""),0)),"")</f>
        <v/>
      </c>
      <c r="B29" s="101" t="str">
        <f aca="false">IF($A29="","",IFERROR(VLOOKUP($A29,PLANI_LLOGARIVE!$A:$I,2,FALSE()),"⚠ Nuk është te PLANI_LLOGARIVE"))</f>
        <v/>
      </c>
      <c r="C29" s="101" t="str">
        <f aca="false">IF($A29="","",IFERROR(VLOOKUP($A29,PLANI_LLOGARIVE!$A:$I,9,FALSE()),""))</f>
        <v/>
      </c>
      <c r="D29" s="101" t="str">
        <f aca="false">IF($A29="","",COUNTIF(DITARI!$D:$D,$A29))</f>
        <v/>
      </c>
      <c r="E29" s="101" t="str">
        <f aca="false">IF($A29="","",SUMIFS(DITARI!$F:$F,DITARI!$D:$D,$A29))</f>
        <v/>
      </c>
      <c r="F29" s="101" t="str">
        <f aca="false">IF($A29="","",SUMIFS(DITARI!$G:$G,DITARI!$D:$D,$A29))</f>
        <v/>
      </c>
      <c r="G29" s="101" t="str">
        <f aca="false">IF($A29="","",$E29-$F29)</f>
        <v/>
      </c>
    </row>
    <row r="30" customFormat="false" ht="15" hidden="false" customHeight="true" outlineLevel="0" collapsed="false">
      <c r="A30" s="101" t="str">
        <f aca="false">IFERROR(INDEX(DITARI!$D$6:$D$550,MATCH(0,COUNTIF($A$1:A29,DITARI!$D$6:$D$550)+(DITARI!$D$6:$D$550=""),0)),"")</f>
        <v/>
      </c>
      <c r="B30" s="101" t="str">
        <f aca="false">IF($A30="","",IFERROR(VLOOKUP($A30,PLANI_LLOGARIVE!$A:$I,2,FALSE()),"⚠ Nuk është te PLANI_LLOGARIVE"))</f>
        <v/>
      </c>
      <c r="C30" s="101" t="str">
        <f aca="false">IF($A30="","",IFERROR(VLOOKUP($A30,PLANI_LLOGARIVE!$A:$I,9,FALSE()),""))</f>
        <v/>
      </c>
      <c r="D30" s="101" t="str">
        <f aca="false">IF($A30="","",COUNTIF(DITARI!$D:$D,$A30))</f>
        <v/>
      </c>
      <c r="E30" s="101" t="str">
        <f aca="false">IF($A30="","",SUMIFS(DITARI!$F:$F,DITARI!$D:$D,$A30))</f>
        <v/>
      </c>
      <c r="F30" s="101" t="str">
        <f aca="false">IF($A30="","",SUMIFS(DITARI!$G:$G,DITARI!$D:$D,$A30))</f>
        <v/>
      </c>
      <c r="G30" s="101" t="str">
        <f aca="false">IF($A30="","",$E30-$F30)</f>
        <v/>
      </c>
    </row>
    <row r="31" customFormat="false" ht="15" hidden="false" customHeight="true" outlineLevel="0" collapsed="false">
      <c r="A31" s="101" t="str">
        <f aca="false">IFERROR(INDEX(DITARI!$D$6:$D$550,MATCH(0,COUNTIF($A$1:A30,DITARI!$D$6:$D$550)+(DITARI!$D$6:$D$550=""),0)),"")</f>
        <v/>
      </c>
      <c r="B31" s="101" t="str">
        <f aca="false">IF($A31="","",IFERROR(VLOOKUP($A31,PLANI_LLOGARIVE!$A:$I,2,FALSE()),"⚠ Nuk është te PLANI_LLOGARIVE"))</f>
        <v/>
      </c>
      <c r="C31" s="101" t="str">
        <f aca="false">IF($A31="","",IFERROR(VLOOKUP($A31,PLANI_LLOGARIVE!$A:$I,9,FALSE()),""))</f>
        <v/>
      </c>
      <c r="D31" s="101" t="str">
        <f aca="false">IF($A31="","",COUNTIF(DITARI!$D:$D,$A31))</f>
        <v/>
      </c>
      <c r="E31" s="101" t="str">
        <f aca="false">IF($A31="","",SUMIFS(DITARI!$F:$F,DITARI!$D:$D,$A31))</f>
        <v/>
      </c>
      <c r="F31" s="101" t="str">
        <f aca="false">IF($A31="","",SUMIFS(DITARI!$G:$G,DITARI!$D:$D,$A31))</f>
        <v/>
      </c>
      <c r="G31" s="101" t="str">
        <f aca="false">IF($A31="","",$E31-$F31)</f>
        <v/>
      </c>
    </row>
    <row r="32" customFormat="false" ht="15" hidden="false" customHeight="true" outlineLevel="0" collapsed="false">
      <c r="A32" s="101" t="str">
        <f aca="false">IFERROR(INDEX(DITARI!$D$6:$D$550,MATCH(0,COUNTIF($A$1:A31,DITARI!$D$6:$D$550)+(DITARI!$D$6:$D$550=""),0)),"")</f>
        <v/>
      </c>
      <c r="B32" s="101" t="str">
        <f aca="false">IF($A32="","",IFERROR(VLOOKUP($A32,PLANI_LLOGARIVE!$A:$I,2,FALSE()),"⚠ Nuk është te PLANI_LLOGARIVE"))</f>
        <v/>
      </c>
      <c r="C32" s="101" t="str">
        <f aca="false">IF($A32="","",IFERROR(VLOOKUP($A32,PLANI_LLOGARIVE!$A:$I,9,FALSE()),""))</f>
        <v/>
      </c>
      <c r="D32" s="101" t="str">
        <f aca="false">IF($A32="","",COUNTIF(DITARI!$D:$D,$A32))</f>
        <v/>
      </c>
      <c r="E32" s="101" t="str">
        <f aca="false">IF($A32="","",SUMIFS(DITARI!$F:$F,DITARI!$D:$D,$A32))</f>
        <v/>
      </c>
      <c r="F32" s="101" t="str">
        <f aca="false">IF($A32="","",SUMIFS(DITARI!$G:$G,DITARI!$D:$D,$A32))</f>
        <v/>
      </c>
      <c r="G32" s="101" t="str">
        <f aca="false">IF($A32="","",$E32-$F32)</f>
        <v/>
      </c>
    </row>
    <row r="33" customFormat="false" ht="15" hidden="false" customHeight="true" outlineLevel="0" collapsed="false">
      <c r="A33" s="101" t="str">
        <f aca="false">IFERROR(INDEX(DITARI!$D$6:$D$550,MATCH(0,COUNTIF($A$1:A32,DITARI!$D$6:$D$550)+(DITARI!$D$6:$D$550=""),0)),"")</f>
        <v/>
      </c>
      <c r="B33" s="101" t="str">
        <f aca="false">IF($A33="","",IFERROR(VLOOKUP($A33,PLANI_LLOGARIVE!$A:$I,2,FALSE()),"⚠ Nuk është te PLANI_LLOGARIVE"))</f>
        <v/>
      </c>
      <c r="C33" s="101" t="str">
        <f aca="false">IF($A33="","",IFERROR(VLOOKUP($A33,PLANI_LLOGARIVE!$A:$I,9,FALSE()),""))</f>
        <v/>
      </c>
      <c r="D33" s="101" t="str">
        <f aca="false">IF($A33="","",COUNTIF(DITARI!$D:$D,$A33))</f>
        <v/>
      </c>
      <c r="E33" s="101" t="str">
        <f aca="false">IF($A33="","",SUMIFS(DITARI!$F:$F,DITARI!$D:$D,$A33))</f>
        <v/>
      </c>
      <c r="F33" s="101" t="str">
        <f aca="false">IF($A33="","",SUMIFS(DITARI!$G:$G,DITARI!$D:$D,$A33))</f>
        <v/>
      </c>
      <c r="G33" s="101" t="str">
        <f aca="false">IF($A33="","",$E33-$F33)</f>
        <v/>
      </c>
    </row>
    <row r="34" customFormat="false" ht="15" hidden="false" customHeight="true" outlineLevel="0" collapsed="false">
      <c r="A34" s="101" t="str">
        <f aca="false">IFERROR(INDEX(DITARI!$D$6:$D$550,MATCH(0,COUNTIF($A$1:A33,DITARI!$D$6:$D$550)+(DITARI!$D$6:$D$550=""),0)),"")</f>
        <v/>
      </c>
      <c r="B34" s="101" t="str">
        <f aca="false">IF($A34="","",IFERROR(VLOOKUP($A34,PLANI_LLOGARIVE!$A:$I,2,FALSE()),"⚠ Nuk është te PLANI_LLOGARIVE"))</f>
        <v/>
      </c>
      <c r="C34" s="101" t="str">
        <f aca="false">IF($A34="","",IFERROR(VLOOKUP($A34,PLANI_LLOGARIVE!$A:$I,9,FALSE()),""))</f>
        <v/>
      </c>
      <c r="D34" s="101" t="str">
        <f aca="false">IF($A34="","",COUNTIF(DITARI!$D:$D,$A34))</f>
        <v/>
      </c>
      <c r="E34" s="101" t="str">
        <f aca="false">IF($A34="","",SUMIFS(DITARI!$F:$F,DITARI!$D:$D,$A34))</f>
        <v/>
      </c>
      <c r="F34" s="101" t="str">
        <f aca="false">IF($A34="","",SUMIFS(DITARI!$G:$G,DITARI!$D:$D,$A34))</f>
        <v/>
      </c>
      <c r="G34" s="101" t="str">
        <f aca="false">IF($A34="","",$E34-$F34)</f>
        <v/>
      </c>
    </row>
    <row r="35" customFormat="false" ht="15" hidden="false" customHeight="true" outlineLevel="0" collapsed="false">
      <c r="A35" s="101" t="str">
        <f aca="false">IFERROR(INDEX(DITARI!$D$6:$D$550,MATCH(0,COUNTIF($A$1:A34,DITARI!$D$6:$D$550)+(DITARI!$D$6:$D$550=""),0)),"")</f>
        <v/>
      </c>
      <c r="B35" s="101" t="str">
        <f aca="false">IF($A35="","",IFERROR(VLOOKUP($A35,PLANI_LLOGARIVE!$A:$I,2,FALSE()),"⚠ Nuk është te PLANI_LLOGARIVE"))</f>
        <v/>
      </c>
      <c r="C35" s="101" t="str">
        <f aca="false">IF($A35="","",IFERROR(VLOOKUP($A35,PLANI_LLOGARIVE!$A:$I,9,FALSE()),""))</f>
        <v/>
      </c>
      <c r="D35" s="101" t="str">
        <f aca="false">IF($A35="","",COUNTIF(DITARI!$D:$D,$A35))</f>
        <v/>
      </c>
      <c r="E35" s="101" t="str">
        <f aca="false">IF($A35="","",SUMIFS(DITARI!$F:$F,DITARI!$D:$D,$A35))</f>
        <v/>
      </c>
      <c r="F35" s="101" t="str">
        <f aca="false">IF($A35="","",SUMIFS(DITARI!$G:$G,DITARI!$D:$D,$A35))</f>
        <v/>
      </c>
      <c r="G35" s="101" t="str">
        <f aca="false">IF($A35="","",$E35-$F35)</f>
        <v/>
      </c>
    </row>
    <row r="36" customFormat="false" ht="15" hidden="false" customHeight="true" outlineLevel="0" collapsed="false">
      <c r="A36" s="101" t="str">
        <f aca="false">IFERROR(INDEX(DITARI!$D$6:$D$550,MATCH(0,COUNTIF($A$1:A35,DITARI!$D$6:$D$550)+(DITARI!$D$6:$D$550=""),0)),"")</f>
        <v/>
      </c>
      <c r="B36" s="101" t="str">
        <f aca="false">IF($A36="","",IFERROR(VLOOKUP($A36,PLANI_LLOGARIVE!$A:$I,2,FALSE()),"⚠ Nuk është te PLANI_LLOGARIVE"))</f>
        <v/>
      </c>
      <c r="C36" s="101" t="str">
        <f aca="false">IF($A36="","",IFERROR(VLOOKUP($A36,PLANI_LLOGARIVE!$A:$I,9,FALSE()),""))</f>
        <v/>
      </c>
      <c r="D36" s="101" t="str">
        <f aca="false">IF($A36="","",COUNTIF(DITARI!$D:$D,$A36))</f>
        <v/>
      </c>
      <c r="E36" s="101" t="str">
        <f aca="false">IF($A36="","",SUMIFS(DITARI!$F:$F,DITARI!$D:$D,$A36))</f>
        <v/>
      </c>
      <c r="F36" s="101" t="str">
        <f aca="false">IF($A36="","",SUMIFS(DITARI!$G:$G,DITARI!$D:$D,$A36))</f>
        <v/>
      </c>
      <c r="G36" s="101" t="str">
        <f aca="false">IF($A36="","",$E36-$F36)</f>
        <v/>
      </c>
    </row>
    <row r="37" customFormat="false" ht="15" hidden="false" customHeight="true" outlineLevel="0" collapsed="false">
      <c r="A37" s="101" t="str">
        <f aca="false">IFERROR(INDEX(DITARI!$D$6:$D$550,MATCH(0,COUNTIF($A$1:A36,DITARI!$D$6:$D$550)+(DITARI!$D$6:$D$550=""),0)),"")</f>
        <v/>
      </c>
      <c r="B37" s="101" t="str">
        <f aca="false">IF($A37="","",IFERROR(VLOOKUP($A37,PLANI_LLOGARIVE!$A:$I,2,FALSE()),"⚠ Nuk është te PLANI_LLOGARIVE"))</f>
        <v/>
      </c>
      <c r="C37" s="101" t="str">
        <f aca="false">IF($A37="","",IFERROR(VLOOKUP($A37,PLANI_LLOGARIVE!$A:$I,9,FALSE()),""))</f>
        <v/>
      </c>
      <c r="D37" s="101" t="str">
        <f aca="false">IF($A37="","",COUNTIF(DITARI!$D:$D,$A37))</f>
        <v/>
      </c>
      <c r="E37" s="101" t="str">
        <f aca="false">IF($A37="","",SUMIFS(DITARI!$F:$F,DITARI!$D:$D,$A37))</f>
        <v/>
      </c>
      <c r="F37" s="101" t="str">
        <f aca="false">IF($A37="","",SUMIFS(DITARI!$G:$G,DITARI!$D:$D,$A37))</f>
        <v/>
      </c>
      <c r="G37" s="101" t="str">
        <f aca="false">IF($A37="","",$E37-$F37)</f>
        <v/>
      </c>
    </row>
    <row r="38" customFormat="false" ht="15" hidden="false" customHeight="true" outlineLevel="0" collapsed="false">
      <c r="A38" s="101" t="str">
        <f aca="false">IFERROR(INDEX(DITARI!$D$6:$D$550,MATCH(0,COUNTIF($A$1:A37,DITARI!$D$6:$D$550)+(DITARI!$D$6:$D$550=""),0)),"")</f>
        <v/>
      </c>
      <c r="B38" s="101" t="str">
        <f aca="false">IF($A38="","",IFERROR(VLOOKUP($A38,PLANI_LLOGARIVE!$A:$I,2,FALSE()),"⚠ Nuk është te PLANI_LLOGARIVE"))</f>
        <v/>
      </c>
      <c r="C38" s="101" t="str">
        <f aca="false">IF($A38="","",IFERROR(VLOOKUP($A38,PLANI_LLOGARIVE!$A:$I,9,FALSE()),""))</f>
        <v/>
      </c>
      <c r="D38" s="101" t="str">
        <f aca="false">IF($A38="","",COUNTIF(DITARI!$D:$D,$A38))</f>
        <v/>
      </c>
      <c r="E38" s="101" t="str">
        <f aca="false">IF($A38="","",SUMIFS(DITARI!$F:$F,DITARI!$D:$D,$A38))</f>
        <v/>
      </c>
      <c r="F38" s="101" t="str">
        <f aca="false">IF($A38="","",SUMIFS(DITARI!$G:$G,DITARI!$D:$D,$A38))</f>
        <v/>
      </c>
      <c r="G38" s="101" t="str">
        <f aca="false">IF($A38="","",$E38-$F38)</f>
        <v/>
      </c>
    </row>
    <row r="39" customFormat="false" ht="15" hidden="false" customHeight="true" outlineLevel="0" collapsed="false">
      <c r="A39" s="101" t="str">
        <f aca="false">IFERROR(INDEX(DITARI!$D$6:$D$550,MATCH(0,COUNTIF($A$1:A38,DITARI!$D$6:$D$550)+(DITARI!$D$6:$D$550=""),0)),"")</f>
        <v/>
      </c>
      <c r="B39" s="101" t="str">
        <f aca="false">IF($A39="","",IFERROR(VLOOKUP($A39,PLANI_LLOGARIVE!$A:$I,2,FALSE()),"⚠ Nuk është te PLANI_LLOGARIVE"))</f>
        <v/>
      </c>
      <c r="C39" s="101" t="str">
        <f aca="false">IF($A39="","",IFERROR(VLOOKUP($A39,PLANI_LLOGARIVE!$A:$I,9,FALSE()),""))</f>
        <v/>
      </c>
      <c r="D39" s="101" t="str">
        <f aca="false">IF($A39="","",COUNTIF(DITARI!$D:$D,$A39))</f>
        <v/>
      </c>
      <c r="E39" s="101" t="str">
        <f aca="false">IF($A39="","",SUMIFS(DITARI!$F:$F,DITARI!$D:$D,$A39))</f>
        <v/>
      </c>
      <c r="F39" s="101" t="str">
        <f aca="false">IF($A39="","",SUMIFS(DITARI!$G:$G,DITARI!$D:$D,$A39))</f>
        <v/>
      </c>
      <c r="G39" s="101" t="str">
        <f aca="false">IF($A39="","",$E39-$F39)</f>
        <v/>
      </c>
    </row>
    <row r="40" customFormat="false" ht="15" hidden="false" customHeight="true" outlineLevel="0" collapsed="false">
      <c r="A40" s="101" t="str">
        <f aca="false">IFERROR(INDEX(DITARI!$D$6:$D$550,MATCH(0,COUNTIF($A$1:A39,DITARI!$D$6:$D$550)+(DITARI!$D$6:$D$550=""),0)),"")</f>
        <v/>
      </c>
      <c r="B40" s="101" t="str">
        <f aca="false">IF($A40="","",IFERROR(VLOOKUP($A40,PLANI_LLOGARIVE!$A:$I,2,FALSE()),"⚠ Nuk është te PLANI_LLOGARIVE"))</f>
        <v/>
      </c>
      <c r="C40" s="101" t="str">
        <f aca="false">IF($A40="","",IFERROR(VLOOKUP($A40,PLANI_LLOGARIVE!$A:$I,9,FALSE()),""))</f>
        <v/>
      </c>
      <c r="D40" s="101" t="str">
        <f aca="false">IF($A40="","",COUNTIF(DITARI!$D:$D,$A40))</f>
        <v/>
      </c>
      <c r="E40" s="101" t="str">
        <f aca="false">IF($A40="","",SUMIFS(DITARI!$F:$F,DITARI!$D:$D,$A40))</f>
        <v/>
      </c>
      <c r="F40" s="101" t="str">
        <f aca="false">IF($A40="","",SUMIFS(DITARI!$G:$G,DITARI!$D:$D,$A40))</f>
        <v/>
      </c>
      <c r="G40" s="101" t="str">
        <f aca="false">IF($A40="","",$E40-$F40)</f>
        <v/>
      </c>
    </row>
    <row r="41" customFormat="false" ht="15" hidden="false" customHeight="true" outlineLevel="0" collapsed="false">
      <c r="A41" s="101" t="str">
        <f aca="false">IFERROR(INDEX(DITARI!$D$6:$D$550,MATCH(0,COUNTIF($A$1:A40,DITARI!$D$6:$D$550)+(DITARI!$D$6:$D$550=""),0)),"")</f>
        <v/>
      </c>
      <c r="B41" s="101" t="str">
        <f aca="false">IF($A41="","",IFERROR(VLOOKUP($A41,PLANI_LLOGARIVE!$A:$I,2,FALSE()),"⚠ Nuk është te PLANI_LLOGARIVE"))</f>
        <v/>
      </c>
      <c r="C41" s="101" t="str">
        <f aca="false">IF($A41="","",IFERROR(VLOOKUP($A41,PLANI_LLOGARIVE!$A:$I,9,FALSE()),""))</f>
        <v/>
      </c>
      <c r="D41" s="101" t="str">
        <f aca="false">IF($A41="","",COUNTIF(DITARI!$D:$D,$A41))</f>
        <v/>
      </c>
      <c r="E41" s="101" t="str">
        <f aca="false">IF($A41="","",SUMIFS(DITARI!$F:$F,DITARI!$D:$D,$A41))</f>
        <v/>
      </c>
      <c r="F41" s="101" t="str">
        <f aca="false">IF($A41="","",SUMIFS(DITARI!$G:$G,DITARI!$D:$D,$A41))</f>
        <v/>
      </c>
      <c r="G41" s="101" t="str">
        <f aca="false">IF($A41="","",$E41-$F41)</f>
        <v/>
      </c>
    </row>
    <row r="42" customFormat="false" ht="15" hidden="false" customHeight="true" outlineLevel="0" collapsed="false">
      <c r="A42" s="101" t="str">
        <f aca="false">IFERROR(INDEX(DITARI!$D$6:$D$550,MATCH(0,COUNTIF($A$1:A41,DITARI!$D$6:$D$550)+(DITARI!$D$6:$D$550=""),0)),"")</f>
        <v/>
      </c>
      <c r="B42" s="101" t="str">
        <f aca="false">IF($A42="","",IFERROR(VLOOKUP($A42,PLANI_LLOGARIVE!$A:$I,2,FALSE()),"⚠ Nuk është te PLANI_LLOGARIVE"))</f>
        <v/>
      </c>
      <c r="C42" s="101" t="str">
        <f aca="false">IF($A42="","",IFERROR(VLOOKUP($A42,PLANI_LLOGARIVE!$A:$I,9,FALSE()),""))</f>
        <v/>
      </c>
      <c r="D42" s="101" t="str">
        <f aca="false">IF($A42="","",COUNTIF(DITARI!$D:$D,$A42))</f>
        <v/>
      </c>
      <c r="E42" s="101" t="str">
        <f aca="false">IF($A42="","",SUMIFS(DITARI!$F:$F,DITARI!$D:$D,$A42))</f>
        <v/>
      </c>
      <c r="F42" s="101" t="str">
        <f aca="false">IF($A42="","",SUMIFS(DITARI!$G:$G,DITARI!$D:$D,$A42))</f>
        <v/>
      </c>
      <c r="G42" s="101" t="str">
        <f aca="false">IF($A42="","",$E42-$F42)</f>
        <v/>
      </c>
    </row>
    <row r="43" customFormat="false" ht="15" hidden="false" customHeight="true" outlineLevel="0" collapsed="false">
      <c r="A43" s="101" t="str">
        <f aca="false">IFERROR(INDEX(DITARI!$D$6:$D$550,MATCH(0,COUNTIF($A$1:A42,DITARI!$D$6:$D$550)+(DITARI!$D$6:$D$550=""),0)),"")</f>
        <v/>
      </c>
      <c r="B43" s="101" t="str">
        <f aca="false">IF($A43="","",IFERROR(VLOOKUP($A43,PLANI_LLOGARIVE!$A:$I,2,FALSE()),"⚠ Nuk është te PLANI_LLOGARIVE"))</f>
        <v/>
      </c>
      <c r="C43" s="101" t="str">
        <f aca="false">IF($A43="","",IFERROR(VLOOKUP($A43,PLANI_LLOGARIVE!$A:$I,9,FALSE()),""))</f>
        <v/>
      </c>
      <c r="D43" s="101" t="str">
        <f aca="false">IF($A43="","",COUNTIF(DITARI!$D:$D,$A43))</f>
        <v/>
      </c>
      <c r="E43" s="101" t="str">
        <f aca="false">IF($A43="","",SUMIFS(DITARI!$F:$F,DITARI!$D:$D,$A43))</f>
        <v/>
      </c>
      <c r="F43" s="101" t="str">
        <f aca="false">IF($A43="","",SUMIFS(DITARI!$G:$G,DITARI!$D:$D,$A43))</f>
        <v/>
      </c>
      <c r="G43" s="101" t="str">
        <f aca="false">IF($A43="","",$E43-$F43)</f>
        <v/>
      </c>
    </row>
    <row r="44" customFormat="false" ht="15" hidden="false" customHeight="true" outlineLevel="0" collapsed="false">
      <c r="A44" s="101" t="str">
        <f aca="false">IFERROR(INDEX(DITARI!$D$6:$D$550,MATCH(0,COUNTIF($A$1:A43,DITARI!$D$6:$D$550)+(DITARI!$D$6:$D$550=""),0)),"")</f>
        <v/>
      </c>
      <c r="B44" s="101" t="str">
        <f aca="false">IF($A44="","",IFERROR(VLOOKUP($A44,PLANI_LLOGARIVE!$A:$I,2,FALSE()),"⚠ Nuk është te PLANI_LLOGARIVE"))</f>
        <v/>
      </c>
      <c r="C44" s="101" t="str">
        <f aca="false">IF($A44="","",IFERROR(VLOOKUP($A44,PLANI_LLOGARIVE!$A:$I,9,FALSE()),""))</f>
        <v/>
      </c>
      <c r="D44" s="101" t="str">
        <f aca="false">IF($A44="","",COUNTIF(DITARI!$D:$D,$A44))</f>
        <v/>
      </c>
      <c r="E44" s="101" t="str">
        <f aca="false">IF($A44="","",SUMIFS(DITARI!$F:$F,DITARI!$D:$D,$A44))</f>
        <v/>
      </c>
      <c r="F44" s="101" t="str">
        <f aca="false">IF($A44="","",SUMIFS(DITARI!$G:$G,DITARI!$D:$D,$A44))</f>
        <v/>
      </c>
      <c r="G44" s="101" t="str">
        <f aca="false">IF($A44="","",$E44-$F44)</f>
        <v/>
      </c>
    </row>
    <row r="45" customFormat="false" ht="15" hidden="false" customHeight="true" outlineLevel="0" collapsed="false">
      <c r="A45" s="101" t="str">
        <f aca="false">IFERROR(INDEX(DITARI!$D$6:$D$550,MATCH(0,COUNTIF($A$1:A44,DITARI!$D$6:$D$550)+(DITARI!$D$6:$D$550=""),0)),"")</f>
        <v/>
      </c>
      <c r="B45" s="101" t="str">
        <f aca="false">IF($A45="","",IFERROR(VLOOKUP($A45,PLANI_LLOGARIVE!$A:$I,2,FALSE()),"⚠ Nuk është te PLANI_LLOGARIVE"))</f>
        <v/>
      </c>
      <c r="C45" s="101" t="str">
        <f aca="false">IF($A45="","",IFERROR(VLOOKUP($A45,PLANI_LLOGARIVE!$A:$I,9,FALSE()),""))</f>
        <v/>
      </c>
      <c r="D45" s="101" t="str">
        <f aca="false">IF($A45="","",COUNTIF(DITARI!$D:$D,$A45))</f>
        <v/>
      </c>
      <c r="E45" s="101" t="str">
        <f aca="false">IF($A45="","",SUMIFS(DITARI!$F:$F,DITARI!$D:$D,$A45))</f>
        <v/>
      </c>
      <c r="F45" s="101" t="str">
        <f aca="false">IF($A45="","",SUMIFS(DITARI!$G:$G,DITARI!$D:$D,$A45))</f>
        <v/>
      </c>
      <c r="G45" s="101" t="str">
        <f aca="false">IF($A45="","",$E45-$F45)</f>
        <v/>
      </c>
    </row>
    <row r="46" customFormat="false" ht="15" hidden="false" customHeight="true" outlineLevel="0" collapsed="false">
      <c r="A46" s="101" t="str">
        <f aca="false">IFERROR(INDEX(DITARI!$D$6:$D$550,MATCH(0,COUNTIF($A$1:A45,DITARI!$D$6:$D$550)+(DITARI!$D$6:$D$550=""),0)),"")</f>
        <v/>
      </c>
      <c r="B46" s="101" t="str">
        <f aca="false">IF($A46="","",IFERROR(VLOOKUP($A46,PLANI_LLOGARIVE!$A:$I,2,FALSE()),"⚠ Nuk është te PLANI_LLOGARIVE"))</f>
        <v/>
      </c>
      <c r="C46" s="101" t="str">
        <f aca="false">IF($A46="","",IFERROR(VLOOKUP($A46,PLANI_LLOGARIVE!$A:$I,9,FALSE()),""))</f>
        <v/>
      </c>
      <c r="D46" s="101" t="str">
        <f aca="false">IF($A46="","",COUNTIF(DITARI!$D:$D,$A46))</f>
        <v/>
      </c>
      <c r="E46" s="101" t="str">
        <f aca="false">IF($A46="","",SUMIFS(DITARI!$F:$F,DITARI!$D:$D,$A46))</f>
        <v/>
      </c>
      <c r="F46" s="101" t="str">
        <f aca="false">IF($A46="","",SUMIFS(DITARI!$G:$G,DITARI!$D:$D,$A46))</f>
        <v/>
      </c>
      <c r="G46" s="101" t="str">
        <f aca="false">IF($A46="","",$E46-$F46)</f>
        <v/>
      </c>
    </row>
    <row r="47" customFormat="false" ht="15" hidden="false" customHeight="true" outlineLevel="0" collapsed="false">
      <c r="A47" s="101" t="str">
        <f aca="false">IFERROR(INDEX(DITARI!$D$6:$D$550,MATCH(0,COUNTIF($A$1:A46,DITARI!$D$6:$D$550)+(DITARI!$D$6:$D$550=""),0)),"")</f>
        <v/>
      </c>
      <c r="B47" s="101" t="str">
        <f aca="false">IF($A47="","",IFERROR(VLOOKUP($A47,PLANI_LLOGARIVE!$A:$I,2,FALSE()),"⚠ Nuk është te PLANI_LLOGARIVE"))</f>
        <v/>
      </c>
      <c r="C47" s="101" t="str">
        <f aca="false">IF($A47="","",IFERROR(VLOOKUP($A47,PLANI_LLOGARIVE!$A:$I,9,FALSE()),""))</f>
        <v/>
      </c>
      <c r="D47" s="101" t="str">
        <f aca="false">IF($A47="","",COUNTIF(DITARI!$D:$D,$A47))</f>
        <v/>
      </c>
      <c r="E47" s="101" t="str">
        <f aca="false">IF($A47="","",SUMIFS(DITARI!$F:$F,DITARI!$D:$D,$A47))</f>
        <v/>
      </c>
      <c r="F47" s="101" t="str">
        <f aca="false">IF($A47="","",SUMIFS(DITARI!$G:$G,DITARI!$D:$D,$A47))</f>
        <v/>
      </c>
      <c r="G47" s="101" t="str">
        <f aca="false">IF($A47="","",$E47-$F47)</f>
        <v/>
      </c>
    </row>
    <row r="48" customFormat="false" ht="15" hidden="false" customHeight="true" outlineLevel="0" collapsed="false">
      <c r="A48" s="101" t="str">
        <f aca="false">IFERROR(INDEX(DITARI!$D$6:$D$550,MATCH(0,COUNTIF($A$1:A47,DITARI!$D$6:$D$550)+(DITARI!$D$6:$D$550=""),0)),"")</f>
        <v/>
      </c>
      <c r="B48" s="101" t="str">
        <f aca="false">IF($A48="","",IFERROR(VLOOKUP($A48,PLANI_LLOGARIVE!$A:$I,2,FALSE()),"⚠ Nuk është te PLANI_LLOGARIVE"))</f>
        <v/>
      </c>
      <c r="C48" s="101" t="str">
        <f aca="false">IF($A48="","",IFERROR(VLOOKUP($A48,PLANI_LLOGARIVE!$A:$I,9,FALSE()),""))</f>
        <v/>
      </c>
      <c r="D48" s="101" t="str">
        <f aca="false">IF($A48="","",COUNTIF(DITARI!$D:$D,$A48))</f>
        <v/>
      </c>
      <c r="E48" s="101" t="str">
        <f aca="false">IF($A48="","",SUMIFS(DITARI!$F:$F,DITARI!$D:$D,$A48))</f>
        <v/>
      </c>
      <c r="F48" s="101" t="str">
        <f aca="false">IF($A48="","",SUMIFS(DITARI!$G:$G,DITARI!$D:$D,$A48))</f>
        <v/>
      </c>
      <c r="G48" s="101" t="str">
        <f aca="false">IF($A48="","",$E48-$F48)</f>
        <v/>
      </c>
    </row>
    <row r="49" customFormat="false" ht="15" hidden="false" customHeight="true" outlineLevel="0" collapsed="false">
      <c r="A49" s="101" t="str">
        <f aca="false">IFERROR(INDEX(DITARI!$D$6:$D$550,MATCH(0,COUNTIF($A$1:A48,DITARI!$D$6:$D$550)+(DITARI!$D$6:$D$550=""),0)),"")</f>
        <v/>
      </c>
      <c r="B49" s="101" t="str">
        <f aca="false">IF($A49="","",IFERROR(VLOOKUP($A49,PLANI_LLOGARIVE!$A:$I,2,FALSE()),"⚠ Nuk është te PLANI_LLOGARIVE"))</f>
        <v/>
      </c>
      <c r="C49" s="101" t="str">
        <f aca="false">IF($A49="","",IFERROR(VLOOKUP($A49,PLANI_LLOGARIVE!$A:$I,9,FALSE()),""))</f>
        <v/>
      </c>
      <c r="D49" s="101" t="str">
        <f aca="false">IF($A49="","",COUNTIF(DITARI!$D:$D,$A49))</f>
        <v/>
      </c>
      <c r="E49" s="101" t="str">
        <f aca="false">IF($A49="","",SUMIFS(DITARI!$F:$F,DITARI!$D:$D,$A49))</f>
        <v/>
      </c>
      <c r="F49" s="101" t="str">
        <f aca="false">IF($A49="","",SUMIFS(DITARI!$G:$G,DITARI!$D:$D,$A49))</f>
        <v/>
      </c>
      <c r="G49" s="101" t="str">
        <f aca="false">IF($A49="","",$E49-$F49)</f>
        <v/>
      </c>
    </row>
    <row r="50" customFormat="false" ht="15" hidden="false" customHeight="true" outlineLevel="0" collapsed="false">
      <c r="A50" s="101" t="str">
        <f aca="false">IFERROR(INDEX(DITARI!$D$6:$D$550,MATCH(0,COUNTIF($A$1:A49,DITARI!$D$6:$D$550)+(DITARI!$D$6:$D$550=""),0)),"")</f>
        <v/>
      </c>
      <c r="B50" s="101" t="str">
        <f aca="false">IF($A50="","",IFERROR(VLOOKUP($A50,PLANI_LLOGARIVE!$A:$I,2,FALSE()),"⚠ Nuk është te PLANI_LLOGARIVE"))</f>
        <v/>
      </c>
      <c r="C50" s="101" t="str">
        <f aca="false">IF($A50="","",IFERROR(VLOOKUP($A50,PLANI_LLOGARIVE!$A:$I,9,FALSE()),""))</f>
        <v/>
      </c>
      <c r="D50" s="101" t="str">
        <f aca="false">IF($A50="","",COUNTIF(DITARI!$D:$D,$A50))</f>
        <v/>
      </c>
      <c r="E50" s="101" t="str">
        <f aca="false">IF($A50="","",SUMIFS(DITARI!$F:$F,DITARI!$D:$D,$A50))</f>
        <v/>
      </c>
      <c r="F50" s="101" t="str">
        <f aca="false">IF($A50="","",SUMIFS(DITARI!$G:$G,DITARI!$D:$D,$A50))</f>
        <v/>
      </c>
      <c r="G50" s="101" t="str">
        <f aca="false">IF($A50="","",$E50-$F50)</f>
        <v/>
      </c>
    </row>
    <row r="51" customFormat="false" ht="15" hidden="false" customHeight="true" outlineLevel="0" collapsed="false">
      <c r="A51" s="101" t="str">
        <f aca="false">IFERROR(INDEX(DITARI!$D$6:$D$550,MATCH(0,COUNTIF($A$1:A50,DITARI!$D$6:$D$550)+(DITARI!$D$6:$D$550=""),0)),"")</f>
        <v/>
      </c>
      <c r="B51" s="101" t="str">
        <f aca="false">IF($A51="","",IFERROR(VLOOKUP($A51,PLANI_LLOGARIVE!$A:$I,2,FALSE()),"⚠ Nuk është te PLANI_LLOGARIVE"))</f>
        <v/>
      </c>
      <c r="C51" s="101" t="str">
        <f aca="false">IF($A51="","",IFERROR(VLOOKUP($A51,PLANI_LLOGARIVE!$A:$I,9,FALSE()),""))</f>
        <v/>
      </c>
      <c r="D51" s="101" t="str">
        <f aca="false">IF($A51="","",COUNTIF(DITARI!$D:$D,$A51))</f>
        <v/>
      </c>
      <c r="E51" s="101" t="str">
        <f aca="false">IF($A51="","",SUMIFS(DITARI!$F:$F,DITARI!$D:$D,$A51))</f>
        <v/>
      </c>
      <c r="F51" s="101" t="str">
        <f aca="false">IF($A51="","",SUMIFS(DITARI!$G:$G,DITARI!$D:$D,$A51))</f>
        <v/>
      </c>
      <c r="G51" s="101" t="str">
        <f aca="false">IF($A51="","",$E51-$F51)</f>
        <v/>
      </c>
    </row>
    <row r="52" customFormat="false" ht="15" hidden="false" customHeight="true" outlineLevel="0" collapsed="false">
      <c r="A52" s="101" t="str">
        <f aca="false">IFERROR(INDEX(DITARI!$D$6:$D$550,MATCH(0,COUNTIF($A$1:A51,DITARI!$D$6:$D$550)+(DITARI!$D$6:$D$550=""),0)),"")</f>
        <v/>
      </c>
      <c r="B52" s="101" t="str">
        <f aca="false">IF($A52="","",IFERROR(VLOOKUP($A52,PLANI_LLOGARIVE!$A:$I,2,FALSE()),"⚠ Nuk është te PLANI_LLOGARIVE"))</f>
        <v/>
      </c>
      <c r="C52" s="101" t="str">
        <f aca="false">IF($A52="","",IFERROR(VLOOKUP($A52,PLANI_LLOGARIVE!$A:$I,9,FALSE()),""))</f>
        <v/>
      </c>
      <c r="D52" s="101" t="str">
        <f aca="false">IF($A52="","",COUNTIF(DITARI!$D:$D,$A52))</f>
        <v/>
      </c>
      <c r="E52" s="101" t="str">
        <f aca="false">IF($A52="","",SUMIFS(DITARI!$F:$F,DITARI!$D:$D,$A52))</f>
        <v/>
      </c>
      <c r="F52" s="101" t="str">
        <f aca="false">IF($A52="","",SUMIFS(DITARI!$G:$G,DITARI!$D:$D,$A52))</f>
        <v/>
      </c>
      <c r="G52" s="101" t="str">
        <f aca="false">IF($A52="","",$E52-$F52)</f>
        <v/>
      </c>
    </row>
    <row r="53" customFormat="false" ht="15" hidden="false" customHeight="true" outlineLevel="0" collapsed="false">
      <c r="A53" s="101" t="str">
        <f aca="false">IFERROR(INDEX(DITARI!$D$6:$D$550,MATCH(0,COUNTIF($A$1:A52,DITARI!$D$6:$D$550)+(DITARI!$D$6:$D$550=""),0)),"")</f>
        <v/>
      </c>
      <c r="B53" s="101" t="str">
        <f aca="false">IF($A53="","",IFERROR(VLOOKUP($A53,PLANI_LLOGARIVE!$A:$I,2,FALSE()),"⚠ Nuk është te PLANI_LLOGARIVE"))</f>
        <v/>
      </c>
      <c r="C53" s="101" t="str">
        <f aca="false">IF($A53="","",IFERROR(VLOOKUP($A53,PLANI_LLOGARIVE!$A:$I,9,FALSE()),""))</f>
        <v/>
      </c>
      <c r="D53" s="101" t="str">
        <f aca="false">IF($A53="","",COUNTIF(DITARI!$D:$D,$A53))</f>
        <v/>
      </c>
      <c r="E53" s="101" t="str">
        <f aca="false">IF($A53="","",SUMIFS(DITARI!$F:$F,DITARI!$D:$D,$A53))</f>
        <v/>
      </c>
      <c r="F53" s="101" t="str">
        <f aca="false">IF($A53="","",SUMIFS(DITARI!$G:$G,DITARI!$D:$D,$A53))</f>
        <v/>
      </c>
      <c r="G53" s="101" t="str">
        <f aca="false">IF($A53="","",$E53-$F53)</f>
        <v/>
      </c>
    </row>
    <row r="54" customFormat="false" ht="15" hidden="false" customHeight="true" outlineLevel="0" collapsed="false">
      <c r="A54" s="101" t="str">
        <f aca="false">IFERROR(INDEX(DITARI!$D$6:$D$550,MATCH(0,COUNTIF($A$1:A53,DITARI!$D$6:$D$550)+(DITARI!$D$6:$D$550=""),0)),"")</f>
        <v/>
      </c>
      <c r="B54" s="101" t="str">
        <f aca="false">IF($A54="","",IFERROR(VLOOKUP($A54,PLANI_LLOGARIVE!$A:$I,2,FALSE()),"⚠ Nuk është te PLANI_LLOGARIVE"))</f>
        <v/>
      </c>
      <c r="C54" s="101" t="str">
        <f aca="false">IF($A54="","",IFERROR(VLOOKUP($A54,PLANI_LLOGARIVE!$A:$I,9,FALSE()),""))</f>
        <v/>
      </c>
      <c r="D54" s="101" t="str">
        <f aca="false">IF($A54="","",COUNTIF(DITARI!$D:$D,$A54))</f>
        <v/>
      </c>
      <c r="E54" s="101" t="str">
        <f aca="false">IF($A54="","",SUMIFS(DITARI!$F:$F,DITARI!$D:$D,$A54))</f>
        <v/>
      </c>
      <c r="F54" s="101" t="str">
        <f aca="false">IF($A54="","",SUMIFS(DITARI!$G:$G,DITARI!$D:$D,$A54))</f>
        <v/>
      </c>
      <c r="G54" s="101" t="str">
        <f aca="false">IF($A54="","",$E54-$F54)</f>
        <v/>
      </c>
    </row>
    <row r="55" customFormat="false" ht="15" hidden="false" customHeight="true" outlineLevel="0" collapsed="false">
      <c r="A55" s="101" t="str">
        <f aca="false">IFERROR(INDEX(DITARI!$D$6:$D$550,MATCH(0,COUNTIF($A$1:A54,DITARI!$D$6:$D$550)+(DITARI!$D$6:$D$550=""),0)),"")</f>
        <v/>
      </c>
      <c r="B55" s="101" t="str">
        <f aca="false">IF($A55="","",IFERROR(VLOOKUP($A55,PLANI_LLOGARIVE!$A:$I,2,FALSE()),"⚠ Nuk është te PLANI_LLOGARIVE"))</f>
        <v/>
      </c>
      <c r="C55" s="101" t="str">
        <f aca="false">IF($A55="","",IFERROR(VLOOKUP($A55,PLANI_LLOGARIVE!$A:$I,9,FALSE()),""))</f>
        <v/>
      </c>
      <c r="D55" s="101" t="str">
        <f aca="false">IF($A55="","",COUNTIF(DITARI!$D:$D,$A55))</f>
        <v/>
      </c>
      <c r="E55" s="101" t="str">
        <f aca="false">IF($A55="","",SUMIFS(DITARI!$F:$F,DITARI!$D:$D,$A55))</f>
        <v/>
      </c>
      <c r="F55" s="101" t="str">
        <f aca="false">IF($A55="","",SUMIFS(DITARI!$G:$G,DITARI!$D:$D,$A55))</f>
        <v/>
      </c>
      <c r="G55" s="101" t="str">
        <f aca="false">IF($A55="","",$E55-$F55)</f>
        <v/>
      </c>
    </row>
    <row r="56" customFormat="false" ht="15" hidden="false" customHeight="true" outlineLevel="0" collapsed="false">
      <c r="A56" s="101" t="str">
        <f aca="false">IFERROR(INDEX(DITARI!$D$6:$D$550,MATCH(0,COUNTIF($A$1:A55,DITARI!$D$6:$D$550)+(DITARI!$D$6:$D$550=""),0)),"")</f>
        <v/>
      </c>
      <c r="B56" s="101" t="str">
        <f aca="false">IF($A56="","",IFERROR(VLOOKUP($A56,PLANI_LLOGARIVE!$A:$I,2,FALSE()),"⚠ Nuk është te PLANI_LLOGARIVE"))</f>
        <v/>
      </c>
      <c r="C56" s="101" t="str">
        <f aca="false">IF($A56="","",IFERROR(VLOOKUP($A56,PLANI_LLOGARIVE!$A:$I,9,FALSE()),""))</f>
        <v/>
      </c>
      <c r="D56" s="101" t="str">
        <f aca="false">IF($A56="","",COUNTIF(DITARI!$D:$D,$A56))</f>
        <v/>
      </c>
      <c r="E56" s="101" t="str">
        <f aca="false">IF($A56="","",SUMIFS(DITARI!$F:$F,DITARI!$D:$D,$A56))</f>
        <v/>
      </c>
      <c r="F56" s="101" t="str">
        <f aca="false">IF($A56="","",SUMIFS(DITARI!$G:$G,DITARI!$D:$D,$A56))</f>
        <v/>
      </c>
      <c r="G56" s="101" t="str">
        <f aca="false">IF($A56="","",$E56-$F56)</f>
        <v/>
      </c>
    </row>
    <row r="57" customFormat="false" ht="15" hidden="false" customHeight="true" outlineLevel="0" collapsed="false">
      <c r="A57" s="101" t="str">
        <f aca="false">IFERROR(INDEX(DITARI!$D$6:$D$550,MATCH(0,COUNTIF($A$1:A56,DITARI!$D$6:$D$550)+(DITARI!$D$6:$D$550=""),0)),"")</f>
        <v/>
      </c>
      <c r="B57" s="101" t="str">
        <f aca="false">IF($A57="","",IFERROR(VLOOKUP($A57,PLANI_LLOGARIVE!$A:$I,2,FALSE()),"⚠ Nuk është te PLANI_LLOGARIVE"))</f>
        <v/>
      </c>
      <c r="C57" s="101" t="str">
        <f aca="false">IF($A57="","",IFERROR(VLOOKUP($A57,PLANI_LLOGARIVE!$A:$I,9,FALSE()),""))</f>
        <v/>
      </c>
      <c r="D57" s="101" t="str">
        <f aca="false">IF($A57="","",COUNTIF(DITARI!$D:$D,$A57))</f>
        <v/>
      </c>
      <c r="E57" s="101" t="str">
        <f aca="false">IF($A57="","",SUMIFS(DITARI!$F:$F,DITARI!$D:$D,$A57))</f>
        <v/>
      </c>
      <c r="F57" s="101" t="str">
        <f aca="false">IF($A57="","",SUMIFS(DITARI!$G:$G,DITARI!$D:$D,$A57))</f>
        <v/>
      </c>
      <c r="G57" s="101" t="str">
        <f aca="false">IF($A57="","",$E57-$F57)</f>
        <v/>
      </c>
    </row>
    <row r="58" customFormat="false" ht="15" hidden="false" customHeight="true" outlineLevel="0" collapsed="false">
      <c r="A58" s="101" t="str">
        <f aca="false">IFERROR(INDEX(DITARI!$D$6:$D$550,MATCH(0,COUNTIF($A$1:A57,DITARI!$D$6:$D$550)+(DITARI!$D$6:$D$550=""),0)),"")</f>
        <v/>
      </c>
      <c r="B58" s="101" t="str">
        <f aca="false">IF($A58="","",IFERROR(VLOOKUP($A58,PLANI_LLOGARIVE!$A:$I,2,FALSE()),"⚠ Nuk është te PLANI_LLOGARIVE"))</f>
        <v/>
      </c>
      <c r="C58" s="101" t="str">
        <f aca="false">IF($A58="","",IFERROR(VLOOKUP($A58,PLANI_LLOGARIVE!$A:$I,9,FALSE()),""))</f>
        <v/>
      </c>
      <c r="D58" s="101" t="str">
        <f aca="false">IF($A58="","",COUNTIF(DITARI!$D:$D,$A58))</f>
        <v/>
      </c>
      <c r="E58" s="101" t="str">
        <f aca="false">IF($A58="","",SUMIFS(DITARI!$F:$F,DITARI!$D:$D,$A58))</f>
        <v/>
      </c>
      <c r="F58" s="101" t="str">
        <f aca="false">IF($A58="","",SUMIFS(DITARI!$G:$G,DITARI!$D:$D,$A58))</f>
        <v/>
      </c>
      <c r="G58" s="101" t="str">
        <f aca="false">IF($A58="","",$E58-$F58)</f>
        <v/>
      </c>
    </row>
    <row r="59" customFormat="false" ht="15" hidden="false" customHeight="true" outlineLevel="0" collapsed="false">
      <c r="A59" s="101" t="str">
        <f aca="false">IFERROR(INDEX(DITARI!$D$6:$D$550,MATCH(0,COUNTIF($A$1:A58,DITARI!$D$6:$D$550)+(DITARI!$D$6:$D$550=""),0)),"")</f>
        <v/>
      </c>
      <c r="B59" s="101" t="str">
        <f aca="false">IF($A59="","",IFERROR(VLOOKUP($A59,PLANI_LLOGARIVE!$A:$I,2,FALSE()),"⚠ Nuk është te PLANI_LLOGARIVE"))</f>
        <v/>
      </c>
      <c r="C59" s="101" t="str">
        <f aca="false">IF($A59="","",IFERROR(VLOOKUP($A59,PLANI_LLOGARIVE!$A:$I,9,FALSE()),""))</f>
        <v/>
      </c>
      <c r="D59" s="101" t="str">
        <f aca="false">IF($A59="","",COUNTIF(DITARI!$D:$D,$A59))</f>
        <v/>
      </c>
      <c r="E59" s="101" t="str">
        <f aca="false">IF($A59="","",SUMIFS(DITARI!$F:$F,DITARI!$D:$D,$A59))</f>
        <v/>
      </c>
      <c r="F59" s="101" t="str">
        <f aca="false">IF($A59="","",SUMIFS(DITARI!$G:$G,DITARI!$D:$D,$A59))</f>
        <v/>
      </c>
      <c r="G59" s="101" t="str">
        <f aca="false">IF($A59="","",$E59-$F59)</f>
        <v/>
      </c>
    </row>
    <row r="60" customFormat="false" ht="15" hidden="false" customHeight="true" outlineLevel="0" collapsed="false">
      <c r="A60" s="101" t="str">
        <f aca="false">IFERROR(INDEX(DITARI!$D$6:$D$550,MATCH(0,COUNTIF($A$1:A59,DITARI!$D$6:$D$550)+(DITARI!$D$6:$D$550=""),0)),"")</f>
        <v/>
      </c>
      <c r="B60" s="101" t="str">
        <f aca="false">IF($A60="","",IFERROR(VLOOKUP($A60,PLANI_LLOGARIVE!$A:$I,2,FALSE()),"⚠ Nuk është te PLANI_LLOGARIVE"))</f>
        <v/>
      </c>
      <c r="C60" s="101" t="str">
        <f aca="false">IF($A60="","",IFERROR(VLOOKUP($A60,PLANI_LLOGARIVE!$A:$I,9,FALSE()),""))</f>
        <v/>
      </c>
      <c r="D60" s="101" t="str">
        <f aca="false">IF($A60="","",COUNTIF(DITARI!$D:$D,$A60))</f>
        <v/>
      </c>
      <c r="E60" s="101" t="str">
        <f aca="false">IF($A60="","",SUMIFS(DITARI!$F:$F,DITARI!$D:$D,$A60))</f>
        <v/>
      </c>
      <c r="F60" s="101" t="str">
        <f aca="false">IF($A60="","",SUMIFS(DITARI!$G:$G,DITARI!$D:$D,$A60))</f>
        <v/>
      </c>
      <c r="G60" s="101" t="str">
        <f aca="false">IF($A60="","",$E60-$F60)</f>
        <v/>
      </c>
    </row>
    <row r="61" customFormat="false" ht="15" hidden="false" customHeight="true" outlineLevel="0" collapsed="false">
      <c r="A61" s="101" t="str">
        <f aca="false">IFERROR(INDEX(DITARI!$D$6:$D$550,MATCH(0,COUNTIF($A$1:A60,DITARI!$D$6:$D$550)+(DITARI!$D$6:$D$550=""),0)),"")</f>
        <v/>
      </c>
      <c r="B61" s="101" t="str">
        <f aca="false">IF($A61="","",IFERROR(VLOOKUP($A61,PLANI_LLOGARIVE!$A:$I,2,FALSE()),"⚠ Nuk është te PLANI_LLOGARIVE"))</f>
        <v/>
      </c>
      <c r="C61" s="101" t="str">
        <f aca="false">IF($A61="","",IFERROR(VLOOKUP($A61,PLANI_LLOGARIVE!$A:$I,9,FALSE()),""))</f>
        <v/>
      </c>
      <c r="D61" s="101" t="str">
        <f aca="false">IF($A61="","",COUNTIF(DITARI!$D:$D,$A61))</f>
        <v/>
      </c>
      <c r="E61" s="101" t="str">
        <f aca="false">IF($A61="","",SUMIFS(DITARI!$F:$F,DITARI!$D:$D,$A61))</f>
        <v/>
      </c>
      <c r="F61" s="101" t="str">
        <f aca="false">IF($A61="","",SUMIFS(DITARI!$G:$G,DITARI!$D:$D,$A61))</f>
        <v/>
      </c>
      <c r="G61" s="101" t="str">
        <f aca="false">IF($A61="","",$E61-$F61)</f>
        <v/>
      </c>
    </row>
    <row r="62" customFormat="false" ht="15" hidden="false" customHeight="true" outlineLevel="0" collapsed="false">
      <c r="A62" s="101" t="str">
        <f aca="false">IFERROR(INDEX(DITARI!$D$6:$D$550,MATCH(0,COUNTIF($A$1:A61,DITARI!$D$6:$D$550)+(DITARI!$D$6:$D$550=""),0)),"")</f>
        <v/>
      </c>
      <c r="B62" s="101" t="str">
        <f aca="false">IF($A62="","",IFERROR(VLOOKUP($A62,PLANI_LLOGARIVE!$A:$I,2,FALSE()),"⚠ Nuk është te PLANI_LLOGARIVE"))</f>
        <v/>
      </c>
      <c r="C62" s="101" t="str">
        <f aca="false">IF($A62="","",IFERROR(VLOOKUP($A62,PLANI_LLOGARIVE!$A:$I,9,FALSE()),""))</f>
        <v/>
      </c>
      <c r="D62" s="101" t="str">
        <f aca="false">IF($A62="","",COUNTIF(DITARI!$D:$D,$A62))</f>
        <v/>
      </c>
      <c r="E62" s="101" t="str">
        <f aca="false">IF($A62="","",SUMIFS(DITARI!$F:$F,DITARI!$D:$D,$A62))</f>
        <v/>
      </c>
      <c r="F62" s="101" t="str">
        <f aca="false">IF($A62="","",SUMIFS(DITARI!$G:$G,DITARI!$D:$D,$A62))</f>
        <v/>
      </c>
      <c r="G62" s="101" t="str">
        <f aca="false">IF($A62="","",$E62-$F62)</f>
        <v/>
      </c>
    </row>
    <row r="63" customFormat="false" ht="15" hidden="false" customHeight="true" outlineLevel="0" collapsed="false">
      <c r="A63" s="101" t="str">
        <f aca="false">IFERROR(INDEX(DITARI!$D$6:$D$550,MATCH(0,COUNTIF($A$1:A62,DITARI!$D$6:$D$550)+(DITARI!$D$6:$D$550=""),0)),"")</f>
        <v/>
      </c>
      <c r="B63" s="101" t="str">
        <f aca="false">IF($A63="","",IFERROR(VLOOKUP($A63,PLANI_LLOGARIVE!$A:$I,2,FALSE()),"⚠ Nuk është te PLANI_LLOGARIVE"))</f>
        <v/>
      </c>
      <c r="C63" s="101" t="str">
        <f aca="false">IF($A63="","",IFERROR(VLOOKUP($A63,PLANI_LLOGARIVE!$A:$I,9,FALSE()),""))</f>
        <v/>
      </c>
      <c r="D63" s="101" t="str">
        <f aca="false">IF($A63="","",COUNTIF(DITARI!$D:$D,$A63))</f>
        <v/>
      </c>
      <c r="E63" s="101" t="str">
        <f aca="false">IF($A63="","",SUMIFS(DITARI!$F:$F,DITARI!$D:$D,$A63))</f>
        <v/>
      </c>
      <c r="F63" s="101" t="str">
        <f aca="false">IF($A63="","",SUMIFS(DITARI!$G:$G,DITARI!$D:$D,$A63))</f>
        <v/>
      </c>
      <c r="G63" s="101" t="str">
        <f aca="false">IF($A63="","",$E63-$F63)</f>
        <v/>
      </c>
    </row>
    <row r="64" customFormat="false" ht="15" hidden="false" customHeight="true" outlineLevel="0" collapsed="false">
      <c r="A64" s="101" t="str">
        <f aca="false">IFERROR(INDEX(DITARI!$D$6:$D$550,MATCH(0,COUNTIF($A$1:A63,DITARI!$D$6:$D$550)+(DITARI!$D$6:$D$550=""),0)),"")</f>
        <v/>
      </c>
      <c r="B64" s="101" t="str">
        <f aca="false">IF($A64="","",IFERROR(VLOOKUP($A64,PLANI_LLOGARIVE!$A:$I,2,FALSE()),"⚠ Nuk është te PLANI_LLOGARIVE"))</f>
        <v/>
      </c>
      <c r="C64" s="101" t="str">
        <f aca="false">IF($A64="","",IFERROR(VLOOKUP($A64,PLANI_LLOGARIVE!$A:$I,9,FALSE()),""))</f>
        <v/>
      </c>
      <c r="D64" s="101" t="str">
        <f aca="false">IF($A64="","",COUNTIF(DITARI!$D:$D,$A64))</f>
        <v/>
      </c>
      <c r="E64" s="101" t="str">
        <f aca="false">IF($A64="","",SUMIFS(DITARI!$F:$F,DITARI!$D:$D,$A64))</f>
        <v/>
      </c>
      <c r="F64" s="101" t="str">
        <f aca="false">IF($A64="","",SUMIFS(DITARI!$G:$G,DITARI!$D:$D,$A64))</f>
        <v/>
      </c>
      <c r="G64" s="101" t="str">
        <f aca="false">IF($A64="","",$E64-$F64)</f>
        <v/>
      </c>
    </row>
    <row r="65" customFormat="false" ht="15" hidden="false" customHeight="true" outlineLevel="0" collapsed="false">
      <c r="A65" s="101" t="str">
        <f aca="false">IFERROR(INDEX(DITARI!$D$6:$D$550,MATCH(0,COUNTIF($A$1:A64,DITARI!$D$6:$D$550)+(DITARI!$D$6:$D$550=""),0)),"")</f>
        <v/>
      </c>
      <c r="B65" s="101" t="str">
        <f aca="false">IF($A65="","",IFERROR(VLOOKUP($A65,PLANI_LLOGARIVE!$A:$I,2,FALSE()),"⚠ Nuk është te PLANI_LLOGARIVE"))</f>
        <v/>
      </c>
      <c r="C65" s="101" t="str">
        <f aca="false">IF($A65="","",IFERROR(VLOOKUP($A65,PLANI_LLOGARIVE!$A:$I,9,FALSE()),""))</f>
        <v/>
      </c>
      <c r="D65" s="101" t="str">
        <f aca="false">IF($A65="","",COUNTIF(DITARI!$D:$D,$A65))</f>
        <v/>
      </c>
      <c r="E65" s="101" t="str">
        <f aca="false">IF($A65="","",SUMIFS(DITARI!$F:$F,DITARI!$D:$D,$A65))</f>
        <v/>
      </c>
      <c r="F65" s="101" t="str">
        <f aca="false">IF($A65="","",SUMIFS(DITARI!$G:$G,DITARI!$D:$D,$A65))</f>
        <v/>
      </c>
      <c r="G65" s="101" t="str">
        <f aca="false">IF($A65="","",$E65-$F65)</f>
        <v/>
      </c>
    </row>
    <row r="66" customFormat="false" ht="15" hidden="false" customHeight="true" outlineLevel="0" collapsed="false">
      <c r="A66" s="101" t="str">
        <f aca="false">IFERROR(INDEX(DITARI!$D$6:$D$550,MATCH(0,COUNTIF($A$1:A65,DITARI!$D$6:$D$550)+(DITARI!$D$6:$D$550=""),0)),"")</f>
        <v/>
      </c>
      <c r="B66" s="101" t="str">
        <f aca="false">IF($A66="","",IFERROR(VLOOKUP($A66,PLANI_LLOGARIVE!$A:$I,2,FALSE()),"⚠ Nuk është te PLANI_LLOGARIVE"))</f>
        <v/>
      </c>
      <c r="C66" s="101" t="str">
        <f aca="false">IF($A66="","",IFERROR(VLOOKUP($A66,PLANI_LLOGARIVE!$A:$I,9,FALSE()),""))</f>
        <v/>
      </c>
      <c r="D66" s="101" t="str">
        <f aca="false">IF($A66="","",COUNTIF(DITARI!$D:$D,$A66))</f>
        <v/>
      </c>
      <c r="E66" s="101" t="str">
        <f aca="false">IF($A66="","",SUMIFS(DITARI!$F:$F,DITARI!$D:$D,$A66))</f>
        <v/>
      </c>
      <c r="F66" s="101" t="str">
        <f aca="false">IF($A66="","",SUMIFS(DITARI!$G:$G,DITARI!$D:$D,$A66))</f>
        <v/>
      </c>
      <c r="G66" s="101" t="str">
        <f aca="false">IF($A66="","",$E66-$F66)</f>
        <v/>
      </c>
    </row>
    <row r="67" customFormat="false" ht="15" hidden="false" customHeight="true" outlineLevel="0" collapsed="false">
      <c r="A67" s="101" t="str">
        <f aca="false">IFERROR(INDEX(DITARI!$D$6:$D$550,MATCH(0,COUNTIF($A$1:A66,DITARI!$D$6:$D$550)+(DITARI!$D$6:$D$550=""),0)),"")</f>
        <v/>
      </c>
      <c r="B67" s="101" t="str">
        <f aca="false">IF($A67="","",IFERROR(VLOOKUP($A67,PLANI_LLOGARIVE!$A:$I,2,FALSE()),"⚠ Nuk është te PLANI_LLOGARIVE"))</f>
        <v/>
      </c>
      <c r="C67" s="101" t="str">
        <f aca="false">IF($A67="","",IFERROR(VLOOKUP($A67,PLANI_LLOGARIVE!$A:$I,9,FALSE()),""))</f>
        <v/>
      </c>
      <c r="D67" s="101" t="str">
        <f aca="false">IF($A67="","",COUNTIF(DITARI!$D:$D,$A67))</f>
        <v/>
      </c>
      <c r="E67" s="101" t="str">
        <f aca="false">IF($A67="","",SUMIFS(DITARI!$F:$F,DITARI!$D:$D,$A67))</f>
        <v/>
      </c>
      <c r="F67" s="101" t="str">
        <f aca="false">IF($A67="","",SUMIFS(DITARI!$G:$G,DITARI!$D:$D,$A67))</f>
        <v/>
      </c>
      <c r="G67" s="101" t="str">
        <f aca="false">IF($A67="","",$E67-$F67)</f>
        <v/>
      </c>
    </row>
    <row r="68" customFormat="false" ht="15" hidden="false" customHeight="true" outlineLevel="0" collapsed="false">
      <c r="A68" s="101" t="str">
        <f aca="false">IFERROR(INDEX(DITARI!$D$6:$D$550,MATCH(0,COUNTIF($A$1:A67,DITARI!$D$6:$D$550)+(DITARI!$D$6:$D$550=""),0)),"")</f>
        <v/>
      </c>
      <c r="B68" s="101" t="str">
        <f aca="false">IF($A68="","",IFERROR(VLOOKUP($A68,PLANI_LLOGARIVE!$A:$I,2,FALSE()),"⚠ Nuk është te PLANI_LLOGARIVE"))</f>
        <v/>
      </c>
      <c r="C68" s="101" t="str">
        <f aca="false">IF($A68="","",IFERROR(VLOOKUP($A68,PLANI_LLOGARIVE!$A:$I,9,FALSE()),""))</f>
        <v/>
      </c>
      <c r="D68" s="101" t="str">
        <f aca="false">IF($A68="","",COUNTIF(DITARI!$D:$D,$A68))</f>
        <v/>
      </c>
      <c r="E68" s="101" t="str">
        <f aca="false">IF($A68="","",SUMIFS(DITARI!$F:$F,DITARI!$D:$D,$A68))</f>
        <v/>
      </c>
      <c r="F68" s="101" t="str">
        <f aca="false">IF($A68="","",SUMIFS(DITARI!$G:$G,DITARI!$D:$D,$A68))</f>
        <v/>
      </c>
      <c r="G68" s="101" t="str">
        <f aca="false">IF($A68="","",$E68-$F68)</f>
        <v/>
      </c>
    </row>
    <row r="69" customFormat="false" ht="15" hidden="false" customHeight="true" outlineLevel="0" collapsed="false">
      <c r="A69" s="101" t="str">
        <f aca="false">IFERROR(INDEX(DITARI!$D$6:$D$550,MATCH(0,COUNTIF($A$1:A68,DITARI!$D$6:$D$550)+(DITARI!$D$6:$D$550=""),0)),"")</f>
        <v/>
      </c>
      <c r="B69" s="101" t="str">
        <f aca="false">IF($A69="","",IFERROR(VLOOKUP($A69,PLANI_LLOGARIVE!$A:$I,2,FALSE()),"⚠ Nuk është te PLANI_LLOGARIVE"))</f>
        <v/>
      </c>
      <c r="C69" s="101" t="str">
        <f aca="false">IF($A69="","",IFERROR(VLOOKUP($A69,PLANI_LLOGARIVE!$A:$I,9,FALSE()),""))</f>
        <v/>
      </c>
      <c r="D69" s="101" t="str">
        <f aca="false">IF($A69="","",COUNTIF(DITARI!$D:$D,$A69))</f>
        <v/>
      </c>
      <c r="E69" s="101" t="str">
        <f aca="false">IF($A69="","",SUMIFS(DITARI!$F:$F,DITARI!$D:$D,$A69))</f>
        <v/>
      </c>
      <c r="F69" s="101" t="str">
        <f aca="false">IF($A69="","",SUMIFS(DITARI!$G:$G,DITARI!$D:$D,$A69))</f>
        <v/>
      </c>
      <c r="G69" s="101" t="str">
        <f aca="false">IF($A69="","",$E69-$F69)</f>
        <v/>
      </c>
    </row>
    <row r="70" customFormat="false" ht="15" hidden="false" customHeight="true" outlineLevel="0" collapsed="false">
      <c r="A70" s="101" t="str">
        <f aca="false">IFERROR(INDEX(DITARI!$D$6:$D$550,MATCH(0,COUNTIF($A$1:A69,DITARI!$D$6:$D$550)+(DITARI!$D$6:$D$550=""),0)),"")</f>
        <v/>
      </c>
      <c r="B70" s="101" t="str">
        <f aca="false">IF($A70="","",IFERROR(VLOOKUP($A70,PLANI_LLOGARIVE!$A:$I,2,FALSE()),"⚠ Nuk është te PLANI_LLOGARIVE"))</f>
        <v/>
      </c>
      <c r="C70" s="101" t="str">
        <f aca="false">IF($A70="","",IFERROR(VLOOKUP($A70,PLANI_LLOGARIVE!$A:$I,9,FALSE()),""))</f>
        <v/>
      </c>
      <c r="D70" s="101" t="str">
        <f aca="false">IF($A70="","",COUNTIF(DITARI!$D:$D,$A70))</f>
        <v/>
      </c>
      <c r="E70" s="101" t="str">
        <f aca="false">IF($A70="","",SUMIFS(DITARI!$F:$F,DITARI!$D:$D,$A70))</f>
        <v/>
      </c>
      <c r="F70" s="101" t="str">
        <f aca="false">IF($A70="","",SUMIFS(DITARI!$G:$G,DITARI!$D:$D,$A70))</f>
        <v/>
      </c>
      <c r="G70" s="101" t="str">
        <f aca="false">IF($A70="","",$E70-$F70)</f>
        <v/>
      </c>
    </row>
    <row r="71" customFormat="false" ht="15" hidden="false" customHeight="true" outlineLevel="0" collapsed="false">
      <c r="A71" s="101" t="str">
        <f aca="false">IFERROR(INDEX(DITARI!$D$6:$D$550,MATCH(0,COUNTIF($A$1:A70,DITARI!$D$6:$D$550)+(DITARI!$D$6:$D$550=""),0)),"")</f>
        <v/>
      </c>
      <c r="B71" s="101" t="str">
        <f aca="false">IF($A71="","",IFERROR(VLOOKUP($A71,PLANI_LLOGARIVE!$A:$I,2,FALSE()),"⚠ Nuk është te PLANI_LLOGARIVE"))</f>
        <v/>
      </c>
      <c r="C71" s="101" t="str">
        <f aca="false">IF($A71="","",IFERROR(VLOOKUP($A71,PLANI_LLOGARIVE!$A:$I,9,FALSE()),""))</f>
        <v/>
      </c>
      <c r="D71" s="101" t="str">
        <f aca="false">IF($A71="","",COUNTIF(DITARI!$D:$D,$A71))</f>
        <v/>
      </c>
      <c r="E71" s="101" t="str">
        <f aca="false">IF($A71="","",SUMIFS(DITARI!$F:$F,DITARI!$D:$D,$A71))</f>
        <v/>
      </c>
      <c r="F71" s="101" t="str">
        <f aca="false">IF($A71="","",SUMIFS(DITARI!$G:$G,DITARI!$D:$D,$A71))</f>
        <v/>
      </c>
      <c r="G71" s="101" t="str">
        <f aca="false">IF($A71="","",$E71-$F71)</f>
        <v/>
      </c>
    </row>
    <row r="72" customFormat="false" ht="15" hidden="false" customHeight="true" outlineLevel="0" collapsed="false">
      <c r="A72" s="101" t="str">
        <f aca="false">IFERROR(INDEX(DITARI!$D$6:$D$550,MATCH(0,COUNTIF($A$1:A71,DITARI!$D$6:$D$550)+(DITARI!$D$6:$D$550=""),0)),"")</f>
        <v/>
      </c>
      <c r="B72" s="101" t="str">
        <f aca="false">IF($A72="","",IFERROR(VLOOKUP($A72,PLANI_LLOGARIVE!$A:$I,2,FALSE()),"⚠ Nuk është te PLANI_LLOGARIVE"))</f>
        <v/>
      </c>
      <c r="C72" s="101" t="str">
        <f aca="false">IF($A72="","",IFERROR(VLOOKUP($A72,PLANI_LLOGARIVE!$A:$I,9,FALSE()),""))</f>
        <v/>
      </c>
      <c r="D72" s="101" t="str">
        <f aca="false">IF($A72="","",COUNTIF(DITARI!$D:$D,$A72))</f>
        <v/>
      </c>
      <c r="E72" s="101" t="str">
        <f aca="false">IF($A72="","",SUMIFS(DITARI!$F:$F,DITARI!$D:$D,$A72))</f>
        <v/>
      </c>
      <c r="F72" s="101" t="str">
        <f aca="false">IF($A72="","",SUMIFS(DITARI!$G:$G,DITARI!$D:$D,$A72))</f>
        <v/>
      </c>
      <c r="G72" s="101" t="str">
        <f aca="false">IF($A72="","",$E72-$F72)</f>
        <v/>
      </c>
    </row>
    <row r="73" customFormat="false" ht="15" hidden="false" customHeight="true" outlineLevel="0" collapsed="false">
      <c r="A73" s="101" t="str">
        <f aca="false">IFERROR(INDEX(DITARI!$D$6:$D$550,MATCH(0,COUNTIF($A$1:A72,DITARI!$D$6:$D$550)+(DITARI!$D$6:$D$550=""),0)),"")</f>
        <v/>
      </c>
      <c r="B73" s="101" t="str">
        <f aca="false">IF($A73="","",IFERROR(VLOOKUP($A73,PLANI_LLOGARIVE!$A:$I,2,FALSE()),"⚠ Nuk është te PLANI_LLOGARIVE"))</f>
        <v/>
      </c>
      <c r="C73" s="101" t="str">
        <f aca="false">IF($A73="","",IFERROR(VLOOKUP($A73,PLANI_LLOGARIVE!$A:$I,9,FALSE()),""))</f>
        <v/>
      </c>
      <c r="D73" s="101" t="str">
        <f aca="false">IF($A73="","",COUNTIF(DITARI!$D:$D,$A73))</f>
        <v/>
      </c>
      <c r="E73" s="101" t="str">
        <f aca="false">IF($A73="","",SUMIFS(DITARI!$F:$F,DITARI!$D:$D,$A73))</f>
        <v/>
      </c>
      <c r="F73" s="101" t="str">
        <f aca="false">IF($A73="","",SUMIFS(DITARI!$G:$G,DITARI!$D:$D,$A73))</f>
        <v/>
      </c>
      <c r="G73" s="101" t="str">
        <f aca="false">IF($A73="","",$E73-$F73)</f>
        <v/>
      </c>
    </row>
    <row r="74" customFormat="false" ht="15" hidden="false" customHeight="true" outlineLevel="0" collapsed="false">
      <c r="A74" s="101" t="str">
        <f aca="false">IFERROR(INDEX(DITARI!$D$6:$D$550,MATCH(0,COUNTIF($A$1:A73,DITARI!$D$6:$D$550)+(DITARI!$D$6:$D$550=""),0)),"")</f>
        <v/>
      </c>
      <c r="B74" s="101" t="str">
        <f aca="false">IF($A74="","",IFERROR(VLOOKUP($A74,PLANI_LLOGARIVE!$A:$I,2,FALSE()),"⚠ Nuk është te PLANI_LLOGARIVE"))</f>
        <v/>
      </c>
      <c r="C74" s="101" t="str">
        <f aca="false">IF($A74="","",IFERROR(VLOOKUP($A74,PLANI_LLOGARIVE!$A:$I,9,FALSE()),""))</f>
        <v/>
      </c>
      <c r="D74" s="101" t="str">
        <f aca="false">IF($A74="","",COUNTIF(DITARI!$D:$D,$A74))</f>
        <v/>
      </c>
      <c r="E74" s="101" t="str">
        <f aca="false">IF($A74="","",SUMIFS(DITARI!$F:$F,DITARI!$D:$D,$A74))</f>
        <v/>
      </c>
      <c r="F74" s="101" t="str">
        <f aca="false">IF($A74="","",SUMIFS(DITARI!$G:$G,DITARI!$D:$D,$A74))</f>
        <v/>
      </c>
      <c r="G74" s="101" t="str">
        <f aca="false">IF($A74="","",$E74-$F74)</f>
        <v/>
      </c>
    </row>
    <row r="75" customFormat="false" ht="15" hidden="false" customHeight="true" outlineLevel="0" collapsed="false">
      <c r="A75" s="101" t="str">
        <f aca="false">IFERROR(INDEX(DITARI!$D$6:$D$550,MATCH(0,COUNTIF($A$1:A74,DITARI!$D$6:$D$550)+(DITARI!$D$6:$D$550=""),0)),"")</f>
        <v/>
      </c>
      <c r="B75" s="101" t="str">
        <f aca="false">IF($A75="","",IFERROR(VLOOKUP($A75,PLANI_LLOGARIVE!$A:$I,2,FALSE()),"⚠ Nuk është te PLANI_LLOGARIVE"))</f>
        <v/>
      </c>
      <c r="C75" s="101" t="str">
        <f aca="false">IF($A75="","",IFERROR(VLOOKUP($A75,PLANI_LLOGARIVE!$A:$I,9,FALSE()),""))</f>
        <v/>
      </c>
      <c r="D75" s="101" t="str">
        <f aca="false">IF($A75="","",COUNTIF(DITARI!$D:$D,$A75))</f>
        <v/>
      </c>
      <c r="E75" s="101" t="str">
        <f aca="false">IF($A75="","",SUMIFS(DITARI!$F:$F,DITARI!$D:$D,$A75))</f>
        <v/>
      </c>
      <c r="F75" s="101" t="str">
        <f aca="false">IF($A75="","",SUMIFS(DITARI!$G:$G,DITARI!$D:$D,$A75))</f>
        <v/>
      </c>
      <c r="G75" s="101" t="str">
        <f aca="false">IF($A75="","",$E75-$F75)</f>
        <v/>
      </c>
    </row>
    <row r="76" customFormat="false" ht="15" hidden="false" customHeight="true" outlineLevel="0" collapsed="false">
      <c r="A76" s="101" t="str">
        <f aca="false">IFERROR(INDEX(DITARI!$D$6:$D$550,MATCH(0,COUNTIF($A$1:A75,DITARI!$D$6:$D$550)+(DITARI!$D$6:$D$550=""),0)),"")</f>
        <v/>
      </c>
      <c r="B76" s="101" t="str">
        <f aca="false">IF($A76="","",IFERROR(VLOOKUP($A76,PLANI_LLOGARIVE!$A:$I,2,FALSE()),"⚠ Nuk është te PLANI_LLOGARIVE"))</f>
        <v/>
      </c>
      <c r="C76" s="101" t="str">
        <f aca="false">IF($A76="","",IFERROR(VLOOKUP($A76,PLANI_LLOGARIVE!$A:$I,9,FALSE()),""))</f>
        <v/>
      </c>
      <c r="D76" s="101" t="str">
        <f aca="false">IF($A76="","",COUNTIF(DITARI!$D:$D,$A76))</f>
        <v/>
      </c>
      <c r="E76" s="101" t="str">
        <f aca="false">IF($A76="","",SUMIFS(DITARI!$F:$F,DITARI!$D:$D,$A76))</f>
        <v/>
      </c>
      <c r="F76" s="101" t="str">
        <f aca="false">IF($A76="","",SUMIFS(DITARI!$G:$G,DITARI!$D:$D,$A76))</f>
        <v/>
      </c>
      <c r="G76" s="101" t="str">
        <f aca="false">IF($A76="","",$E76-$F76)</f>
        <v/>
      </c>
    </row>
    <row r="77" customFormat="false" ht="15" hidden="false" customHeight="true" outlineLevel="0" collapsed="false">
      <c r="A77" s="101" t="str">
        <f aca="false">IFERROR(INDEX(DITARI!$D$6:$D$550,MATCH(0,COUNTIF($A$1:A76,DITARI!$D$6:$D$550)+(DITARI!$D$6:$D$550=""),0)),"")</f>
        <v/>
      </c>
      <c r="B77" s="101" t="str">
        <f aca="false">IF($A77="","",IFERROR(VLOOKUP($A77,PLANI_LLOGARIVE!$A:$I,2,FALSE()),"⚠ Nuk është te PLANI_LLOGARIVE"))</f>
        <v/>
      </c>
      <c r="C77" s="101" t="str">
        <f aca="false">IF($A77="","",IFERROR(VLOOKUP($A77,PLANI_LLOGARIVE!$A:$I,9,FALSE()),""))</f>
        <v/>
      </c>
      <c r="D77" s="101" t="str">
        <f aca="false">IF($A77="","",COUNTIF(DITARI!$D:$D,$A77))</f>
        <v/>
      </c>
      <c r="E77" s="101" t="str">
        <f aca="false">IF($A77="","",SUMIFS(DITARI!$F:$F,DITARI!$D:$D,$A77))</f>
        <v/>
      </c>
      <c r="F77" s="101" t="str">
        <f aca="false">IF($A77="","",SUMIFS(DITARI!$G:$G,DITARI!$D:$D,$A77))</f>
        <v/>
      </c>
      <c r="G77" s="101" t="str">
        <f aca="false">IF($A77="","",$E77-$F77)</f>
        <v/>
      </c>
    </row>
    <row r="78" customFormat="false" ht="15" hidden="false" customHeight="true" outlineLevel="0" collapsed="false">
      <c r="A78" s="101" t="str">
        <f aca="false">IFERROR(INDEX(DITARI!$D$6:$D$550,MATCH(0,COUNTIF($A$1:A77,DITARI!$D$6:$D$550)+(DITARI!$D$6:$D$550=""),0)),"")</f>
        <v/>
      </c>
      <c r="B78" s="101" t="str">
        <f aca="false">IF($A78="","",IFERROR(VLOOKUP($A78,PLANI_LLOGARIVE!$A:$I,2,FALSE()),"⚠ Nuk është te PLANI_LLOGARIVE"))</f>
        <v/>
      </c>
      <c r="C78" s="101" t="str">
        <f aca="false">IF($A78="","",IFERROR(VLOOKUP($A78,PLANI_LLOGARIVE!$A:$I,9,FALSE()),""))</f>
        <v/>
      </c>
      <c r="D78" s="101" t="str">
        <f aca="false">IF($A78="","",COUNTIF(DITARI!$D:$D,$A78))</f>
        <v/>
      </c>
      <c r="E78" s="101" t="str">
        <f aca="false">IF($A78="","",SUMIFS(DITARI!$F:$F,DITARI!$D:$D,$A78))</f>
        <v/>
      </c>
      <c r="F78" s="101" t="str">
        <f aca="false">IF($A78="","",SUMIFS(DITARI!$G:$G,DITARI!$D:$D,$A78))</f>
        <v/>
      </c>
      <c r="G78" s="101" t="str">
        <f aca="false">IF($A78="","",$E78-$F78)</f>
        <v/>
      </c>
    </row>
    <row r="79" customFormat="false" ht="15" hidden="false" customHeight="true" outlineLevel="0" collapsed="false">
      <c r="A79" s="101" t="str">
        <f aca="false">IFERROR(INDEX(DITARI!$D$6:$D$550,MATCH(0,COUNTIF($A$1:A78,DITARI!$D$6:$D$550)+(DITARI!$D$6:$D$550=""),0)),"")</f>
        <v/>
      </c>
      <c r="B79" s="101" t="str">
        <f aca="false">IF($A79="","",IFERROR(VLOOKUP($A79,PLANI_LLOGARIVE!$A:$I,2,FALSE()),"⚠ Nuk është te PLANI_LLOGARIVE"))</f>
        <v/>
      </c>
      <c r="C79" s="101" t="str">
        <f aca="false">IF($A79="","",IFERROR(VLOOKUP($A79,PLANI_LLOGARIVE!$A:$I,9,FALSE()),""))</f>
        <v/>
      </c>
      <c r="D79" s="101" t="str">
        <f aca="false">IF($A79="","",COUNTIF(DITARI!$D:$D,$A79))</f>
        <v/>
      </c>
      <c r="E79" s="101" t="str">
        <f aca="false">IF($A79="","",SUMIFS(DITARI!$F:$F,DITARI!$D:$D,$A79))</f>
        <v/>
      </c>
      <c r="F79" s="101" t="str">
        <f aca="false">IF($A79="","",SUMIFS(DITARI!$G:$G,DITARI!$D:$D,$A79))</f>
        <v/>
      </c>
      <c r="G79" s="101" t="str">
        <f aca="false">IF($A79="","",$E79-$F79)</f>
        <v/>
      </c>
    </row>
    <row r="80" customFormat="false" ht="15" hidden="false" customHeight="true" outlineLevel="0" collapsed="false">
      <c r="A80" s="101" t="str">
        <f aca="false">IFERROR(INDEX(DITARI!$D$6:$D$550,MATCH(0,COUNTIF($A$1:A79,DITARI!$D$6:$D$550)+(DITARI!$D$6:$D$550=""),0)),"")</f>
        <v/>
      </c>
      <c r="B80" s="101" t="str">
        <f aca="false">IF($A80="","",IFERROR(VLOOKUP($A80,PLANI_LLOGARIVE!$A:$I,2,FALSE()),"⚠ Nuk është te PLANI_LLOGARIVE"))</f>
        <v/>
      </c>
      <c r="C80" s="101" t="str">
        <f aca="false">IF($A80="","",IFERROR(VLOOKUP($A80,PLANI_LLOGARIVE!$A:$I,9,FALSE()),""))</f>
        <v/>
      </c>
      <c r="D80" s="101" t="str">
        <f aca="false">IF($A80="","",COUNTIF(DITARI!$D:$D,$A80))</f>
        <v/>
      </c>
      <c r="E80" s="101" t="str">
        <f aca="false">IF($A80="","",SUMIFS(DITARI!$F:$F,DITARI!$D:$D,$A80))</f>
        <v/>
      </c>
      <c r="F80" s="101" t="str">
        <f aca="false">IF($A80="","",SUMIFS(DITARI!$G:$G,DITARI!$D:$D,$A80))</f>
        <v/>
      </c>
      <c r="G80" s="101" t="str">
        <f aca="false">IF($A80="","",$E80-$F80)</f>
        <v/>
      </c>
    </row>
    <row r="81" customFormat="false" ht="15" hidden="false" customHeight="true" outlineLevel="0" collapsed="false">
      <c r="A81" s="101" t="str">
        <f aca="false">IFERROR(INDEX(DITARI!$D$6:$D$550,MATCH(0,COUNTIF($A$1:A80,DITARI!$D$6:$D$550)+(DITARI!$D$6:$D$550=""),0)),"")</f>
        <v/>
      </c>
      <c r="B81" s="101" t="str">
        <f aca="false">IF($A81="","",IFERROR(VLOOKUP($A81,PLANI_LLOGARIVE!$A:$I,2,FALSE()),"⚠ Nuk është te PLANI_LLOGARIVE"))</f>
        <v/>
      </c>
      <c r="C81" s="101" t="str">
        <f aca="false">IF($A81="","",IFERROR(VLOOKUP($A81,PLANI_LLOGARIVE!$A:$I,9,FALSE()),""))</f>
        <v/>
      </c>
      <c r="D81" s="101" t="str">
        <f aca="false">IF($A81="","",COUNTIF(DITARI!$D:$D,$A81))</f>
        <v/>
      </c>
      <c r="E81" s="101" t="str">
        <f aca="false">IF($A81="","",SUMIFS(DITARI!$F:$F,DITARI!$D:$D,$A81))</f>
        <v/>
      </c>
      <c r="F81" s="101" t="str">
        <f aca="false">IF($A81="","",SUMIFS(DITARI!$G:$G,DITARI!$D:$D,$A81))</f>
        <v/>
      </c>
      <c r="G81" s="101" t="str">
        <f aca="false">IF($A81="","",$E81-$F81)</f>
        <v/>
      </c>
    </row>
    <row r="82" customFormat="false" ht="15" hidden="false" customHeight="true" outlineLevel="0" collapsed="false">
      <c r="A82" s="101" t="str">
        <f aca="false">IFERROR(INDEX(DITARI!$D$6:$D$550,MATCH(0,COUNTIF($A$1:A81,DITARI!$D$6:$D$550)+(DITARI!$D$6:$D$550=""),0)),"")</f>
        <v/>
      </c>
      <c r="B82" s="101" t="str">
        <f aca="false">IF($A82="","",IFERROR(VLOOKUP($A82,PLANI_LLOGARIVE!$A:$I,2,FALSE()),"⚠ Nuk është te PLANI_LLOGARIVE"))</f>
        <v/>
      </c>
      <c r="C82" s="101" t="str">
        <f aca="false">IF($A82="","",IFERROR(VLOOKUP($A82,PLANI_LLOGARIVE!$A:$I,9,FALSE()),""))</f>
        <v/>
      </c>
      <c r="D82" s="101" t="str">
        <f aca="false">IF($A82="","",COUNTIF(DITARI!$D:$D,$A82))</f>
        <v/>
      </c>
      <c r="E82" s="101" t="str">
        <f aca="false">IF($A82="","",SUMIFS(DITARI!$F:$F,DITARI!$D:$D,$A82))</f>
        <v/>
      </c>
      <c r="F82" s="101" t="str">
        <f aca="false">IF($A82="","",SUMIFS(DITARI!$G:$G,DITARI!$D:$D,$A82))</f>
        <v/>
      </c>
      <c r="G82" s="101" t="str">
        <f aca="false">IF($A82="","",$E82-$F82)</f>
        <v/>
      </c>
    </row>
    <row r="83" customFormat="false" ht="15" hidden="false" customHeight="true" outlineLevel="0" collapsed="false">
      <c r="A83" s="101" t="str">
        <f aca="false">IFERROR(INDEX(DITARI!$D$6:$D$550,MATCH(0,COUNTIF($A$1:A82,DITARI!$D$6:$D$550)+(DITARI!$D$6:$D$550=""),0)),"")</f>
        <v/>
      </c>
      <c r="B83" s="101" t="str">
        <f aca="false">IF($A83="","",IFERROR(VLOOKUP($A83,PLANI_LLOGARIVE!$A:$I,2,FALSE()),"⚠ Nuk është te PLANI_LLOGARIVE"))</f>
        <v/>
      </c>
      <c r="C83" s="101" t="str">
        <f aca="false">IF($A83="","",IFERROR(VLOOKUP($A83,PLANI_LLOGARIVE!$A:$I,9,FALSE()),""))</f>
        <v/>
      </c>
      <c r="D83" s="101" t="str">
        <f aca="false">IF($A83="","",COUNTIF(DITARI!$D:$D,$A83))</f>
        <v/>
      </c>
      <c r="E83" s="101" t="str">
        <f aca="false">IF($A83="","",SUMIFS(DITARI!$F:$F,DITARI!$D:$D,$A83))</f>
        <v/>
      </c>
      <c r="F83" s="101" t="str">
        <f aca="false">IF($A83="","",SUMIFS(DITARI!$G:$G,DITARI!$D:$D,$A83))</f>
        <v/>
      </c>
      <c r="G83" s="101" t="str">
        <f aca="false">IF($A83="","",$E83-$F83)</f>
        <v/>
      </c>
    </row>
    <row r="84" customFormat="false" ht="15" hidden="false" customHeight="true" outlineLevel="0" collapsed="false">
      <c r="A84" s="101" t="str">
        <f aca="false">IFERROR(INDEX(DITARI!$D$6:$D$550,MATCH(0,COUNTIF($A$1:A83,DITARI!$D$6:$D$550)+(DITARI!$D$6:$D$550=""),0)),"")</f>
        <v/>
      </c>
      <c r="B84" s="101" t="str">
        <f aca="false">IF($A84="","",IFERROR(VLOOKUP($A84,PLANI_LLOGARIVE!$A:$I,2,FALSE()),"⚠ Nuk është te PLANI_LLOGARIVE"))</f>
        <v/>
      </c>
      <c r="C84" s="101" t="str">
        <f aca="false">IF($A84="","",IFERROR(VLOOKUP($A84,PLANI_LLOGARIVE!$A:$I,9,FALSE()),""))</f>
        <v/>
      </c>
      <c r="D84" s="101" t="str">
        <f aca="false">IF($A84="","",COUNTIF(DITARI!$D:$D,$A84))</f>
        <v/>
      </c>
      <c r="E84" s="101" t="str">
        <f aca="false">IF($A84="","",SUMIFS(DITARI!$F:$F,DITARI!$D:$D,$A84))</f>
        <v/>
      </c>
      <c r="F84" s="101" t="str">
        <f aca="false">IF($A84="","",SUMIFS(DITARI!$G:$G,DITARI!$D:$D,$A84))</f>
        <v/>
      </c>
      <c r="G84" s="101" t="str">
        <f aca="false">IF($A84="","",$E84-$F84)</f>
        <v/>
      </c>
    </row>
    <row r="85" customFormat="false" ht="15" hidden="false" customHeight="true" outlineLevel="0" collapsed="false">
      <c r="A85" s="101" t="str">
        <f aca="false">IFERROR(INDEX(DITARI!$D$6:$D$550,MATCH(0,COUNTIF($A$1:A84,DITARI!$D$6:$D$550)+(DITARI!$D$6:$D$550=""),0)),"")</f>
        <v/>
      </c>
      <c r="B85" s="101" t="str">
        <f aca="false">IF($A85="","",IFERROR(VLOOKUP($A85,PLANI_LLOGARIVE!$A:$I,2,FALSE()),"⚠ Nuk është te PLANI_LLOGARIVE"))</f>
        <v/>
      </c>
      <c r="C85" s="101" t="str">
        <f aca="false">IF($A85="","",IFERROR(VLOOKUP($A85,PLANI_LLOGARIVE!$A:$I,9,FALSE()),""))</f>
        <v/>
      </c>
      <c r="D85" s="101" t="str">
        <f aca="false">IF($A85="","",COUNTIF(DITARI!$D:$D,$A85))</f>
        <v/>
      </c>
      <c r="E85" s="101" t="str">
        <f aca="false">IF($A85="","",SUMIFS(DITARI!$F:$F,DITARI!$D:$D,$A85))</f>
        <v/>
      </c>
      <c r="F85" s="101" t="str">
        <f aca="false">IF($A85="","",SUMIFS(DITARI!$G:$G,DITARI!$D:$D,$A85))</f>
        <v/>
      </c>
      <c r="G85" s="101" t="str">
        <f aca="false">IF($A85="","",$E85-$F85)</f>
        <v/>
      </c>
    </row>
    <row r="86" customFormat="false" ht="15" hidden="false" customHeight="true" outlineLevel="0" collapsed="false">
      <c r="A86" s="101" t="str">
        <f aca="false">IFERROR(INDEX(DITARI!$D$6:$D$550,MATCH(0,COUNTIF($A$1:A85,DITARI!$D$6:$D$550)+(DITARI!$D$6:$D$550=""),0)),"")</f>
        <v/>
      </c>
      <c r="B86" s="101" t="str">
        <f aca="false">IF($A86="","",IFERROR(VLOOKUP($A86,PLANI_LLOGARIVE!$A:$I,2,FALSE()),"⚠ Nuk është te PLANI_LLOGARIVE"))</f>
        <v/>
      </c>
      <c r="C86" s="101" t="str">
        <f aca="false">IF($A86="","",IFERROR(VLOOKUP($A86,PLANI_LLOGARIVE!$A:$I,9,FALSE()),""))</f>
        <v/>
      </c>
      <c r="D86" s="101" t="str">
        <f aca="false">IF($A86="","",COUNTIF(DITARI!$D:$D,$A86))</f>
        <v/>
      </c>
      <c r="E86" s="101" t="str">
        <f aca="false">IF($A86="","",SUMIFS(DITARI!$F:$F,DITARI!$D:$D,$A86))</f>
        <v/>
      </c>
      <c r="F86" s="101" t="str">
        <f aca="false">IF($A86="","",SUMIFS(DITARI!$G:$G,DITARI!$D:$D,$A86))</f>
        <v/>
      </c>
      <c r="G86" s="101" t="str">
        <f aca="false">IF($A86="","",$E86-$F86)</f>
        <v/>
      </c>
    </row>
    <row r="87" customFormat="false" ht="15" hidden="false" customHeight="true" outlineLevel="0" collapsed="false">
      <c r="A87" s="101" t="str">
        <f aca="false">IFERROR(INDEX(DITARI!$D$6:$D$550,MATCH(0,COUNTIF($A$1:A86,DITARI!$D$6:$D$550)+(DITARI!$D$6:$D$550=""),0)),"")</f>
        <v/>
      </c>
      <c r="B87" s="101" t="str">
        <f aca="false">IF($A87="","",IFERROR(VLOOKUP($A87,PLANI_LLOGARIVE!$A:$I,2,FALSE()),"⚠ Nuk është te PLANI_LLOGARIVE"))</f>
        <v/>
      </c>
      <c r="C87" s="101" t="str">
        <f aca="false">IF($A87="","",IFERROR(VLOOKUP($A87,PLANI_LLOGARIVE!$A:$I,9,FALSE()),""))</f>
        <v/>
      </c>
      <c r="D87" s="101" t="str">
        <f aca="false">IF($A87="","",COUNTIF(DITARI!$D:$D,$A87))</f>
        <v/>
      </c>
      <c r="E87" s="101" t="str">
        <f aca="false">IF($A87="","",SUMIFS(DITARI!$F:$F,DITARI!$D:$D,$A87))</f>
        <v/>
      </c>
      <c r="F87" s="101" t="str">
        <f aca="false">IF($A87="","",SUMIFS(DITARI!$G:$G,DITARI!$D:$D,$A87))</f>
        <v/>
      </c>
      <c r="G87" s="101" t="str">
        <f aca="false">IF($A87="","",$E87-$F87)</f>
        <v/>
      </c>
    </row>
    <row r="88" customFormat="false" ht="15" hidden="false" customHeight="true" outlineLevel="0" collapsed="false">
      <c r="A88" s="101" t="str">
        <f aca="false">IFERROR(INDEX(DITARI!$D$6:$D$550,MATCH(0,COUNTIF($A$1:A87,DITARI!$D$6:$D$550)+(DITARI!$D$6:$D$550=""),0)),"")</f>
        <v/>
      </c>
      <c r="B88" s="101" t="str">
        <f aca="false">IF($A88="","",IFERROR(VLOOKUP($A88,PLANI_LLOGARIVE!$A:$I,2,FALSE()),"⚠ Nuk është te PLANI_LLOGARIVE"))</f>
        <v/>
      </c>
      <c r="C88" s="101" t="str">
        <f aca="false">IF($A88="","",IFERROR(VLOOKUP($A88,PLANI_LLOGARIVE!$A:$I,9,FALSE()),""))</f>
        <v/>
      </c>
      <c r="D88" s="101" t="str">
        <f aca="false">IF($A88="","",COUNTIF(DITARI!$D:$D,$A88))</f>
        <v/>
      </c>
      <c r="E88" s="101" t="str">
        <f aca="false">IF($A88="","",SUMIFS(DITARI!$F:$F,DITARI!$D:$D,$A88))</f>
        <v/>
      </c>
      <c r="F88" s="101" t="str">
        <f aca="false">IF($A88="","",SUMIFS(DITARI!$G:$G,DITARI!$D:$D,$A88))</f>
        <v/>
      </c>
      <c r="G88" s="101" t="str">
        <f aca="false">IF($A88="","",$E88-$F88)</f>
        <v/>
      </c>
    </row>
    <row r="89" customFormat="false" ht="15" hidden="false" customHeight="true" outlineLevel="0" collapsed="false">
      <c r="A89" s="101" t="str">
        <f aca="false">IFERROR(INDEX(DITARI!$D$6:$D$550,MATCH(0,COUNTIF($A$1:A88,DITARI!$D$6:$D$550)+(DITARI!$D$6:$D$550=""),0)),"")</f>
        <v/>
      </c>
      <c r="B89" s="101" t="str">
        <f aca="false">IF($A89="","",IFERROR(VLOOKUP($A89,PLANI_LLOGARIVE!$A:$I,2,FALSE()),"⚠ Nuk është te PLANI_LLOGARIVE"))</f>
        <v/>
      </c>
      <c r="C89" s="101" t="str">
        <f aca="false">IF($A89="","",IFERROR(VLOOKUP($A89,PLANI_LLOGARIVE!$A:$I,9,FALSE()),""))</f>
        <v/>
      </c>
      <c r="D89" s="101" t="str">
        <f aca="false">IF($A89="","",COUNTIF(DITARI!$D:$D,$A89))</f>
        <v/>
      </c>
      <c r="E89" s="101" t="str">
        <f aca="false">IF($A89="","",SUMIFS(DITARI!$F:$F,DITARI!$D:$D,$A89))</f>
        <v/>
      </c>
      <c r="F89" s="101" t="str">
        <f aca="false">IF($A89="","",SUMIFS(DITARI!$G:$G,DITARI!$D:$D,$A89))</f>
        <v/>
      </c>
      <c r="G89" s="101" t="str">
        <f aca="false">IF($A89="","",$E89-$F89)</f>
        <v/>
      </c>
    </row>
    <row r="90" customFormat="false" ht="15" hidden="false" customHeight="true" outlineLevel="0" collapsed="false">
      <c r="A90" s="101" t="str">
        <f aca="false">IFERROR(INDEX(DITARI!$D$6:$D$550,MATCH(0,COUNTIF($A$1:A89,DITARI!$D$6:$D$550)+(DITARI!$D$6:$D$550=""),0)),"")</f>
        <v/>
      </c>
      <c r="B90" s="101" t="str">
        <f aca="false">IF($A90="","",IFERROR(VLOOKUP($A90,PLANI_LLOGARIVE!$A:$I,2,FALSE()),"⚠ Nuk është te PLANI_LLOGARIVE"))</f>
        <v/>
      </c>
      <c r="C90" s="101" t="str">
        <f aca="false">IF($A90="","",IFERROR(VLOOKUP($A90,PLANI_LLOGARIVE!$A:$I,9,FALSE()),""))</f>
        <v/>
      </c>
      <c r="D90" s="101" t="str">
        <f aca="false">IF($A90="","",COUNTIF(DITARI!$D:$D,$A90))</f>
        <v/>
      </c>
      <c r="E90" s="101" t="str">
        <f aca="false">IF($A90="","",SUMIFS(DITARI!$F:$F,DITARI!$D:$D,$A90))</f>
        <v/>
      </c>
      <c r="F90" s="101" t="str">
        <f aca="false">IF($A90="","",SUMIFS(DITARI!$G:$G,DITARI!$D:$D,$A90))</f>
        <v/>
      </c>
      <c r="G90" s="101" t="str">
        <f aca="false">IF($A90="","",$E90-$F90)</f>
        <v/>
      </c>
    </row>
    <row r="91" customFormat="false" ht="15" hidden="false" customHeight="true" outlineLevel="0" collapsed="false">
      <c r="A91" s="101" t="str">
        <f aca="false">IFERROR(INDEX(DITARI!$D$6:$D$550,MATCH(0,COUNTIF($A$1:A90,DITARI!$D$6:$D$550)+(DITARI!$D$6:$D$550=""),0)),"")</f>
        <v/>
      </c>
      <c r="B91" s="101" t="str">
        <f aca="false">IF($A91="","",IFERROR(VLOOKUP($A91,PLANI_LLOGARIVE!$A:$I,2,FALSE()),"⚠ Nuk është te PLANI_LLOGARIVE"))</f>
        <v/>
      </c>
      <c r="C91" s="101" t="str">
        <f aca="false">IF($A91="","",IFERROR(VLOOKUP($A91,PLANI_LLOGARIVE!$A:$I,9,FALSE()),""))</f>
        <v/>
      </c>
      <c r="D91" s="101" t="str">
        <f aca="false">IF($A91="","",COUNTIF(DITARI!$D:$D,$A91))</f>
        <v/>
      </c>
      <c r="E91" s="101" t="str">
        <f aca="false">IF($A91="","",SUMIFS(DITARI!$F:$F,DITARI!$D:$D,$A91))</f>
        <v/>
      </c>
      <c r="F91" s="101" t="str">
        <f aca="false">IF($A91="","",SUMIFS(DITARI!$G:$G,DITARI!$D:$D,$A91))</f>
        <v/>
      </c>
      <c r="G91" s="101" t="str">
        <f aca="false">IF($A91="","",$E91-$F91)</f>
        <v/>
      </c>
    </row>
    <row r="92" customFormat="false" ht="15" hidden="false" customHeight="true" outlineLevel="0" collapsed="false">
      <c r="A92" s="101" t="str">
        <f aca="false">IFERROR(INDEX(DITARI!$D$6:$D$550,MATCH(0,COUNTIF($A$1:A91,DITARI!$D$6:$D$550)+(DITARI!$D$6:$D$550=""),0)),"")</f>
        <v/>
      </c>
      <c r="B92" s="101" t="str">
        <f aca="false">IF($A92="","",IFERROR(VLOOKUP($A92,PLANI_LLOGARIVE!$A:$I,2,FALSE()),"⚠ Nuk është te PLANI_LLOGARIVE"))</f>
        <v/>
      </c>
      <c r="C92" s="101" t="str">
        <f aca="false">IF($A92="","",IFERROR(VLOOKUP($A92,PLANI_LLOGARIVE!$A:$I,9,FALSE()),""))</f>
        <v/>
      </c>
      <c r="D92" s="101" t="str">
        <f aca="false">IF($A92="","",COUNTIF(DITARI!$D:$D,$A92))</f>
        <v/>
      </c>
      <c r="E92" s="101" t="str">
        <f aca="false">IF($A92="","",SUMIFS(DITARI!$F:$F,DITARI!$D:$D,$A92))</f>
        <v/>
      </c>
      <c r="F92" s="101" t="str">
        <f aca="false">IF($A92="","",SUMIFS(DITARI!$G:$G,DITARI!$D:$D,$A92))</f>
        <v/>
      </c>
      <c r="G92" s="101" t="str">
        <f aca="false">IF($A92="","",$E92-$F92)</f>
        <v/>
      </c>
    </row>
    <row r="93" customFormat="false" ht="15" hidden="false" customHeight="true" outlineLevel="0" collapsed="false">
      <c r="A93" s="101" t="str">
        <f aca="false">IFERROR(INDEX(DITARI!$D$6:$D$550,MATCH(0,COUNTIF($A$1:A92,DITARI!$D$6:$D$550)+(DITARI!$D$6:$D$550=""),0)),"")</f>
        <v/>
      </c>
      <c r="B93" s="101" t="str">
        <f aca="false">IF($A93="","",IFERROR(VLOOKUP($A93,PLANI_LLOGARIVE!$A:$I,2,FALSE()),"⚠ Nuk është te PLANI_LLOGARIVE"))</f>
        <v/>
      </c>
      <c r="C93" s="101" t="str">
        <f aca="false">IF($A93="","",IFERROR(VLOOKUP($A93,PLANI_LLOGARIVE!$A:$I,9,FALSE()),""))</f>
        <v/>
      </c>
      <c r="D93" s="101" t="str">
        <f aca="false">IF($A93="","",COUNTIF(DITARI!$D:$D,$A93))</f>
        <v/>
      </c>
      <c r="E93" s="101" t="str">
        <f aca="false">IF($A93="","",SUMIFS(DITARI!$F:$F,DITARI!$D:$D,$A93))</f>
        <v/>
      </c>
      <c r="F93" s="101" t="str">
        <f aca="false">IF($A93="","",SUMIFS(DITARI!$G:$G,DITARI!$D:$D,$A93))</f>
        <v/>
      </c>
      <c r="G93" s="101" t="str">
        <f aca="false">IF($A93="","",$E93-$F93)</f>
        <v/>
      </c>
    </row>
    <row r="94" customFormat="false" ht="15" hidden="false" customHeight="true" outlineLevel="0" collapsed="false">
      <c r="A94" s="101" t="str">
        <f aca="false">IFERROR(INDEX(DITARI!$D$6:$D$550,MATCH(0,COUNTIF($A$1:A93,DITARI!$D$6:$D$550)+(DITARI!$D$6:$D$550=""),0)),"")</f>
        <v/>
      </c>
      <c r="B94" s="101" t="str">
        <f aca="false">IF($A94="","",IFERROR(VLOOKUP($A94,PLANI_LLOGARIVE!$A:$I,2,FALSE()),"⚠ Nuk është te PLANI_LLOGARIVE"))</f>
        <v/>
      </c>
      <c r="C94" s="101" t="str">
        <f aca="false">IF($A94="","",IFERROR(VLOOKUP($A94,PLANI_LLOGARIVE!$A:$I,9,FALSE()),""))</f>
        <v/>
      </c>
      <c r="D94" s="101" t="str">
        <f aca="false">IF($A94="","",COUNTIF(DITARI!$D:$D,$A94))</f>
        <v/>
      </c>
      <c r="E94" s="101" t="str">
        <f aca="false">IF($A94="","",SUMIFS(DITARI!$F:$F,DITARI!$D:$D,$A94))</f>
        <v/>
      </c>
      <c r="F94" s="101" t="str">
        <f aca="false">IF($A94="","",SUMIFS(DITARI!$G:$G,DITARI!$D:$D,$A94))</f>
        <v/>
      </c>
      <c r="G94" s="101" t="str">
        <f aca="false">IF($A94="","",$E94-$F94)</f>
        <v/>
      </c>
    </row>
    <row r="95" customFormat="false" ht="15" hidden="false" customHeight="true" outlineLevel="0" collapsed="false">
      <c r="A95" s="101" t="str">
        <f aca="false">IFERROR(INDEX(DITARI!$D$6:$D$550,MATCH(0,COUNTIF($A$1:A94,DITARI!$D$6:$D$550)+(DITARI!$D$6:$D$550=""),0)),"")</f>
        <v/>
      </c>
      <c r="B95" s="101" t="str">
        <f aca="false">IF($A95="","",IFERROR(VLOOKUP($A95,PLANI_LLOGARIVE!$A:$I,2,FALSE()),"⚠ Nuk është te PLANI_LLOGARIVE"))</f>
        <v/>
      </c>
      <c r="C95" s="101" t="str">
        <f aca="false">IF($A95="","",IFERROR(VLOOKUP($A95,PLANI_LLOGARIVE!$A:$I,9,FALSE()),""))</f>
        <v/>
      </c>
      <c r="D95" s="101" t="str">
        <f aca="false">IF($A95="","",COUNTIF(DITARI!$D:$D,$A95))</f>
        <v/>
      </c>
      <c r="E95" s="101" t="str">
        <f aca="false">IF($A95="","",SUMIFS(DITARI!$F:$F,DITARI!$D:$D,$A95))</f>
        <v/>
      </c>
      <c r="F95" s="101" t="str">
        <f aca="false">IF($A95="","",SUMIFS(DITARI!$G:$G,DITARI!$D:$D,$A95))</f>
        <v/>
      </c>
      <c r="G95" s="101" t="str">
        <f aca="false">IF($A95="","",$E95-$F95)</f>
        <v/>
      </c>
    </row>
    <row r="96" customFormat="false" ht="15" hidden="false" customHeight="true" outlineLevel="0" collapsed="false">
      <c r="A96" s="101" t="str">
        <f aca="false">IFERROR(INDEX(DITARI!$D$6:$D$550,MATCH(0,COUNTIF($A$1:A95,DITARI!$D$6:$D$550)+(DITARI!$D$6:$D$550=""),0)),"")</f>
        <v/>
      </c>
      <c r="B96" s="101" t="str">
        <f aca="false">IF($A96="","",IFERROR(VLOOKUP($A96,PLANI_LLOGARIVE!$A:$I,2,FALSE()),"⚠ Nuk është te PLANI_LLOGARIVE"))</f>
        <v/>
      </c>
      <c r="C96" s="101" t="str">
        <f aca="false">IF($A96="","",IFERROR(VLOOKUP($A96,PLANI_LLOGARIVE!$A:$I,9,FALSE()),""))</f>
        <v/>
      </c>
      <c r="D96" s="101" t="str">
        <f aca="false">IF($A96="","",COUNTIF(DITARI!$D:$D,$A96))</f>
        <v/>
      </c>
      <c r="E96" s="101" t="str">
        <f aca="false">IF($A96="","",SUMIFS(DITARI!$F:$F,DITARI!$D:$D,$A96))</f>
        <v/>
      </c>
      <c r="F96" s="101" t="str">
        <f aca="false">IF($A96="","",SUMIFS(DITARI!$G:$G,DITARI!$D:$D,$A96))</f>
        <v/>
      </c>
      <c r="G96" s="101" t="str">
        <f aca="false">IF($A96="","",$E96-$F96)</f>
        <v/>
      </c>
    </row>
    <row r="97" customFormat="false" ht="15" hidden="false" customHeight="true" outlineLevel="0" collapsed="false">
      <c r="A97" s="101" t="str">
        <f aca="false">IFERROR(INDEX(DITARI!$D$6:$D$550,MATCH(0,COUNTIF($A$1:A96,DITARI!$D$6:$D$550)+(DITARI!$D$6:$D$550=""),0)),"")</f>
        <v/>
      </c>
      <c r="B97" s="101" t="str">
        <f aca="false">IF($A97="","",IFERROR(VLOOKUP($A97,PLANI_LLOGARIVE!$A:$I,2,FALSE()),"⚠ Nuk është te PLANI_LLOGARIVE"))</f>
        <v/>
      </c>
      <c r="C97" s="101" t="str">
        <f aca="false">IF($A97="","",IFERROR(VLOOKUP($A97,PLANI_LLOGARIVE!$A:$I,9,FALSE()),""))</f>
        <v/>
      </c>
      <c r="D97" s="101" t="str">
        <f aca="false">IF($A97="","",COUNTIF(DITARI!$D:$D,$A97))</f>
        <v/>
      </c>
      <c r="E97" s="101" t="str">
        <f aca="false">IF($A97="","",SUMIFS(DITARI!$F:$F,DITARI!$D:$D,$A97))</f>
        <v/>
      </c>
      <c r="F97" s="101" t="str">
        <f aca="false">IF($A97="","",SUMIFS(DITARI!$G:$G,DITARI!$D:$D,$A97))</f>
        <v/>
      </c>
      <c r="G97" s="101" t="str">
        <f aca="false">IF($A97="","",$E97-$F97)</f>
        <v/>
      </c>
    </row>
    <row r="98" customFormat="false" ht="15" hidden="false" customHeight="true" outlineLevel="0" collapsed="false">
      <c r="A98" s="101" t="str">
        <f aca="false">IFERROR(INDEX(DITARI!$D$6:$D$550,MATCH(0,COUNTIF($A$1:A97,DITARI!$D$6:$D$550)+(DITARI!$D$6:$D$550=""),0)),"")</f>
        <v/>
      </c>
      <c r="B98" s="101" t="str">
        <f aca="false">IF($A98="","",IFERROR(VLOOKUP($A98,PLANI_LLOGARIVE!$A:$I,2,FALSE()),"⚠ Nuk është te PLANI_LLOGARIVE"))</f>
        <v/>
      </c>
      <c r="C98" s="101" t="str">
        <f aca="false">IF($A98="","",IFERROR(VLOOKUP($A98,PLANI_LLOGARIVE!$A:$I,9,FALSE()),""))</f>
        <v/>
      </c>
      <c r="D98" s="101" t="str">
        <f aca="false">IF($A98="","",COUNTIF(DITARI!$D:$D,$A98))</f>
        <v/>
      </c>
      <c r="E98" s="101" t="str">
        <f aca="false">IF($A98="","",SUMIFS(DITARI!$F:$F,DITARI!$D:$D,$A98))</f>
        <v/>
      </c>
      <c r="F98" s="101" t="str">
        <f aca="false">IF($A98="","",SUMIFS(DITARI!$G:$G,DITARI!$D:$D,$A98))</f>
        <v/>
      </c>
      <c r="G98" s="101" t="str">
        <f aca="false">IF($A98="","",$E98-$F98)</f>
        <v/>
      </c>
    </row>
    <row r="99" customFormat="false" ht="15" hidden="false" customHeight="true" outlineLevel="0" collapsed="false">
      <c r="A99" s="101" t="str">
        <f aca="false">IFERROR(INDEX(DITARI!$D$6:$D$550,MATCH(0,COUNTIF($A$1:A98,DITARI!$D$6:$D$550)+(DITARI!$D$6:$D$550=""),0)),"")</f>
        <v/>
      </c>
      <c r="B99" s="101" t="str">
        <f aca="false">IF($A99="","",IFERROR(VLOOKUP($A99,PLANI_LLOGARIVE!$A:$I,2,FALSE()),"⚠ Nuk është te PLANI_LLOGARIVE"))</f>
        <v/>
      </c>
      <c r="C99" s="101" t="str">
        <f aca="false">IF($A99="","",IFERROR(VLOOKUP($A99,PLANI_LLOGARIVE!$A:$I,9,FALSE()),""))</f>
        <v/>
      </c>
      <c r="D99" s="101" t="str">
        <f aca="false">IF($A99="","",COUNTIF(DITARI!$D:$D,$A99))</f>
        <v/>
      </c>
      <c r="E99" s="101" t="str">
        <f aca="false">IF($A99="","",SUMIFS(DITARI!$F:$F,DITARI!$D:$D,$A99))</f>
        <v/>
      </c>
      <c r="F99" s="101" t="str">
        <f aca="false">IF($A99="","",SUMIFS(DITARI!$G:$G,DITARI!$D:$D,$A99))</f>
        <v/>
      </c>
      <c r="G99" s="101" t="str">
        <f aca="false">IF($A99="","",$E99-$F99)</f>
        <v/>
      </c>
    </row>
    <row r="100" customFormat="false" ht="15" hidden="false" customHeight="true" outlineLevel="0" collapsed="false">
      <c r="A100" s="101" t="str">
        <f aca="false">IFERROR(INDEX(DITARI!$D$6:$D$550,MATCH(0,COUNTIF($A$1:A99,DITARI!$D$6:$D$550)+(DITARI!$D$6:$D$550=""),0)),"")</f>
        <v/>
      </c>
      <c r="B100" s="101" t="str">
        <f aca="false">IF($A100="","",IFERROR(VLOOKUP($A100,PLANI_LLOGARIVE!$A:$I,2,FALSE()),"⚠ Nuk është te PLANI_LLOGARIVE"))</f>
        <v/>
      </c>
      <c r="C100" s="101" t="str">
        <f aca="false">IF($A100="","",IFERROR(VLOOKUP($A100,PLANI_LLOGARIVE!$A:$I,9,FALSE()),""))</f>
        <v/>
      </c>
      <c r="D100" s="101" t="str">
        <f aca="false">IF($A100="","",COUNTIF(DITARI!$D:$D,$A100))</f>
        <v/>
      </c>
      <c r="E100" s="101" t="str">
        <f aca="false">IF($A100="","",SUMIFS(DITARI!$F:$F,DITARI!$D:$D,$A100))</f>
        <v/>
      </c>
      <c r="F100" s="101" t="str">
        <f aca="false">IF($A100="","",SUMIFS(DITARI!$G:$G,DITARI!$D:$D,$A100))</f>
        <v/>
      </c>
      <c r="G100" s="101" t="str">
        <f aca="false">IF($A100="","",$E100-$F100)</f>
        <v/>
      </c>
    </row>
    <row r="101" customFormat="false" ht="15" hidden="false" customHeight="true" outlineLevel="0" collapsed="false">
      <c r="A101" s="101" t="str">
        <f aca="false">IFERROR(INDEX(DITARI!$D$6:$D$550,MATCH(0,COUNTIF($A$1:A100,DITARI!$D$6:$D$550)+(DITARI!$D$6:$D$550=""),0)),"")</f>
        <v/>
      </c>
      <c r="B101" s="101" t="str">
        <f aca="false">IF($A101="","",IFERROR(VLOOKUP($A101,PLANI_LLOGARIVE!$A:$I,2,FALSE()),"⚠ Nuk është te PLANI_LLOGARIVE"))</f>
        <v/>
      </c>
      <c r="C101" s="101" t="str">
        <f aca="false">IF($A101="","",IFERROR(VLOOKUP($A101,PLANI_LLOGARIVE!$A:$I,9,FALSE()),""))</f>
        <v/>
      </c>
      <c r="D101" s="101" t="str">
        <f aca="false">IF($A101="","",COUNTIF(DITARI!$D:$D,$A101))</f>
        <v/>
      </c>
      <c r="E101" s="101" t="str">
        <f aca="false">IF($A101="","",SUMIFS(DITARI!$F:$F,DITARI!$D:$D,$A101))</f>
        <v/>
      </c>
      <c r="F101" s="101" t="str">
        <f aca="false">IF($A101="","",SUMIFS(DITARI!$G:$G,DITARI!$D:$D,$A101))</f>
        <v/>
      </c>
      <c r="G101" s="101" t="str">
        <f aca="false">IF($A101="","",$E101-$F101)</f>
        <v/>
      </c>
    </row>
    <row r="102" customFormat="false" ht="15" hidden="false" customHeight="true" outlineLevel="0" collapsed="false">
      <c r="A102" s="101" t="str">
        <f aca="false">IFERROR(INDEX(DITARI!$D$6:$D$550,MATCH(0,COUNTIF($A$1:A101,DITARI!$D$6:$D$550)+(DITARI!$D$6:$D$550=""),0)),"")</f>
        <v/>
      </c>
      <c r="B102" s="101" t="str">
        <f aca="false">IF($A102="","",IFERROR(VLOOKUP($A102,PLANI_LLOGARIVE!$A:$I,2,FALSE()),"⚠ Nuk është te PLANI_LLOGARIVE"))</f>
        <v/>
      </c>
      <c r="C102" s="101" t="str">
        <f aca="false">IF($A102="","",IFERROR(VLOOKUP($A102,PLANI_LLOGARIVE!$A:$I,9,FALSE()),""))</f>
        <v/>
      </c>
      <c r="D102" s="101" t="str">
        <f aca="false">IF($A102="","",COUNTIF(DITARI!$D:$D,$A102))</f>
        <v/>
      </c>
      <c r="E102" s="101" t="str">
        <f aca="false">IF($A102="","",SUMIFS(DITARI!$F:$F,DITARI!$D:$D,$A102))</f>
        <v/>
      </c>
      <c r="F102" s="101" t="str">
        <f aca="false">IF($A102="","",SUMIFS(DITARI!$G:$G,DITARI!$D:$D,$A102))</f>
        <v/>
      </c>
      <c r="G102" s="101" t="str">
        <f aca="false">IF($A102="","",$E102-$F102)</f>
        <v/>
      </c>
    </row>
    <row r="103" customFormat="false" ht="15" hidden="false" customHeight="true" outlineLevel="0" collapsed="false">
      <c r="A103" s="101" t="str">
        <f aca="false">IFERROR(INDEX(DITARI!$D$6:$D$550,MATCH(0,COUNTIF($A$1:A102,DITARI!$D$6:$D$550)+(DITARI!$D$6:$D$550=""),0)),"")</f>
        <v/>
      </c>
      <c r="B103" s="101" t="str">
        <f aca="false">IF($A103="","",IFERROR(VLOOKUP($A103,PLANI_LLOGARIVE!$A:$I,2,FALSE()),"⚠ Nuk është te PLANI_LLOGARIVE"))</f>
        <v/>
      </c>
      <c r="C103" s="101" t="str">
        <f aca="false">IF($A103="","",IFERROR(VLOOKUP($A103,PLANI_LLOGARIVE!$A:$I,9,FALSE()),""))</f>
        <v/>
      </c>
      <c r="D103" s="101" t="str">
        <f aca="false">IF($A103="","",COUNTIF(DITARI!$D:$D,$A103))</f>
        <v/>
      </c>
      <c r="E103" s="101" t="str">
        <f aca="false">IF($A103="","",SUMIFS(DITARI!$F:$F,DITARI!$D:$D,$A103))</f>
        <v/>
      </c>
      <c r="F103" s="101" t="str">
        <f aca="false">IF($A103="","",SUMIFS(DITARI!$G:$G,DITARI!$D:$D,$A103))</f>
        <v/>
      </c>
      <c r="G103" s="101" t="str">
        <f aca="false">IF($A103="","",$E103-$F103)</f>
        <v/>
      </c>
    </row>
    <row r="104" customFormat="false" ht="15" hidden="false" customHeight="true" outlineLevel="0" collapsed="false">
      <c r="A104" s="101" t="str">
        <f aca="false">IFERROR(INDEX(DITARI!$D$6:$D$550,MATCH(0,COUNTIF($A$1:A103,DITARI!$D$6:$D$550)+(DITARI!$D$6:$D$550=""),0)),"")</f>
        <v/>
      </c>
      <c r="B104" s="101" t="str">
        <f aca="false">IF($A104="","",IFERROR(VLOOKUP($A104,PLANI_LLOGARIVE!$A:$I,2,FALSE()),"⚠ Nuk është te PLANI_LLOGARIVE"))</f>
        <v/>
      </c>
      <c r="C104" s="101" t="str">
        <f aca="false">IF($A104="","",IFERROR(VLOOKUP($A104,PLANI_LLOGARIVE!$A:$I,9,FALSE()),""))</f>
        <v/>
      </c>
      <c r="D104" s="101" t="str">
        <f aca="false">IF($A104="","",COUNTIF(DITARI!$D:$D,$A104))</f>
        <v/>
      </c>
      <c r="E104" s="101" t="str">
        <f aca="false">IF($A104="","",SUMIFS(DITARI!$F:$F,DITARI!$D:$D,$A104))</f>
        <v/>
      </c>
      <c r="F104" s="101" t="str">
        <f aca="false">IF($A104="","",SUMIFS(DITARI!$G:$G,DITARI!$D:$D,$A104))</f>
        <v/>
      </c>
      <c r="G104" s="101" t="str">
        <f aca="false">IF($A104="","",$E104-$F104)</f>
        <v/>
      </c>
    </row>
    <row r="105" customFormat="false" ht="15" hidden="false" customHeight="true" outlineLevel="0" collapsed="false">
      <c r="A105" s="101" t="str">
        <f aca="false">IFERROR(INDEX(DITARI!$D$6:$D$550,MATCH(0,COUNTIF($A$1:A104,DITARI!$D$6:$D$550)+(DITARI!$D$6:$D$550=""),0)),"")</f>
        <v/>
      </c>
      <c r="B105" s="101" t="str">
        <f aca="false">IF($A105="","",IFERROR(VLOOKUP($A105,PLANI_LLOGARIVE!$A:$I,2,FALSE()),"⚠ Nuk është te PLANI_LLOGARIVE"))</f>
        <v/>
      </c>
      <c r="C105" s="101" t="str">
        <f aca="false">IF($A105="","",IFERROR(VLOOKUP($A105,PLANI_LLOGARIVE!$A:$I,9,FALSE()),""))</f>
        <v/>
      </c>
      <c r="D105" s="101" t="str">
        <f aca="false">IF($A105="","",COUNTIF(DITARI!$D:$D,$A105))</f>
        <v/>
      </c>
      <c r="E105" s="101" t="str">
        <f aca="false">IF($A105="","",SUMIFS(DITARI!$F:$F,DITARI!$D:$D,$A105))</f>
        <v/>
      </c>
      <c r="F105" s="101" t="str">
        <f aca="false">IF($A105="","",SUMIFS(DITARI!$G:$G,DITARI!$D:$D,$A105))</f>
        <v/>
      </c>
      <c r="G105" s="101" t="str">
        <f aca="false">IF($A105="","",$E105-$F105)</f>
        <v/>
      </c>
    </row>
    <row r="106" customFormat="false" ht="15" hidden="false" customHeight="true" outlineLevel="0" collapsed="false">
      <c r="A106" s="101" t="str">
        <f aca="false">IFERROR(INDEX(DITARI!$D$6:$D$550,MATCH(0,COUNTIF($A$1:A105,DITARI!$D$6:$D$550)+(DITARI!$D$6:$D$550=""),0)),"")</f>
        <v/>
      </c>
      <c r="B106" s="101" t="str">
        <f aca="false">IF($A106="","",IFERROR(VLOOKUP($A106,PLANI_LLOGARIVE!$A:$I,2,FALSE()),"⚠ Nuk është te PLANI_LLOGARIVE"))</f>
        <v/>
      </c>
      <c r="C106" s="101" t="str">
        <f aca="false">IF($A106="","",IFERROR(VLOOKUP($A106,PLANI_LLOGARIVE!$A:$I,9,FALSE()),""))</f>
        <v/>
      </c>
      <c r="D106" s="101" t="str">
        <f aca="false">IF($A106="","",COUNTIF(DITARI!$D:$D,$A106))</f>
        <v/>
      </c>
      <c r="E106" s="101" t="str">
        <f aca="false">IF($A106="","",SUMIFS(DITARI!$F:$F,DITARI!$D:$D,$A106))</f>
        <v/>
      </c>
      <c r="F106" s="101" t="str">
        <f aca="false">IF($A106="","",SUMIFS(DITARI!$G:$G,DITARI!$D:$D,$A106))</f>
        <v/>
      </c>
      <c r="G106" s="101" t="str">
        <f aca="false">IF($A106="","",$E106-$F106)</f>
        <v/>
      </c>
    </row>
    <row r="107" customFormat="false" ht="15" hidden="false" customHeight="true" outlineLevel="0" collapsed="false">
      <c r="A107" s="101" t="str">
        <f aca="false">IFERROR(INDEX(DITARI!$D$6:$D$550,MATCH(0,COUNTIF($A$1:A106,DITARI!$D$6:$D$550)+(DITARI!$D$6:$D$550=""),0)),"")</f>
        <v/>
      </c>
      <c r="B107" s="101" t="str">
        <f aca="false">IF($A107="","",IFERROR(VLOOKUP($A107,PLANI_LLOGARIVE!$A:$I,2,FALSE()),"⚠ Nuk është te PLANI_LLOGARIVE"))</f>
        <v/>
      </c>
      <c r="C107" s="101" t="str">
        <f aca="false">IF($A107="","",IFERROR(VLOOKUP($A107,PLANI_LLOGARIVE!$A:$I,9,FALSE()),""))</f>
        <v/>
      </c>
      <c r="D107" s="101" t="str">
        <f aca="false">IF($A107="","",COUNTIF(DITARI!$D:$D,$A107))</f>
        <v/>
      </c>
      <c r="E107" s="101" t="str">
        <f aca="false">IF($A107="","",SUMIFS(DITARI!$F:$F,DITARI!$D:$D,$A107))</f>
        <v/>
      </c>
      <c r="F107" s="101" t="str">
        <f aca="false">IF($A107="","",SUMIFS(DITARI!$G:$G,DITARI!$D:$D,$A107))</f>
        <v/>
      </c>
      <c r="G107" s="101" t="str">
        <f aca="false">IF($A107="","",$E107-$F107)</f>
        <v/>
      </c>
    </row>
    <row r="108" customFormat="false" ht="15" hidden="false" customHeight="true" outlineLevel="0" collapsed="false">
      <c r="A108" s="101" t="str">
        <f aca="false">IFERROR(INDEX(DITARI!$D$6:$D$550,MATCH(0,COUNTIF($A$1:A107,DITARI!$D$6:$D$550)+(DITARI!$D$6:$D$550=""),0)),"")</f>
        <v/>
      </c>
      <c r="B108" s="101" t="str">
        <f aca="false">IF($A108="","",IFERROR(VLOOKUP($A108,PLANI_LLOGARIVE!$A:$I,2,FALSE()),"⚠ Nuk është te PLANI_LLOGARIVE"))</f>
        <v/>
      </c>
      <c r="C108" s="101" t="str">
        <f aca="false">IF($A108="","",IFERROR(VLOOKUP($A108,PLANI_LLOGARIVE!$A:$I,9,FALSE()),""))</f>
        <v/>
      </c>
      <c r="D108" s="101" t="str">
        <f aca="false">IF($A108="","",COUNTIF(DITARI!$D:$D,$A108))</f>
        <v/>
      </c>
      <c r="E108" s="101" t="str">
        <f aca="false">IF($A108="","",SUMIFS(DITARI!$F:$F,DITARI!$D:$D,$A108))</f>
        <v/>
      </c>
      <c r="F108" s="101" t="str">
        <f aca="false">IF($A108="","",SUMIFS(DITARI!$G:$G,DITARI!$D:$D,$A108))</f>
        <v/>
      </c>
      <c r="G108" s="101" t="str">
        <f aca="false">IF($A108="","",$E108-$F108)</f>
        <v/>
      </c>
    </row>
    <row r="109" customFormat="false" ht="15" hidden="false" customHeight="true" outlineLevel="0" collapsed="false">
      <c r="A109" s="101" t="str">
        <f aca="false">IFERROR(INDEX(DITARI!$D$6:$D$550,MATCH(0,COUNTIF($A$1:A108,DITARI!$D$6:$D$550)+(DITARI!$D$6:$D$550=""),0)),"")</f>
        <v/>
      </c>
      <c r="B109" s="101" t="str">
        <f aca="false">IF($A109="","",IFERROR(VLOOKUP($A109,PLANI_LLOGARIVE!$A:$I,2,FALSE()),"⚠ Nuk është te PLANI_LLOGARIVE"))</f>
        <v/>
      </c>
      <c r="C109" s="101" t="str">
        <f aca="false">IF($A109="","",IFERROR(VLOOKUP($A109,PLANI_LLOGARIVE!$A:$I,9,FALSE()),""))</f>
        <v/>
      </c>
      <c r="D109" s="101" t="str">
        <f aca="false">IF($A109="","",COUNTIF(DITARI!$D:$D,$A109))</f>
        <v/>
      </c>
      <c r="E109" s="101" t="str">
        <f aca="false">IF($A109="","",SUMIFS(DITARI!$F:$F,DITARI!$D:$D,$A109))</f>
        <v/>
      </c>
      <c r="F109" s="101" t="str">
        <f aca="false">IF($A109="","",SUMIFS(DITARI!$G:$G,DITARI!$D:$D,$A109))</f>
        <v/>
      </c>
      <c r="G109" s="101" t="str">
        <f aca="false">IF($A109="","",$E109-$F109)</f>
        <v/>
      </c>
    </row>
    <row r="110" customFormat="false" ht="15" hidden="false" customHeight="true" outlineLevel="0" collapsed="false">
      <c r="A110" s="101" t="str">
        <f aca="false">IFERROR(INDEX(DITARI!$D$6:$D$550,MATCH(0,COUNTIF($A$1:A109,DITARI!$D$6:$D$550)+(DITARI!$D$6:$D$550=""),0)),"")</f>
        <v/>
      </c>
      <c r="B110" s="101" t="str">
        <f aca="false">IF($A110="","",IFERROR(VLOOKUP($A110,PLANI_LLOGARIVE!$A:$I,2,FALSE()),"⚠ Nuk është te PLANI_LLOGARIVE"))</f>
        <v/>
      </c>
      <c r="C110" s="101" t="str">
        <f aca="false">IF($A110="","",IFERROR(VLOOKUP($A110,PLANI_LLOGARIVE!$A:$I,9,FALSE()),""))</f>
        <v/>
      </c>
      <c r="D110" s="101" t="str">
        <f aca="false">IF($A110="","",COUNTIF(DITARI!$D:$D,$A110))</f>
        <v/>
      </c>
      <c r="E110" s="101" t="str">
        <f aca="false">IF($A110="","",SUMIFS(DITARI!$F:$F,DITARI!$D:$D,$A110))</f>
        <v/>
      </c>
      <c r="F110" s="101" t="str">
        <f aca="false">IF($A110="","",SUMIFS(DITARI!$G:$G,DITARI!$D:$D,$A110))</f>
        <v/>
      </c>
      <c r="G110" s="101" t="str">
        <f aca="false">IF($A110="","",$E110-$F110)</f>
        <v/>
      </c>
    </row>
    <row r="111" customFormat="false" ht="15" hidden="false" customHeight="true" outlineLevel="0" collapsed="false">
      <c r="A111" s="101" t="str">
        <f aca="false">IFERROR(INDEX(DITARI!$D$6:$D$550,MATCH(0,COUNTIF($A$1:A110,DITARI!$D$6:$D$550)+(DITARI!$D$6:$D$550=""),0)),"")</f>
        <v/>
      </c>
      <c r="B111" s="101" t="str">
        <f aca="false">IF($A111="","",IFERROR(VLOOKUP($A111,PLANI_LLOGARIVE!$A:$I,2,FALSE()),"⚠ Nuk është te PLANI_LLOGARIVE"))</f>
        <v/>
      </c>
      <c r="C111" s="101" t="str">
        <f aca="false">IF($A111="","",IFERROR(VLOOKUP($A111,PLANI_LLOGARIVE!$A:$I,9,FALSE()),""))</f>
        <v/>
      </c>
      <c r="D111" s="101" t="str">
        <f aca="false">IF($A111="","",COUNTIF(DITARI!$D:$D,$A111))</f>
        <v/>
      </c>
      <c r="E111" s="101" t="str">
        <f aca="false">IF($A111="","",SUMIFS(DITARI!$F:$F,DITARI!$D:$D,$A111))</f>
        <v/>
      </c>
      <c r="F111" s="101" t="str">
        <f aca="false">IF($A111="","",SUMIFS(DITARI!$G:$G,DITARI!$D:$D,$A111))</f>
        <v/>
      </c>
      <c r="G111" s="101" t="str">
        <f aca="false">IF($A111="","",$E111-$F111)</f>
        <v/>
      </c>
    </row>
    <row r="112" customFormat="false" ht="15" hidden="false" customHeight="true" outlineLevel="0" collapsed="false">
      <c r="A112" s="101" t="str">
        <f aca="false">IFERROR(INDEX(DITARI!$D$6:$D$550,MATCH(0,COUNTIF($A$1:A111,DITARI!$D$6:$D$550)+(DITARI!$D$6:$D$550=""),0)),"")</f>
        <v/>
      </c>
      <c r="B112" s="101" t="str">
        <f aca="false">IF($A112="","",IFERROR(VLOOKUP($A112,PLANI_LLOGARIVE!$A:$I,2,FALSE()),"⚠ Nuk është te PLANI_LLOGARIVE"))</f>
        <v/>
      </c>
      <c r="C112" s="101" t="str">
        <f aca="false">IF($A112="","",IFERROR(VLOOKUP($A112,PLANI_LLOGARIVE!$A:$I,9,FALSE()),""))</f>
        <v/>
      </c>
      <c r="D112" s="101" t="str">
        <f aca="false">IF($A112="","",COUNTIF(DITARI!$D:$D,$A112))</f>
        <v/>
      </c>
      <c r="E112" s="101" t="str">
        <f aca="false">IF($A112="","",SUMIFS(DITARI!$F:$F,DITARI!$D:$D,$A112))</f>
        <v/>
      </c>
      <c r="F112" s="101" t="str">
        <f aca="false">IF($A112="","",SUMIFS(DITARI!$G:$G,DITARI!$D:$D,$A112))</f>
        <v/>
      </c>
      <c r="G112" s="101" t="str">
        <f aca="false">IF($A112="","",$E112-$F112)</f>
        <v/>
      </c>
    </row>
    <row r="113" customFormat="false" ht="15" hidden="false" customHeight="true" outlineLevel="0" collapsed="false">
      <c r="A113" s="101" t="str">
        <f aca="false">IFERROR(INDEX(DITARI!$D$6:$D$550,MATCH(0,COUNTIF($A$1:A112,DITARI!$D$6:$D$550)+(DITARI!$D$6:$D$550=""),0)),"")</f>
        <v/>
      </c>
      <c r="B113" s="101" t="str">
        <f aca="false">IF($A113="","",IFERROR(VLOOKUP($A113,PLANI_LLOGARIVE!$A:$I,2,FALSE()),"⚠ Nuk është te PLANI_LLOGARIVE"))</f>
        <v/>
      </c>
      <c r="C113" s="101" t="str">
        <f aca="false">IF($A113="","",IFERROR(VLOOKUP($A113,PLANI_LLOGARIVE!$A:$I,9,FALSE()),""))</f>
        <v/>
      </c>
      <c r="D113" s="101" t="str">
        <f aca="false">IF($A113="","",COUNTIF(DITARI!$D:$D,$A113))</f>
        <v/>
      </c>
      <c r="E113" s="101" t="str">
        <f aca="false">IF($A113="","",SUMIFS(DITARI!$F:$F,DITARI!$D:$D,$A113))</f>
        <v/>
      </c>
      <c r="F113" s="101" t="str">
        <f aca="false">IF($A113="","",SUMIFS(DITARI!$G:$G,DITARI!$D:$D,$A113))</f>
        <v/>
      </c>
      <c r="G113" s="101" t="str">
        <f aca="false">IF($A113="","",$E113-$F113)</f>
        <v/>
      </c>
    </row>
    <row r="114" customFormat="false" ht="15" hidden="false" customHeight="true" outlineLevel="0" collapsed="false">
      <c r="A114" s="101" t="str">
        <f aca="false">IFERROR(INDEX(DITARI!$D$6:$D$550,MATCH(0,COUNTIF($A$1:A113,DITARI!$D$6:$D$550)+(DITARI!$D$6:$D$550=""),0)),"")</f>
        <v/>
      </c>
      <c r="B114" s="101" t="str">
        <f aca="false">IF($A114="","",IFERROR(VLOOKUP($A114,PLANI_LLOGARIVE!$A:$I,2,FALSE()),"⚠ Nuk është te PLANI_LLOGARIVE"))</f>
        <v/>
      </c>
      <c r="C114" s="101" t="str">
        <f aca="false">IF($A114="","",IFERROR(VLOOKUP($A114,PLANI_LLOGARIVE!$A:$I,9,FALSE()),""))</f>
        <v/>
      </c>
      <c r="D114" s="101" t="str">
        <f aca="false">IF($A114="","",COUNTIF(DITARI!$D:$D,$A114))</f>
        <v/>
      </c>
      <c r="E114" s="101" t="str">
        <f aca="false">IF($A114="","",SUMIFS(DITARI!$F:$F,DITARI!$D:$D,$A114))</f>
        <v/>
      </c>
      <c r="F114" s="101" t="str">
        <f aca="false">IF($A114="","",SUMIFS(DITARI!$G:$G,DITARI!$D:$D,$A114))</f>
        <v/>
      </c>
      <c r="G114" s="101" t="str">
        <f aca="false">IF($A114="","",$E114-$F114)</f>
        <v/>
      </c>
    </row>
    <row r="115" customFormat="false" ht="15" hidden="false" customHeight="true" outlineLevel="0" collapsed="false">
      <c r="A115" s="101" t="str">
        <f aca="false">IFERROR(INDEX(DITARI!$D$6:$D$550,MATCH(0,COUNTIF($A$1:A114,DITARI!$D$6:$D$550)+(DITARI!$D$6:$D$550=""),0)),"")</f>
        <v/>
      </c>
      <c r="B115" s="101" t="str">
        <f aca="false">IF($A115="","",IFERROR(VLOOKUP($A115,PLANI_LLOGARIVE!$A:$I,2,FALSE()),"⚠ Nuk është te PLANI_LLOGARIVE"))</f>
        <v/>
      </c>
      <c r="C115" s="101" t="str">
        <f aca="false">IF($A115="","",IFERROR(VLOOKUP($A115,PLANI_LLOGARIVE!$A:$I,9,FALSE()),""))</f>
        <v/>
      </c>
      <c r="D115" s="101" t="str">
        <f aca="false">IF($A115="","",COUNTIF(DITARI!$D:$D,$A115))</f>
        <v/>
      </c>
      <c r="E115" s="101" t="str">
        <f aca="false">IF($A115="","",SUMIFS(DITARI!$F:$F,DITARI!$D:$D,$A115))</f>
        <v/>
      </c>
      <c r="F115" s="101" t="str">
        <f aca="false">IF($A115="","",SUMIFS(DITARI!$G:$G,DITARI!$D:$D,$A115))</f>
        <v/>
      </c>
      <c r="G115" s="101" t="str">
        <f aca="false">IF($A115="","",$E115-$F115)</f>
        <v/>
      </c>
    </row>
    <row r="116" customFormat="false" ht="15" hidden="false" customHeight="true" outlineLevel="0" collapsed="false">
      <c r="A116" s="101" t="str">
        <f aca="false">IFERROR(INDEX(DITARI!$D$6:$D$550,MATCH(0,COUNTIF($A$1:A115,DITARI!$D$6:$D$550)+(DITARI!$D$6:$D$550=""),0)),"")</f>
        <v/>
      </c>
      <c r="B116" s="101" t="str">
        <f aca="false">IF($A116="","",IFERROR(VLOOKUP($A116,PLANI_LLOGARIVE!$A:$I,2,FALSE()),"⚠ Nuk është te PLANI_LLOGARIVE"))</f>
        <v/>
      </c>
      <c r="C116" s="101" t="str">
        <f aca="false">IF($A116="","",IFERROR(VLOOKUP($A116,PLANI_LLOGARIVE!$A:$I,9,FALSE()),""))</f>
        <v/>
      </c>
      <c r="D116" s="101" t="str">
        <f aca="false">IF($A116="","",COUNTIF(DITARI!$D:$D,$A116))</f>
        <v/>
      </c>
      <c r="E116" s="101" t="str">
        <f aca="false">IF($A116="","",SUMIFS(DITARI!$F:$F,DITARI!$D:$D,$A116))</f>
        <v/>
      </c>
      <c r="F116" s="101" t="str">
        <f aca="false">IF($A116="","",SUMIFS(DITARI!$G:$G,DITARI!$D:$D,$A116))</f>
        <v/>
      </c>
      <c r="G116" s="101" t="str">
        <f aca="false">IF($A116="","",$E116-$F116)</f>
        <v/>
      </c>
    </row>
    <row r="117" customFormat="false" ht="15" hidden="false" customHeight="true" outlineLevel="0" collapsed="false">
      <c r="A117" s="101" t="str">
        <f aca="false">IFERROR(INDEX(DITARI!$D$6:$D$550,MATCH(0,COUNTIF($A$1:A116,DITARI!$D$6:$D$550)+(DITARI!$D$6:$D$550=""),0)),"")</f>
        <v/>
      </c>
      <c r="B117" s="101" t="str">
        <f aca="false">IF($A117="","",IFERROR(VLOOKUP($A117,PLANI_LLOGARIVE!$A:$I,2,FALSE()),"⚠ Nuk është te PLANI_LLOGARIVE"))</f>
        <v/>
      </c>
      <c r="C117" s="101" t="str">
        <f aca="false">IF($A117="","",IFERROR(VLOOKUP($A117,PLANI_LLOGARIVE!$A:$I,9,FALSE()),""))</f>
        <v/>
      </c>
      <c r="D117" s="101" t="str">
        <f aca="false">IF($A117="","",COUNTIF(DITARI!$D:$D,$A117))</f>
        <v/>
      </c>
      <c r="E117" s="101" t="str">
        <f aca="false">IF($A117="","",SUMIFS(DITARI!$F:$F,DITARI!$D:$D,$A117))</f>
        <v/>
      </c>
      <c r="F117" s="101" t="str">
        <f aca="false">IF($A117="","",SUMIFS(DITARI!$G:$G,DITARI!$D:$D,$A117))</f>
        <v/>
      </c>
      <c r="G117" s="101" t="str">
        <f aca="false">IF($A117="","",$E117-$F117)</f>
        <v/>
      </c>
    </row>
    <row r="118" customFormat="false" ht="15" hidden="false" customHeight="true" outlineLevel="0" collapsed="false">
      <c r="A118" s="101" t="str">
        <f aca="false">IFERROR(INDEX(DITARI!$D$6:$D$550,MATCH(0,COUNTIF($A$1:A117,DITARI!$D$6:$D$550)+(DITARI!$D$6:$D$550=""),0)),"")</f>
        <v/>
      </c>
      <c r="B118" s="101" t="str">
        <f aca="false">IF($A118="","",IFERROR(VLOOKUP($A118,PLANI_LLOGARIVE!$A:$I,2,FALSE()),"⚠ Nuk është te PLANI_LLOGARIVE"))</f>
        <v/>
      </c>
      <c r="C118" s="101" t="str">
        <f aca="false">IF($A118="","",IFERROR(VLOOKUP($A118,PLANI_LLOGARIVE!$A:$I,9,FALSE()),""))</f>
        <v/>
      </c>
      <c r="D118" s="101" t="str">
        <f aca="false">IF($A118="","",COUNTIF(DITARI!$D:$D,$A118))</f>
        <v/>
      </c>
      <c r="E118" s="101" t="str">
        <f aca="false">IF($A118="","",SUMIFS(DITARI!$F:$F,DITARI!$D:$D,$A118))</f>
        <v/>
      </c>
      <c r="F118" s="101" t="str">
        <f aca="false">IF($A118="","",SUMIFS(DITARI!$G:$G,DITARI!$D:$D,$A118))</f>
        <v/>
      </c>
      <c r="G118" s="101" t="str">
        <f aca="false">IF($A118="","",$E118-$F118)</f>
        <v/>
      </c>
    </row>
    <row r="119" customFormat="false" ht="15" hidden="false" customHeight="true" outlineLevel="0" collapsed="false">
      <c r="A119" s="101" t="str">
        <f aca="false">IFERROR(INDEX(DITARI!$D$6:$D$550,MATCH(0,COUNTIF($A$1:A118,DITARI!$D$6:$D$550)+(DITARI!$D$6:$D$550=""),0)),"")</f>
        <v/>
      </c>
      <c r="B119" s="101" t="str">
        <f aca="false">IF($A119="","",IFERROR(VLOOKUP($A119,PLANI_LLOGARIVE!$A:$I,2,FALSE()),"⚠ Nuk është te PLANI_LLOGARIVE"))</f>
        <v/>
      </c>
      <c r="C119" s="101" t="str">
        <f aca="false">IF($A119="","",IFERROR(VLOOKUP($A119,PLANI_LLOGARIVE!$A:$I,9,FALSE()),""))</f>
        <v/>
      </c>
      <c r="D119" s="101" t="str">
        <f aca="false">IF($A119="","",COUNTIF(DITARI!$D:$D,$A119))</f>
        <v/>
      </c>
      <c r="E119" s="101" t="str">
        <f aca="false">IF($A119="","",SUMIFS(DITARI!$F:$F,DITARI!$D:$D,$A119))</f>
        <v/>
      </c>
      <c r="F119" s="101" t="str">
        <f aca="false">IF($A119="","",SUMIFS(DITARI!$G:$G,DITARI!$D:$D,$A119))</f>
        <v/>
      </c>
      <c r="G119" s="101" t="str">
        <f aca="false">IF($A119="","",$E119-$F119)</f>
        <v/>
      </c>
    </row>
    <row r="120" customFormat="false" ht="15" hidden="false" customHeight="true" outlineLevel="0" collapsed="false">
      <c r="A120" s="101" t="str">
        <f aca="false">IFERROR(INDEX(DITARI!$D$6:$D$550,MATCH(0,COUNTIF($A$1:A119,DITARI!$D$6:$D$550)+(DITARI!$D$6:$D$550=""),0)),"")</f>
        <v/>
      </c>
      <c r="B120" s="101" t="str">
        <f aca="false">IF($A120="","",IFERROR(VLOOKUP($A120,PLANI_LLOGARIVE!$A:$I,2,FALSE()),"⚠ Nuk është te PLANI_LLOGARIVE"))</f>
        <v/>
      </c>
      <c r="C120" s="101" t="str">
        <f aca="false">IF($A120="","",IFERROR(VLOOKUP($A120,PLANI_LLOGARIVE!$A:$I,9,FALSE()),""))</f>
        <v/>
      </c>
      <c r="D120" s="101" t="str">
        <f aca="false">IF($A120="","",COUNTIF(DITARI!$D:$D,$A120))</f>
        <v/>
      </c>
      <c r="E120" s="101" t="str">
        <f aca="false">IF($A120="","",SUMIFS(DITARI!$F:$F,DITARI!$D:$D,$A120))</f>
        <v/>
      </c>
      <c r="F120" s="101" t="str">
        <f aca="false">IF($A120="","",SUMIFS(DITARI!$G:$G,DITARI!$D:$D,$A120))</f>
        <v/>
      </c>
      <c r="G120" s="101" t="str">
        <f aca="false">IF($A120="","",$E120-$F120)</f>
        <v/>
      </c>
    </row>
    <row r="121" customFormat="false" ht="15" hidden="false" customHeight="true" outlineLevel="0" collapsed="false">
      <c r="A121" s="101" t="str">
        <f aca="false">IFERROR(INDEX(DITARI!$D$6:$D$550,MATCH(0,COUNTIF($A$1:A120,DITARI!$D$6:$D$550)+(DITARI!$D$6:$D$550=""),0)),"")</f>
        <v/>
      </c>
      <c r="B121" s="101" t="str">
        <f aca="false">IF($A121="","",IFERROR(VLOOKUP($A121,PLANI_LLOGARIVE!$A:$I,2,FALSE()),"⚠ Nuk është te PLANI_LLOGARIVE"))</f>
        <v/>
      </c>
      <c r="C121" s="101" t="str">
        <f aca="false">IF($A121="","",IFERROR(VLOOKUP($A121,PLANI_LLOGARIVE!$A:$I,9,FALSE()),""))</f>
        <v/>
      </c>
      <c r="D121" s="101" t="str">
        <f aca="false">IF($A121="","",COUNTIF(DITARI!$D:$D,$A121))</f>
        <v/>
      </c>
      <c r="E121" s="101" t="str">
        <f aca="false">IF($A121="","",SUMIFS(DITARI!$F:$F,DITARI!$D:$D,$A121))</f>
        <v/>
      </c>
      <c r="F121" s="101" t="str">
        <f aca="false">IF($A121="","",SUMIFS(DITARI!$G:$G,DITARI!$D:$D,$A121))</f>
        <v/>
      </c>
      <c r="G121" s="101" t="str">
        <f aca="false">IF($A121="","",$E121-$F121)</f>
        <v/>
      </c>
    </row>
    <row r="122" customFormat="false" ht="15" hidden="false" customHeight="true" outlineLevel="0" collapsed="false">
      <c r="A122" s="101" t="str">
        <f aca="false">IFERROR(INDEX(DITARI!$D$6:$D$550,MATCH(0,COUNTIF($A$1:A121,DITARI!$D$6:$D$550)+(DITARI!$D$6:$D$550=""),0)),"")</f>
        <v/>
      </c>
      <c r="B122" s="101" t="str">
        <f aca="false">IF($A122="","",IFERROR(VLOOKUP($A122,PLANI_LLOGARIVE!$A:$I,2,FALSE()),"⚠ Nuk është te PLANI_LLOGARIVE"))</f>
        <v/>
      </c>
      <c r="C122" s="101" t="str">
        <f aca="false">IF($A122="","",IFERROR(VLOOKUP($A122,PLANI_LLOGARIVE!$A:$I,9,FALSE()),""))</f>
        <v/>
      </c>
      <c r="D122" s="101" t="str">
        <f aca="false">IF($A122="","",COUNTIF(DITARI!$D:$D,$A122))</f>
        <v/>
      </c>
      <c r="E122" s="101" t="str">
        <f aca="false">IF($A122="","",SUMIFS(DITARI!$F:$F,DITARI!$D:$D,$A122))</f>
        <v/>
      </c>
      <c r="F122" s="101" t="str">
        <f aca="false">IF($A122="","",SUMIFS(DITARI!$G:$G,DITARI!$D:$D,$A122))</f>
        <v/>
      </c>
      <c r="G122" s="101" t="str">
        <f aca="false">IF($A122="","",$E122-$F122)</f>
        <v/>
      </c>
    </row>
    <row r="123" customFormat="false" ht="15" hidden="false" customHeight="true" outlineLevel="0" collapsed="false">
      <c r="A123" s="101" t="str">
        <f aca="false">IFERROR(INDEX(DITARI!$D$6:$D$550,MATCH(0,COUNTIF($A$1:A122,DITARI!$D$6:$D$550)+(DITARI!$D$6:$D$550=""),0)),"")</f>
        <v/>
      </c>
      <c r="B123" s="101" t="str">
        <f aca="false">IF($A123="","",IFERROR(VLOOKUP($A123,PLANI_LLOGARIVE!$A:$I,2,FALSE()),"⚠ Nuk është te PLANI_LLOGARIVE"))</f>
        <v/>
      </c>
      <c r="C123" s="101" t="str">
        <f aca="false">IF($A123="","",IFERROR(VLOOKUP($A123,PLANI_LLOGARIVE!$A:$I,9,FALSE()),""))</f>
        <v/>
      </c>
      <c r="D123" s="101" t="str">
        <f aca="false">IF($A123="","",COUNTIF(DITARI!$D:$D,$A123))</f>
        <v/>
      </c>
      <c r="E123" s="101" t="str">
        <f aca="false">IF($A123="","",SUMIFS(DITARI!$F:$F,DITARI!$D:$D,$A123))</f>
        <v/>
      </c>
      <c r="F123" s="101" t="str">
        <f aca="false">IF($A123="","",SUMIFS(DITARI!$G:$G,DITARI!$D:$D,$A123))</f>
        <v/>
      </c>
      <c r="G123" s="101" t="str">
        <f aca="false">IF($A123="","",$E123-$F123)</f>
        <v/>
      </c>
    </row>
    <row r="124" customFormat="false" ht="15" hidden="false" customHeight="true" outlineLevel="0" collapsed="false">
      <c r="A124" s="101" t="str">
        <f aca="false">IFERROR(INDEX(DITARI!$D$6:$D$550,MATCH(0,COUNTIF($A$1:A123,DITARI!$D$6:$D$550)+(DITARI!$D$6:$D$550=""),0)),"")</f>
        <v/>
      </c>
      <c r="B124" s="101" t="str">
        <f aca="false">IF($A124="","",IFERROR(VLOOKUP($A124,PLANI_LLOGARIVE!$A:$I,2,FALSE()),"⚠ Nuk është te PLANI_LLOGARIVE"))</f>
        <v/>
      </c>
      <c r="C124" s="101" t="str">
        <f aca="false">IF($A124="","",IFERROR(VLOOKUP($A124,PLANI_LLOGARIVE!$A:$I,9,FALSE()),""))</f>
        <v/>
      </c>
      <c r="D124" s="101" t="str">
        <f aca="false">IF($A124="","",COUNTIF(DITARI!$D:$D,$A124))</f>
        <v/>
      </c>
      <c r="E124" s="101" t="str">
        <f aca="false">IF($A124="","",SUMIFS(DITARI!$F:$F,DITARI!$D:$D,$A124))</f>
        <v/>
      </c>
      <c r="F124" s="101" t="str">
        <f aca="false">IF($A124="","",SUMIFS(DITARI!$G:$G,DITARI!$D:$D,$A124))</f>
        <v/>
      </c>
      <c r="G124" s="101" t="str">
        <f aca="false">IF($A124="","",$E124-$F124)</f>
        <v/>
      </c>
    </row>
    <row r="125" customFormat="false" ht="15" hidden="false" customHeight="true" outlineLevel="0" collapsed="false">
      <c r="A125" s="101" t="str">
        <f aca="false">IFERROR(INDEX(DITARI!$D$6:$D$550,MATCH(0,COUNTIF($A$1:A124,DITARI!$D$6:$D$550)+(DITARI!$D$6:$D$550=""),0)),"")</f>
        <v/>
      </c>
      <c r="B125" s="101" t="str">
        <f aca="false">IF($A125="","",IFERROR(VLOOKUP($A125,PLANI_LLOGARIVE!$A:$I,2,FALSE()),"⚠ Nuk është te PLANI_LLOGARIVE"))</f>
        <v/>
      </c>
      <c r="C125" s="101" t="str">
        <f aca="false">IF($A125="","",IFERROR(VLOOKUP($A125,PLANI_LLOGARIVE!$A:$I,9,FALSE()),""))</f>
        <v/>
      </c>
      <c r="D125" s="101" t="str">
        <f aca="false">IF($A125="","",COUNTIF(DITARI!$D:$D,$A125))</f>
        <v/>
      </c>
      <c r="E125" s="101" t="str">
        <f aca="false">IF($A125="","",SUMIFS(DITARI!$F:$F,DITARI!$D:$D,$A125))</f>
        <v/>
      </c>
      <c r="F125" s="101" t="str">
        <f aca="false">IF($A125="","",SUMIFS(DITARI!$G:$G,DITARI!$D:$D,$A125))</f>
        <v/>
      </c>
      <c r="G125" s="101" t="str">
        <f aca="false">IF($A125="","",$E125-$F125)</f>
        <v/>
      </c>
    </row>
    <row r="126" customFormat="false" ht="15" hidden="false" customHeight="true" outlineLevel="0" collapsed="false">
      <c r="A126" s="101" t="str">
        <f aca="false">IFERROR(INDEX(DITARI!$D$6:$D$550,MATCH(0,COUNTIF($A$1:A125,DITARI!$D$6:$D$550)+(DITARI!$D$6:$D$550=""),0)),"")</f>
        <v/>
      </c>
      <c r="B126" s="101" t="str">
        <f aca="false">IF($A126="","",IFERROR(VLOOKUP($A126,PLANI_LLOGARIVE!$A:$I,2,FALSE()),"⚠ Nuk është te PLANI_LLOGARIVE"))</f>
        <v/>
      </c>
      <c r="C126" s="101" t="str">
        <f aca="false">IF($A126="","",IFERROR(VLOOKUP($A126,PLANI_LLOGARIVE!$A:$I,9,FALSE()),""))</f>
        <v/>
      </c>
      <c r="D126" s="101" t="str">
        <f aca="false">IF($A126="","",COUNTIF(DITARI!$D:$D,$A126))</f>
        <v/>
      </c>
      <c r="E126" s="101" t="str">
        <f aca="false">IF($A126="","",SUMIFS(DITARI!$F:$F,DITARI!$D:$D,$A126))</f>
        <v/>
      </c>
      <c r="F126" s="101" t="str">
        <f aca="false">IF($A126="","",SUMIFS(DITARI!$G:$G,DITARI!$D:$D,$A126))</f>
        <v/>
      </c>
      <c r="G126" s="101" t="str">
        <f aca="false">IF($A126="","",$E126-$F126)</f>
        <v/>
      </c>
    </row>
    <row r="127" customFormat="false" ht="15" hidden="false" customHeight="true" outlineLevel="0" collapsed="false">
      <c r="A127" s="101" t="str">
        <f aca="false">IFERROR(INDEX(DITARI!$D$6:$D$550,MATCH(0,COUNTIF($A$1:A126,DITARI!$D$6:$D$550)+(DITARI!$D$6:$D$550=""),0)),"")</f>
        <v/>
      </c>
      <c r="B127" s="101" t="str">
        <f aca="false">IF($A127="","",IFERROR(VLOOKUP($A127,PLANI_LLOGARIVE!$A:$I,2,FALSE()),"⚠ Nuk është te PLANI_LLOGARIVE"))</f>
        <v/>
      </c>
      <c r="C127" s="101" t="str">
        <f aca="false">IF($A127="","",IFERROR(VLOOKUP($A127,PLANI_LLOGARIVE!$A:$I,9,FALSE()),""))</f>
        <v/>
      </c>
      <c r="D127" s="101" t="str">
        <f aca="false">IF($A127="","",COUNTIF(DITARI!$D:$D,$A127))</f>
        <v/>
      </c>
      <c r="E127" s="101" t="str">
        <f aca="false">IF($A127="","",SUMIFS(DITARI!$F:$F,DITARI!$D:$D,$A127))</f>
        <v/>
      </c>
      <c r="F127" s="101" t="str">
        <f aca="false">IF($A127="","",SUMIFS(DITARI!$G:$G,DITARI!$D:$D,$A127))</f>
        <v/>
      </c>
      <c r="G127" s="101" t="str">
        <f aca="false">IF($A127="","",$E127-$F127)</f>
        <v/>
      </c>
    </row>
    <row r="128" customFormat="false" ht="15" hidden="false" customHeight="true" outlineLevel="0" collapsed="false">
      <c r="A128" s="101" t="str">
        <f aca="false">IFERROR(INDEX(DITARI!$D$6:$D$550,MATCH(0,COUNTIF($A$1:A127,DITARI!$D$6:$D$550)+(DITARI!$D$6:$D$550=""),0)),"")</f>
        <v/>
      </c>
      <c r="B128" s="101" t="str">
        <f aca="false">IF($A128="","",IFERROR(VLOOKUP($A128,PLANI_LLOGARIVE!$A:$I,2,FALSE()),"⚠ Nuk është te PLANI_LLOGARIVE"))</f>
        <v/>
      </c>
      <c r="C128" s="101" t="str">
        <f aca="false">IF($A128="","",IFERROR(VLOOKUP($A128,PLANI_LLOGARIVE!$A:$I,9,FALSE()),""))</f>
        <v/>
      </c>
      <c r="D128" s="101" t="str">
        <f aca="false">IF($A128="","",COUNTIF(DITARI!$D:$D,$A128))</f>
        <v/>
      </c>
      <c r="E128" s="101" t="str">
        <f aca="false">IF($A128="","",SUMIFS(DITARI!$F:$F,DITARI!$D:$D,$A128))</f>
        <v/>
      </c>
      <c r="F128" s="101" t="str">
        <f aca="false">IF($A128="","",SUMIFS(DITARI!$G:$G,DITARI!$D:$D,$A128))</f>
        <v/>
      </c>
      <c r="G128" s="101" t="str">
        <f aca="false">IF($A128="","",$E128-$F128)</f>
        <v/>
      </c>
    </row>
    <row r="129" customFormat="false" ht="15" hidden="false" customHeight="true" outlineLevel="0" collapsed="false">
      <c r="A129" s="101" t="str">
        <f aca="false">IFERROR(INDEX(DITARI!$D$6:$D$550,MATCH(0,COUNTIF($A$1:A128,DITARI!$D$6:$D$550)+(DITARI!$D$6:$D$550=""),0)),"")</f>
        <v/>
      </c>
      <c r="B129" s="101" t="str">
        <f aca="false">IF($A129="","",IFERROR(VLOOKUP($A129,PLANI_LLOGARIVE!$A:$I,2,FALSE()),"⚠ Nuk është te PLANI_LLOGARIVE"))</f>
        <v/>
      </c>
      <c r="C129" s="101" t="str">
        <f aca="false">IF($A129="","",IFERROR(VLOOKUP($A129,PLANI_LLOGARIVE!$A:$I,9,FALSE()),""))</f>
        <v/>
      </c>
      <c r="D129" s="101" t="str">
        <f aca="false">IF($A129="","",COUNTIF(DITARI!$D:$D,$A129))</f>
        <v/>
      </c>
      <c r="E129" s="101" t="str">
        <f aca="false">IF($A129="","",SUMIFS(DITARI!$F:$F,DITARI!$D:$D,$A129))</f>
        <v/>
      </c>
      <c r="F129" s="101" t="str">
        <f aca="false">IF($A129="","",SUMIFS(DITARI!$G:$G,DITARI!$D:$D,$A129))</f>
        <v/>
      </c>
      <c r="G129" s="101" t="str">
        <f aca="false">IF($A129="","",$E129-$F129)</f>
        <v/>
      </c>
    </row>
    <row r="130" customFormat="false" ht="15" hidden="false" customHeight="true" outlineLevel="0" collapsed="false">
      <c r="A130" s="101" t="str">
        <f aca="false">IFERROR(INDEX(DITARI!$D$6:$D$550,MATCH(0,COUNTIF($A$1:A129,DITARI!$D$6:$D$550)+(DITARI!$D$6:$D$550=""),0)),"")</f>
        <v/>
      </c>
      <c r="B130" s="101" t="str">
        <f aca="false">IF($A130="","",IFERROR(VLOOKUP($A130,PLANI_LLOGARIVE!$A:$I,2,FALSE()),"⚠ Nuk është te PLANI_LLOGARIVE"))</f>
        <v/>
      </c>
      <c r="C130" s="101" t="str">
        <f aca="false">IF($A130="","",IFERROR(VLOOKUP($A130,PLANI_LLOGARIVE!$A:$I,9,FALSE()),""))</f>
        <v/>
      </c>
      <c r="D130" s="101" t="str">
        <f aca="false">IF($A130="","",COUNTIF(DITARI!$D:$D,$A130))</f>
        <v/>
      </c>
      <c r="E130" s="101" t="str">
        <f aca="false">IF($A130="","",SUMIFS(DITARI!$F:$F,DITARI!$D:$D,$A130))</f>
        <v/>
      </c>
      <c r="F130" s="101" t="str">
        <f aca="false">IF($A130="","",SUMIFS(DITARI!$G:$G,DITARI!$D:$D,$A130))</f>
        <v/>
      </c>
      <c r="G130" s="101" t="str">
        <f aca="false">IF($A130="","",$E130-$F130)</f>
        <v/>
      </c>
    </row>
    <row r="131" customFormat="false" ht="15" hidden="false" customHeight="true" outlineLevel="0" collapsed="false">
      <c r="A131" s="101" t="str">
        <f aca="false">IFERROR(INDEX(DITARI!$D$6:$D$550,MATCH(0,COUNTIF($A$1:A130,DITARI!$D$6:$D$550)+(DITARI!$D$6:$D$550=""),0)),"")</f>
        <v/>
      </c>
      <c r="B131" s="101" t="str">
        <f aca="false">IF($A131="","",IFERROR(VLOOKUP($A131,PLANI_LLOGARIVE!$A:$I,2,FALSE()),"⚠ Nuk është te PLANI_LLOGARIVE"))</f>
        <v/>
      </c>
      <c r="C131" s="101" t="str">
        <f aca="false">IF($A131="","",IFERROR(VLOOKUP($A131,PLANI_LLOGARIVE!$A:$I,9,FALSE()),""))</f>
        <v/>
      </c>
      <c r="D131" s="101" t="str">
        <f aca="false">IF($A131="","",COUNTIF(DITARI!$D:$D,$A131))</f>
        <v/>
      </c>
      <c r="E131" s="101" t="str">
        <f aca="false">IF($A131="","",SUMIFS(DITARI!$F:$F,DITARI!$D:$D,$A131))</f>
        <v/>
      </c>
      <c r="F131" s="101" t="str">
        <f aca="false">IF($A131="","",SUMIFS(DITARI!$G:$G,DITARI!$D:$D,$A131))</f>
        <v/>
      </c>
      <c r="G131" s="101" t="str">
        <f aca="false">IF($A131="","",$E131-$F131)</f>
        <v/>
      </c>
    </row>
    <row r="132" customFormat="false" ht="15" hidden="false" customHeight="true" outlineLevel="0" collapsed="false">
      <c r="A132" s="101" t="str">
        <f aca="false">IFERROR(INDEX(DITARI!$D$6:$D$550,MATCH(0,COUNTIF($A$1:A131,DITARI!$D$6:$D$550)+(DITARI!$D$6:$D$550=""),0)),"")</f>
        <v/>
      </c>
      <c r="B132" s="101" t="str">
        <f aca="false">IF($A132="","",IFERROR(VLOOKUP($A132,PLANI_LLOGARIVE!$A:$I,2,FALSE()),"⚠ Nuk është te PLANI_LLOGARIVE"))</f>
        <v/>
      </c>
      <c r="C132" s="101" t="str">
        <f aca="false">IF($A132="","",IFERROR(VLOOKUP($A132,PLANI_LLOGARIVE!$A:$I,9,FALSE()),""))</f>
        <v/>
      </c>
      <c r="D132" s="101" t="str">
        <f aca="false">IF($A132="","",COUNTIF(DITARI!$D:$D,$A132))</f>
        <v/>
      </c>
      <c r="E132" s="101" t="str">
        <f aca="false">IF($A132="","",SUMIFS(DITARI!$F:$F,DITARI!$D:$D,$A132))</f>
        <v/>
      </c>
      <c r="F132" s="101" t="str">
        <f aca="false">IF($A132="","",SUMIFS(DITARI!$G:$G,DITARI!$D:$D,$A132))</f>
        <v/>
      </c>
      <c r="G132" s="101" t="str">
        <f aca="false">IF($A132="","",$E132-$F132)</f>
        <v/>
      </c>
    </row>
    <row r="133" customFormat="false" ht="15" hidden="false" customHeight="true" outlineLevel="0" collapsed="false">
      <c r="A133" s="101" t="str">
        <f aca="false">IFERROR(INDEX(DITARI!$D$6:$D$550,MATCH(0,COUNTIF($A$1:A132,DITARI!$D$6:$D$550)+(DITARI!$D$6:$D$550=""),0)),"")</f>
        <v/>
      </c>
      <c r="B133" s="101" t="str">
        <f aca="false">IF($A133="","",IFERROR(VLOOKUP($A133,PLANI_LLOGARIVE!$A:$I,2,FALSE()),"⚠ Nuk është te PLANI_LLOGARIVE"))</f>
        <v/>
      </c>
      <c r="C133" s="101" t="str">
        <f aca="false">IF($A133="","",IFERROR(VLOOKUP($A133,PLANI_LLOGARIVE!$A:$I,9,FALSE()),""))</f>
        <v/>
      </c>
      <c r="D133" s="101" t="str">
        <f aca="false">IF($A133="","",COUNTIF(DITARI!$D:$D,$A133))</f>
        <v/>
      </c>
      <c r="E133" s="101" t="str">
        <f aca="false">IF($A133="","",SUMIFS(DITARI!$F:$F,DITARI!$D:$D,$A133))</f>
        <v/>
      </c>
      <c r="F133" s="101" t="str">
        <f aca="false">IF($A133="","",SUMIFS(DITARI!$G:$G,DITARI!$D:$D,$A133))</f>
        <v/>
      </c>
      <c r="G133" s="101" t="str">
        <f aca="false">IF($A133="","",$E133-$F133)</f>
        <v/>
      </c>
    </row>
    <row r="134" customFormat="false" ht="15" hidden="false" customHeight="true" outlineLevel="0" collapsed="false">
      <c r="A134" s="101" t="str">
        <f aca="false">IFERROR(INDEX(DITARI!$D$6:$D$550,MATCH(0,COUNTIF($A$1:A133,DITARI!$D$6:$D$550)+(DITARI!$D$6:$D$550=""),0)),"")</f>
        <v/>
      </c>
      <c r="B134" s="101" t="str">
        <f aca="false">IF($A134="","",IFERROR(VLOOKUP($A134,PLANI_LLOGARIVE!$A:$I,2,FALSE()),"⚠ Nuk është te PLANI_LLOGARIVE"))</f>
        <v/>
      </c>
      <c r="C134" s="101" t="str">
        <f aca="false">IF($A134="","",IFERROR(VLOOKUP($A134,PLANI_LLOGARIVE!$A:$I,9,FALSE()),""))</f>
        <v/>
      </c>
      <c r="D134" s="101" t="str">
        <f aca="false">IF($A134="","",COUNTIF(DITARI!$D:$D,$A134))</f>
        <v/>
      </c>
      <c r="E134" s="101" t="str">
        <f aca="false">IF($A134="","",SUMIFS(DITARI!$F:$F,DITARI!$D:$D,$A134))</f>
        <v/>
      </c>
      <c r="F134" s="101" t="str">
        <f aca="false">IF($A134="","",SUMIFS(DITARI!$G:$G,DITARI!$D:$D,$A134))</f>
        <v/>
      </c>
      <c r="G134" s="101" t="str">
        <f aca="false">IF($A134="","",$E134-$F134)</f>
        <v/>
      </c>
    </row>
    <row r="135" customFormat="false" ht="15" hidden="false" customHeight="true" outlineLevel="0" collapsed="false">
      <c r="A135" s="101" t="str">
        <f aca="false">IFERROR(INDEX(DITARI!$D$6:$D$550,MATCH(0,COUNTIF($A$1:A134,DITARI!$D$6:$D$550)+(DITARI!$D$6:$D$550=""),0)),"")</f>
        <v/>
      </c>
      <c r="B135" s="101" t="str">
        <f aca="false">IF($A135="","",IFERROR(VLOOKUP($A135,PLANI_LLOGARIVE!$A:$I,2,FALSE()),"⚠ Nuk është te PLANI_LLOGARIVE"))</f>
        <v/>
      </c>
      <c r="C135" s="101" t="str">
        <f aca="false">IF($A135="","",IFERROR(VLOOKUP($A135,PLANI_LLOGARIVE!$A:$I,9,FALSE()),""))</f>
        <v/>
      </c>
      <c r="D135" s="101" t="str">
        <f aca="false">IF($A135="","",COUNTIF(DITARI!$D:$D,$A135))</f>
        <v/>
      </c>
      <c r="E135" s="101" t="str">
        <f aca="false">IF($A135="","",SUMIFS(DITARI!$F:$F,DITARI!$D:$D,$A135))</f>
        <v/>
      </c>
      <c r="F135" s="101" t="str">
        <f aca="false">IF($A135="","",SUMIFS(DITARI!$G:$G,DITARI!$D:$D,$A135))</f>
        <v/>
      </c>
      <c r="G135" s="101" t="str">
        <f aca="false">IF($A135="","",$E135-$F135)</f>
        <v/>
      </c>
    </row>
    <row r="136" customFormat="false" ht="15" hidden="false" customHeight="true" outlineLevel="0" collapsed="false">
      <c r="A136" s="101" t="str">
        <f aca="false">IFERROR(INDEX(DITARI!$D$6:$D$550,MATCH(0,COUNTIF($A$1:A135,DITARI!$D$6:$D$550)+(DITARI!$D$6:$D$550=""),0)),"")</f>
        <v/>
      </c>
      <c r="B136" s="101" t="str">
        <f aca="false">IF($A136="","",IFERROR(VLOOKUP($A136,PLANI_LLOGARIVE!$A:$I,2,FALSE()),"⚠ Nuk është te PLANI_LLOGARIVE"))</f>
        <v/>
      </c>
      <c r="C136" s="101" t="str">
        <f aca="false">IF($A136="","",IFERROR(VLOOKUP($A136,PLANI_LLOGARIVE!$A:$I,9,FALSE()),""))</f>
        <v/>
      </c>
      <c r="D136" s="101" t="str">
        <f aca="false">IF($A136="","",COUNTIF(DITARI!$D:$D,$A136))</f>
        <v/>
      </c>
      <c r="E136" s="101" t="str">
        <f aca="false">IF($A136="","",SUMIFS(DITARI!$F:$F,DITARI!$D:$D,$A136))</f>
        <v/>
      </c>
      <c r="F136" s="101" t="str">
        <f aca="false">IF($A136="","",SUMIFS(DITARI!$G:$G,DITARI!$D:$D,$A136))</f>
        <v/>
      </c>
      <c r="G136" s="101" t="str">
        <f aca="false">IF($A136="","",$E136-$F136)</f>
        <v/>
      </c>
    </row>
    <row r="137" customFormat="false" ht="15" hidden="false" customHeight="true" outlineLevel="0" collapsed="false">
      <c r="A137" s="101" t="str">
        <f aca="false">IFERROR(INDEX(DITARI!$D$6:$D$550,MATCH(0,COUNTIF($A$1:A136,DITARI!$D$6:$D$550)+(DITARI!$D$6:$D$550=""),0)),"")</f>
        <v/>
      </c>
      <c r="B137" s="101" t="str">
        <f aca="false">IF($A137="","",IFERROR(VLOOKUP($A137,PLANI_LLOGARIVE!$A:$I,2,FALSE()),"⚠ Nuk është te PLANI_LLOGARIVE"))</f>
        <v/>
      </c>
      <c r="C137" s="101" t="str">
        <f aca="false">IF($A137="","",IFERROR(VLOOKUP($A137,PLANI_LLOGARIVE!$A:$I,9,FALSE()),""))</f>
        <v/>
      </c>
      <c r="D137" s="101" t="str">
        <f aca="false">IF($A137="","",COUNTIF(DITARI!$D:$D,$A137))</f>
        <v/>
      </c>
      <c r="E137" s="101" t="str">
        <f aca="false">IF($A137="","",SUMIFS(DITARI!$F:$F,DITARI!$D:$D,$A137))</f>
        <v/>
      </c>
      <c r="F137" s="101" t="str">
        <f aca="false">IF($A137="","",SUMIFS(DITARI!$G:$G,DITARI!$D:$D,$A137))</f>
        <v/>
      </c>
      <c r="G137" s="101" t="str">
        <f aca="false">IF($A137="","",$E137-$F137)</f>
        <v/>
      </c>
    </row>
    <row r="138" customFormat="false" ht="15" hidden="false" customHeight="true" outlineLevel="0" collapsed="false">
      <c r="A138" s="101" t="str">
        <f aca="false">IFERROR(INDEX(DITARI!$D$6:$D$550,MATCH(0,COUNTIF($A$1:A137,DITARI!$D$6:$D$550)+(DITARI!$D$6:$D$550=""),0)),"")</f>
        <v/>
      </c>
      <c r="B138" s="101" t="str">
        <f aca="false">IF($A138="","",IFERROR(VLOOKUP($A138,PLANI_LLOGARIVE!$A:$I,2,FALSE()),"⚠ Nuk është te PLANI_LLOGARIVE"))</f>
        <v/>
      </c>
      <c r="C138" s="101" t="str">
        <f aca="false">IF($A138="","",IFERROR(VLOOKUP($A138,PLANI_LLOGARIVE!$A:$I,9,FALSE()),""))</f>
        <v/>
      </c>
      <c r="D138" s="101" t="str">
        <f aca="false">IF($A138="","",COUNTIF(DITARI!$D:$D,$A138))</f>
        <v/>
      </c>
      <c r="E138" s="101" t="str">
        <f aca="false">IF($A138="","",SUMIFS(DITARI!$F:$F,DITARI!$D:$D,$A138))</f>
        <v/>
      </c>
      <c r="F138" s="101" t="str">
        <f aca="false">IF($A138="","",SUMIFS(DITARI!$G:$G,DITARI!$D:$D,$A138))</f>
        <v/>
      </c>
      <c r="G138" s="101" t="str">
        <f aca="false">IF($A138="","",$E138-$F138)</f>
        <v/>
      </c>
    </row>
    <row r="139" customFormat="false" ht="15" hidden="false" customHeight="true" outlineLevel="0" collapsed="false">
      <c r="A139" s="101" t="str">
        <f aca="false">IFERROR(INDEX(DITARI!$D$6:$D$550,MATCH(0,COUNTIF($A$1:A138,DITARI!$D$6:$D$550)+(DITARI!$D$6:$D$550=""),0)),"")</f>
        <v/>
      </c>
      <c r="B139" s="101" t="str">
        <f aca="false">IF($A139="","",IFERROR(VLOOKUP($A139,PLANI_LLOGARIVE!$A:$I,2,FALSE()),"⚠ Nuk është te PLANI_LLOGARIVE"))</f>
        <v/>
      </c>
      <c r="C139" s="101" t="str">
        <f aca="false">IF($A139="","",IFERROR(VLOOKUP($A139,PLANI_LLOGARIVE!$A:$I,9,FALSE()),""))</f>
        <v/>
      </c>
      <c r="D139" s="101" t="str">
        <f aca="false">IF($A139="","",COUNTIF(DITARI!$D:$D,$A139))</f>
        <v/>
      </c>
      <c r="E139" s="101" t="str">
        <f aca="false">IF($A139="","",SUMIFS(DITARI!$F:$F,DITARI!$D:$D,$A139))</f>
        <v/>
      </c>
      <c r="F139" s="101" t="str">
        <f aca="false">IF($A139="","",SUMIFS(DITARI!$G:$G,DITARI!$D:$D,$A139))</f>
        <v/>
      </c>
      <c r="G139" s="101" t="str">
        <f aca="false">IF($A139="","",$E139-$F139)</f>
        <v/>
      </c>
    </row>
    <row r="140" customFormat="false" ht="15" hidden="false" customHeight="true" outlineLevel="0" collapsed="false">
      <c r="A140" s="101" t="str">
        <f aca="false">IFERROR(INDEX(DITARI!$D$6:$D$550,MATCH(0,COUNTIF($A$1:A139,DITARI!$D$6:$D$550)+(DITARI!$D$6:$D$550=""),0)),"")</f>
        <v/>
      </c>
      <c r="B140" s="101" t="str">
        <f aca="false">IF($A140="","",IFERROR(VLOOKUP($A140,PLANI_LLOGARIVE!$A:$I,2,FALSE()),"⚠ Nuk është te PLANI_LLOGARIVE"))</f>
        <v/>
      </c>
      <c r="C140" s="101" t="str">
        <f aca="false">IF($A140="","",IFERROR(VLOOKUP($A140,PLANI_LLOGARIVE!$A:$I,9,FALSE()),""))</f>
        <v/>
      </c>
      <c r="D140" s="101" t="str">
        <f aca="false">IF($A140="","",COUNTIF(DITARI!$D:$D,$A140))</f>
        <v/>
      </c>
      <c r="E140" s="101" t="str">
        <f aca="false">IF($A140="","",SUMIFS(DITARI!$F:$F,DITARI!$D:$D,$A140))</f>
        <v/>
      </c>
      <c r="F140" s="101" t="str">
        <f aca="false">IF($A140="","",SUMIFS(DITARI!$G:$G,DITARI!$D:$D,$A140))</f>
        <v/>
      </c>
      <c r="G140" s="101" t="str">
        <f aca="false">IF($A140="","",$E140-$F140)</f>
        <v/>
      </c>
    </row>
    <row r="141" customFormat="false" ht="15" hidden="false" customHeight="true" outlineLevel="0" collapsed="false">
      <c r="A141" s="101" t="str">
        <f aca="false">IFERROR(INDEX(DITARI!$D$6:$D$550,MATCH(0,COUNTIF($A$1:A140,DITARI!$D$6:$D$550)+(DITARI!$D$6:$D$550=""),0)),"")</f>
        <v/>
      </c>
      <c r="B141" s="101" t="str">
        <f aca="false">IF($A141="","",IFERROR(VLOOKUP($A141,PLANI_LLOGARIVE!$A:$I,2,FALSE()),"⚠ Nuk është te PLANI_LLOGARIVE"))</f>
        <v/>
      </c>
      <c r="C141" s="101" t="str">
        <f aca="false">IF($A141="","",IFERROR(VLOOKUP($A141,PLANI_LLOGARIVE!$A:$I,9,FALSE()),""))</f>
        <v/>
      </c>
      <c r="D141" s="101" t="str">
        <f aca="false">IF($A141="","",COUNTIF(DITARI!$D:$D,$A141))</f>
        <v/>
      </c>
      <c r="E141" s="101" t="str">
        <f aca="false">IF($A141="","",SUMIFS(DITARI!$F:$F,DITARI!$D:$D,$A141))</f>
        <v/>
      </c>
      <c r="F141" s="101" t="str">
        <f aca="false">IF($A141="","",SUMIFS(DITARI!$G:$G,DITARI!$D:$D,$A141))</f>
        <v/>
      </c>
      <c r="G141" s="101" t="str">
        <f aca="false">IF($A141="","",$E141-$F141)</f>
        <v/>
      </c>
    </row>
    <row r="142" customFormat="false" ht="15" hidden="false" customHeight="true" outlineLevel="0" collapsed="false">
      <c r="A142" s="101" t="str">
        <f aca="false">IFERROR(INDEX(DITARI!$D$6:$D$550,MATCH(0,COUNTIF($A$1:A141,DITARI!$D$6:$D$550)+(DITARI!$D$6:$D$550=""),0)),"")</f>
        <v/>
      </c>
      <c r="B142" s="101" t="str">
        <f aca="false">IF($A142="","",IFERROR(VLOOKUP($A142,PLANI_LLOGARIVE!$A:$I,2,FALSE()),"⚠ Nuk është te PLANI_LLOGARIVE"))</f>
        <v/>
      </c>
      <c r="C142" s="101" t="str">
        <f aca="false">IF($A142="","",IFERROR(VLOOKUP($A142,PLANI_LLOGARIVE!$A:$I,9,FALSE()),""))</f>
        <v/>
      </c>
      <c r="D142" s="101" t="str">
        <f aca="false">IF($A142="","",COUNTIF(DITARI!$D:$D,$A142))</f>
        <v/>
      </c>
      <c r="E142" s="101" t="str">
        <f aca="false">IF($A142="","",SUMIFS(DITARI!$F:$F,DITARI!$D:$D,$A142))</f>
        <v/>
      </c>
      <c r="F142" s="101" t="str">
        <f aca="false">IF($A142="","",SUMIFS(DITARI!$G:$G,DITARI!$D:$D,$A142))</f>
        <v/>
      </c>
      <c r="G142" s="101" t="str">
        <f aca="false">IF($A142="","",$E142-$F142)</f>
        <v/>
      </c>
    </row>
    <row r="143" customFormat="false" ht="15" hidden="false" customHeight="true" outlineLevel="0" collapsed="false">
      <c r="A143" s="101" t="str">
        <f aca="false">IFERROR(INDEX(DITARI!$D$6:$D$550,MATCH(0,COUNTIF($A$1:A142,DITARI!$D$6:$D$550)+(DITARI!$D$6:$D$550=""),0)),"")</f>
        <v/>
      </c>
      <c r="B143" s="101" t="str">
        <f aca="false">IF($A143="","",IFERROR(VLOOKUP($A143,PLANI_LLOGARIVE!$A:$I,2,FALSE()),"⚠ Nuk është te PLANI_LLOGARIVE"))</f>
        <v/>
      </c>
      <c r="C143" s="101" t="str">
        <f aca="false">IF($A143="","",IFERROR(VLOOKUP($A143,PLANI_LLOGARIVE!$A:$I,9,FALSE()),""))</f>
        <v/>
      </c>
      <c r="D143" s="101" t="str">
        <f aca="false">IF($A143="","",COUNTIF(DITARI!$D:$D,$A143))</f>
        <v/>
      </c>
      <c r="E143" s="101" t="str">
        <f aca="false">IF($A143="","",SUMIFS(DITARI!$F:$F,DITARI!$D:$D,$A143))</f>
        <v/>
      </c>
      <c r="F143" s="101" t="str">
        <f aca="false">IF($A143="","",SUMIFS(DITARI!$G:$G,DITARI!$D:$D,$A143))</f>
        <v/>
      </c>
      <c r="G143" s="101" t="str">
        <f aca="false">IF($A143="","",$E143-$F143)</f>
        <v/>
      </c>
    </row>
    <row r="144" customFormat="false" ht="15" hidden="false" customHeight="true" outlineLevel="0" collapsed="false">
      <c r="A144" s="101" t="str">
        <f aca="false">IFERROR(INDEX(DITARI!$D$6:$D$550,MATCH(0,COUNTIF($A$1:A143,DITARI!$D$6:$D$550)+(DITARI!$D$6:$D$550=""),0)),"")</f>
        <v/>
      </c>
      <c r="B144" s="101" t="str">
        <f aca="false">IF($A144="","",IFERROR(VLOOKUP($A144,PLANI_LLOGARIVE!$A:$I,2,FALSE()),"⚠ Nuk është te PLANI_LLOGARIVE"))</f>
        <v/>
      </c>
      <c r="C144" s="101" t="str">
        <f aca="false">IF($A144="","",IFERROR(VLOOKUP($A144,PLANI_LLOGARIVE!$A:$I,9,FALSE()),""))</f>
        <v/>
      </c>
      <c r="D144" s="101" t="str">
        <f aca="false">IF($A144="","",COUNTIF(DITARI!$D:$D,$A144))</f>
        <v/>
      </c>
      <c r="E144" s="101" t="str">
        <f aca="false">IF($A144="","",SUMIFS(DITARI!$F:$F,DITARI!$D:$D,$A144))</f>
        <v/>
      </c>
      <c r="F144" s="101" t="str">
        <f aca="false">IF($A144="","",SUMIFS(DITARI!$G:$G,DITARI!$D:$D,$A144))</f>
        <v/>
      </c>
      <c r="G144" s="101" t="str">
        <f aca="false">IF($A144="","",$E144-$F144)</f>
        <v/>
      </c>
    </row>
    <row r="145" customFormat="false" ht="15" hidden="false" customHeight="true" outlineLevel="0" collapsed="false">
      <c r="A145" s="101" t="str">
        <f aca="false">IFERROR(INDEX(DITARI!$D$6:$D$550,MATCH(0,COUNTIF($A$1:A144,DITARI!$D$6:$D$550)+(DITARI!$D$6:$D$550=""),0)),"")</f>
        <v/>
      </c>
      <c r="B145" s="101" t="str">
        <f aca="false">IF($A145="","",IFERROR(VLOOKUP($A145,PLANI_LLOGARIVE!$A:$I,2,FALSE()),"⚠ Nuk është te PLANI_LLOGARIVE"))</f>
        <v/>
      </c>
      <c r="C145" s="101" t="str">
        <f aca="false">IF($A145="","",IFERROR(VLOOKUP($A145,PLANI_LLOGARIVE!$A:$I,9,FALSE()),""))</f>
        <v/>
      </c>
      <c r="D145" s="101" t="str">
        <f aca="false">IF($A145="","",COUNTIF(DITARI!$D:$D,$A145))</f>
        <v/>
      </c>
      <c r="E145" s="101" t="str">
        <f aca="false">IF($A145="","",SUMIFS(DITARI!$F:$F,DITARI!$D:$D,$A145))</f>
        <v/>
      </c>
      <c r="F145" s="101" t="str">
        <f aca="false">IF($A145="","",SUMIFS(DITARI!$G:$G,DITARI!$D:$D,$A145))</f>
        <v/>
      </c>
      <c r="G145" s="101" t="str">
        <f aca="false">IF($A145="","",$E145-$F145)</f>
        <v/>
      </c>
    </row>
    <row r="146" customFormat="false" ht="15" hidden="false" customHeight="true" outlineLevel="0" collapsed="false">
      <c r="A146" s="101" t="str">
        <f aca="false">IFERROR(INDEX(DITARI!$D$6:$D$550,MATCH(0,COUNTIF($A$1:A145,DITARI!$D$6:$D$550)+(DITARI!$D$6:$D$550=""),0)),"")</f>
        <v/>
      </c>
      <c r="B146" s="101" t="str">
        <f aca="false">IF($A146="","",IFERROR(VLOOKUP($A146,PLANI_LLOGARIVE!$A:$I,2,FALSE()),"⚠ Nuk është te PLANI_LLOGARIVE"))</f>
        <v/>
      </c>
      <c r="C146" s="101" t="str">
        <f aca="false">IF($A146="","",IFERROR(VLOOKUP($A146,PLANI_LLOGARIVE!$A:$I,9,FALSE()),""))</f>
        <v/>
      </c>
      <c r="D146" s="101" t="str">
        <f aca="false">IF($A146="","",COUNTIF(DITARI!$D:$D,$A146))</f>
        <v/>
      </c>
      <c r="E146" s="101" t="str">
        <f aca="false">IF($A146="","",SUMIFS(DITARI!$F:$F,DITARI!$D:$D,$A146))</f>
        <v/>
      </c>
      <c r="F146" s="101" t="str">
        <f aca="false">IF($A146="","",SUMIFS(DITARI!$G:$G,DITARI!$D:$D,$A146))</f>
        <v/>
      </c>
      <c r="G146" s="101" t="str">
        <f aca="false">IF($A146="","",$E146-$F146)</f>
        <v/>
      </c>
    </row>
    <row r="147" customFormat="false" ht="15" hidden="false" customHeight="true" outlineLevel="0" collapsed="false">
      <c r="A147" s="101" t="str">
        <f aca="false">IFERROR(INDEX(DITARI!$D$6:$D$550,MATCH(0,COUNTIF($A$1:A146,DITARI!$D$6:$D$550)+(DITARI!$D$6:$D$550=""),0)),"")</f>
        <v/>
      </c>
      <c r="B147" s="101" t="str">
        <f aca="false">IF($A147="","",IFERROR(VLOOKUP($A147,PLANI_LLOGARIVE!$A:$I,2,FALSE()),"⚠ Nuk është te PLANI_LLOGARIVE"))</f>
        <v/>
      </c>
      <c r="C147" s="101" t="str">
        <f aca="false">IF($A147="","",IFERROR(VLOOKUP($A147,PLANI_LLOGARIVE!$A:$I,9,FALSE()),""))</f>
        <v/>
      </c>
      <c r="D147" s="101" t="str">
        <f aca="false">IF($A147="","",COUNTIF(DITARI!$D:$D,$A147))</f>
        <v/>
      </c>
      <c r="E147" s="101" t="str">
        <f aca="false">IF($A147="","",SUMIFS(DITARI!$F:$F,DITARI!$D:$D,$A147))</f>
        <v/>
      </c>
      <c r="F147" s="101" t="str">
        <f aca="false">IF($A147="","",SUMIFS(DITARI!$G:$G,DITARI!$D:$D,$A147))</f>
        <v/>
      </c>
      <c r="G147" s="101" t="str">
        <f aca="false">IF($A147="","",$E147-$F147)</f>
        <v/>
      </c>
    </row>
    <row r="148" customFormat="false" ht="15" hidden="false" customHeight="true" outlineLevel="0" collapsed="false">
      <c r="A148" s="101" t="str">
        <f aca="false">IFERROR(INDEX(DITARI!$D$6:$D$550,MATCH(0,COUNTIF($A$1:A147,DITARI!$D$6:$D$550)+(DITARI!$D$6:$D$550=""),0)),"")</f>
        <v/>
      </c>
      <c r="B148" s="101" t="str">
        <f aca="false">IF($A148="","",IFERROR(VLOOKUP($A148,PLANI_LLOGARIVE!$A:$I,2,FALSE()),"⚠ Nuk është te PLANI_LLOGARIVE"))</f>
        <v/>
      </c>
      <c r="C148" s="101" t="str">
        <f aca="false">IF($A148="","",IFERROR(VLOOKUP($A148,PLANI_LLOGARIVE!$A:$I,9,FALSE()),""))</f>
        <v/>
      </c>
      <c r="D148" s="101" t="str">
        <f aca="false">IF($A148="","",COUNTIF(DITARI!$D:$D,$A148))</f>
        <v/>
      </c>
      <c r="E148" s="101" t="str">
        <f aca="false">IF($A148="","",SUMIFS(DITARI!$F:$F,DITARI!$D:$D,$A148))</f>
        <v/>
      </c>
      <c r="F148" s="101" t="str">
        <f aca="false">IF($A148="","",SUMIFS(DITARI!$G:$G,DITARI!$D:$D,$A148))</f>
        <v/>
      </c>
      <c r="G148" s="101" t="str">
        <f aca="false">IF($A148="","",$E148-$F148)</f>
        <v/>
      </c>
    </row>
    <row r="149" customFormat="false" ht="15" hidden="false" customHeight="true" outlineLevel="0" collapsed="false">
      <c r="A149" s="101" t="str">
        <f aca="false">IFERROR(INDEX(DITARI!$D$6:$D$550,MATCH(0,COUNTIF($A$1:A148,DITARI!$D$6:$D$550)+(DITARI!$D$6:$D$550=""),0)),"")</f>
        <v/>
      </c>
      <c r="B149" s="101" t="str">
        <f aca="false">IF($A149="","",IFERROR(VLOOKUP($A149,PLANI_LLOGARIVE!$A:$I,2,FALSE()),"⚠ Nuk është te PLANI_LLOGARIVE"))</f>
        <v/>
      </c>
      <c r="C149" s="101" t="str">
        <f aca="false">IF($A149="","",IFERROR(VLOOKUP($A149,PLANI_LLOGARIVE!$A:$I,9,FALSE()),""))</f>
        <v/>
      </c>
      <c r="D149" s="101" t="str">
        <f aca="false">IF($A149="","",COUNTIF(DITARI!$D:$D,$A149))</f>
        <v/>
      </c>
      <c r="E149" s="101" t="str">
        <f aca="false">IF($A149="","",SUMIFS(DITARI!$F:$F,DITARI!$D:$D,$A149))</f>
        <v/>
      </c>
      <c r="F149" s="101" t="str">
        <f aca="false">IF($A149="","",SUMIFS(DITARI!$G:$G,DITARI!$D:$D,$A149))</f>
        <v/>
      </c>
      <c r="G149" s="101" t="str">
        <f aca="false">IF($A149="","",$E149-$F149)</f>
        <v/>
      </c>
    </row>
    <row r="150" customFormat="false" ht="15" hidden="false" customHeight="true" outlineLevel="0" collapsed="false">
      <c r="A150" s="101" t="str">
        <f aca="false">IFERROR(INDEX(DITARI!$D$6:$D$550,MATCH(0,COUNTIF($A$1:A149,DITARI!$D$6:$D$550)+(DITARI!$D$6:$D$550=""),0)),"")</f>
        <v/>
      </c>
      <c r="B150" s="101" t="str">
        <f aca="false">IF($A150="","",IFERROR(VLOOKUP($A150,PLANI_LLOGARIVE!$A:$I,2,FALSE()),"⚠ Nuk është te PLANI_LLOGARIVE"))</f>
        <v/>
      </c>
      <c r="C150" s="101" t="str">
        <f aca="false">IF($A150="","",IFERROR(VLOOKUP($A150,PLANI_LLOGARIVE!$A:$I,9,FALSE()),""))</f>
        <v/>
      </c>
      <c r="D150" s="101" t="str">
        <f aca="false">IF($A150="","",COUNTIF(DITARI!$D:$D,$A150))</f>
        <v/>
      </c>
      <c r="E150" s="101" t="str">
        <f aca="false">IF($A150="","",SUMIFS(DITARI!$F:$F,DITARI!$D:$D,$A150))</f>
        <v/>
      </c>
      <c r="F150" s="101" t="str">
        <f aca="false">IF($A150="","",SUMIFS(DITARI!$G:$G,DITARI!$D:$D,$A150))</f>
        <v/>
      </c>
      <c r="G150" s="101" t="str">
        <f aca="false">IF($A150="","",$E150-$F150)</f>
        <v/>
      </c>
    </row>
    <row r="151" customFormat="false" ht="15" hidden="false" customHeight="true" outlineLevel="0" collapsed="false">
      <c r="A151" s="101" t="str">
        <f aca="false">IFERROR(INDEX(DITARI!$D$6:$D$550,MATCH(0,COUNTIF($A$1:A150,DITARI!$D$6:$D$550)+(DITARI!$D$6:$D$550=""),0)),"")</f>
        <v/>
      </c>
      <c r="B151" s="101" t="str">
        <f aca="false">IF($A151="","",IFERROR(VLOOKUP($A151,PLANI_LLOGARIVE!$A:$I,2,FALSE()),"⚠ Nuk është te PLANI_LLOGARIVE"))</f>
        <v/>
      </c>
      <c r="C151" s="101" t="str">
        <f aca="false">IF($A151="","",IFERROR(VLOOKUP($A151,PLANI_LLOGARIVE!$A:$I,9,FALSE()),""))</f>
        <v/>
      </c>
      <c r="D151" s="101" t="str">
        <f aca="false">IF($A151="","",COUNTIF(DITARI!$D:$D,$A151))</f>
        <v/>
      </c>
      <c r="E151" s="101" t="str">
        <f aca="false">IF($A151="","",SUMIFS(DITARI!$F:$F,DITARI!$D:$D,$A151))</f>
        <v/>
      </c>
      <c r="F151" s="101" t="str">
        <f aca="false">IF($A151="","",SUMIFS(DITARI!$G:$G,DITARI!$D:$D,$A151))</f>
        <v/>
      </c>
      <c r="G151" s="101" t="str">
        <f aca="false">IF($A151="","",$E151-$F151)</f>
        <v/>
      </c>
    </row>
    <row r="152" customFormat="false" ht="15" hidden="false" customHeight="true" outlineLevel="0" collapsed="false">
      <c r="A152" s="101" t="str">
        <f aca="false">IFERROR(INDEX(DITARI!$D$6:$D$550,MATCH(0,COUNTIF($A$1:A151,DITARI!$D$6:$D$550)+(DITARI!$D$6:$D$550=""),0)),"")</f>
        <v/>
      </c>
      <c r="B152" s="101" t="str">
        <f aca="false">IF($A152="","",IFERROR(VLOOKUP($A152,PLANI_LLOGARIVE!$A:$I,2,FALSE()),"⚠ Nuk është te PLANI_LLOGARIVE"))</f>
        <v/>
      </c>
      <c r="C152" s="101" t="str">
        <f aca="false">IF($A152="","",IFERROR(VLOOKUP($A152,PLANI_LLOGARIVE!$A:$I,9,FALSE()),""))</f>
        <v/>
      </c>
      <c r="D152" s="101" t="str">
        <f aca="false">IF($A152="","",COUNTIF(DITARI!$D:$D,$A152))</f>
        <v/>
      </c>
      <c r="E152" s="101" t="str">
        <f aca="false">IF($A152="","",SUMIFS(DITARI!$F:$F,DITARI!$D:$D,$A152))</f>
        <v/>
      </c>
      <c r="F152" s="101" t="str">
        <f aca="false">IF($A152="","",SUMIFS(DITARI!$G:$G,DITARI!$D:$D,$A152))</f>
        <v/>
      </c>
      <c r="G152" s="101" t="str">
        <f aca="false">IF($A152="","",$E152-$F152)</f>
        <v/>
      </c>
    </row>
    <row r="153" customFormat="false" ht="15" hidden="false" customHeight="true" outlineLevel="0" collapsed="false">
      <c r="A153" s="101" t="str">
        <f aca="false">IFERROR(INDEX(DITARI!$D$6:$D$550,MATCH(0,COUNTIF($A$1:A152,DITARI!$D$6:$D$550)+(DITARI!$D$6:$D$550=""),0)),"")</f>
        <v/>
      </c>
      <c r="B153" s="101" t="str">
        <f aca="false">IF($A153="","",IFERROR(VLOOKUP($A153,PLANI_LLOGARIVE!$A:$I,2,FALSE()),"⚠ Nuk është te PLANI_LLOGARIVE"))</f>
        <v/>
      </c>
      <c r="C153" s="101" t="str">
        <f aca="false">IF($A153="","",IFERROR(VLOOKUP($A153,PLANI_LLOGARIVE!$A:$I,9,FALSE()),""))</f>
        <v/>
      </c>
      <c r="D153" s="101" t="str">
        <f aca="false">IF($A153="","",COUNTIF(DITARI!$D:$D,$A153))</f>
        <v/>
      </c>
      <c r="E153" s="101" t="str">
        <f aca="false">IF($A153="","",SUMIFS(DITARI!$F:$F,DITARI!$D:$D,$A153))</f>
        <v/>
      </c>
      <c r="F153" s="101" t="str">
        <f aca="false">IF($A153="","",SUMIFS(DITARI!$G:$G,DITARI!$D:$D,$A153))</f>
        <v/>
      </c>
      <c r="G153" s="101" t="str">
        <f aca="false">IF($A153="","",$E153-$F153)</f>
        <v/>
      </c>
    </row>
    <row r="154" customFormat="false" ht="15" hidden="false" customHeight="true" outlineLevel="0" collapsed="false">
      <c r="A154" s="101" t="str">
        <f aca="false">IFERROR(INDEX(DITARI!$D$6:$D$550,MATCH(0,COUNTIF($A$1:A153,DITARI!$D$6:$D$550)+(DITARI!$D$6:$D$550=""),0)),"")</f>
        <v/>
      </c>
      <c r="B154" s="101" t="str">
        <f aca="false">IF($A154="","",IFERROR(VLOOKUP($A154,PLANI_LLOGARIVE!$A:$I,2,FALSE()),"⚠ Nuk është te PLANI_LLOGARIVE"))</f>
        <v/>
      </c>
      <c r="C154" s="101" t="str">
        <f aca="false">IF($A154="","",IFERROR(VLOOKUP($A154,PLANI_LLOGARIVE!$A:$I,9,FALSE()),""))</f>
        <v/>
      </c>
      <c r="D154" s="101" t="str">
        <f aca="false">IF($A154="","",COUNTIF(DITARI!$D:$D,$A154))</f>
        <v/>
      </c>
      <c r="E154" s="101" t="str">
        <f aca="false">IF($A154="","",SUMIFS(DITARI!$F:$F,DITARI!$D:$D,$A154))</f>
        <v/>
      </c>
      <c r="F154" s="101" t="str">
        <f aca="false">IF($A154="","",SUMIFS(DITARI!$G:$G,DITARI!$D:$D,$A154))</f>
        <v/>
      </c>
      <c r="G154" s="101" t="str">
        <f aca="false">IF($A154="","",$E154-$F154)</f>
        <v/>
      </c>
    </row>
    <row r="155" customFormat="false" ht="15" hidden="false" customHeight="true" outlineLevel="0" collapsed="false">
      <c r="A155" s="101" t="str">
        <f aca="false">IFERROR(INDEX(DITARI!$D$6:$D$550,MATCH(0,COUNTIF($A$1:A154,DITARI!$D$6:$D$550)+(DITARI!$D$6:$D$550=""),0)),"")</f>
        <v/>
      </c>
      <c r="B155" s="101" t="str">
        <f aca="false">IF($A155="","",IFERROR(VLOOKUP($A155,PLANI_LLOGARIVE!$A:$I,2,FALSE()),"⚠ Nuk është te PLANI_LLOGARIVE"))</f>
        <v/>
      </c>
      <c r="C155" s="101" t="str">
        <f aca="false">IF($A155="","",IFERROR(VLOOKUP($A155,PLANI_LLOGARIVE!$A:$I,9,FALSE()),""))</f>
        <v/>
      </c>
      <c r="D155" s="101" t="str">
        <f aca="false">IF($A155="","",COUNTIF(DITARI!$D:$D,$A155))</f>
        <v/>
      </c>
      <c r="E155" s="101" t="str">
        <f aca="false">IF($A155="","",SUMIFS(DITARI!$F:$F,DITARI!$D:$D,$A155))</f>
        <v/>
      </c>
      <c r="F155" s="101" t="str">
        <f aca="false">IF($A155="","",SUMIFS(DITARI!$G:$G,DITARI!$D:$D,$A155))</f>
        <v/>
      </c>
      <c r="G155" s="101" t="str">
        <f aca="false">IF($A155="","",$E155-$F155)</f>
        <v/>
      </c>
    </row>
    <row r="156" customFormat="false" ht="15" hidden="false" customHeight="true" outlineLevel="0" collapsed="false">
      <c r="A156" s="101" t="str">
        <f aca="false">IFERROR(INDEX(DITARI!$D$6:$D$550,MATCH(0,COUNTIF($A$1:A155,DITARI!$D$6:$D$550)+(DITARI!$D$6:$D$550=""),0)),"")</f>
        <v/>
      </c>
      <c r="B156" s="101" t="str">
        <f aca="false">IF($A156="","",IFERROR(VLOOKUP($A156,PLANI_LLOGARIVE!$A:$I,2,FALSE()),"⚠ Nuk është te PLANI_LLOGARIVE"))</f>
        <v/>
      </c>
      <c r="C156" s="101" t="str">
        <f aca="false">IF($A156="","",IFERROR(VLOOKUP($A156,PLANI_LLOGARIVE!$A:$I,9,FALSE()),""))</f>
        <v/>
      </c>
      <c r="D156" s="101" t="str">
        <f aca="false">IF($A156="","",COUNTIF(DITARI!$D:$D,$A156))</f>
        <v/>
      </c>
      <c r="E156" s="101" t="str">
        <f aca="false">IF($A156="","",SUMIFS(DITARI!$F:$F,DITARI!$D:$D,$A156))</f>
        <v/>
      </c>
      <c r="F156" s="101" t="str">
        <f aca="false">IF($A156="","",SUMIFS(DITARI!$G:$G,DITARI!$D:$D,$A156))</f>
        <v/>
      </c>
      <c r="G156" s="101" t="str">
        <f aca="false">IF($A156="","",$E156-$F156)</f>
        <v/>
      </c>
    </row>
    <row r="157" customFormat="false" ht="15" hidden="false" customHeight="true" outlineLevel="0" collapsed="false">
      <c r="A157" s="101" t="str">
        <f aca="false">IFERROR(INDEX(DITARI!$D$6:$D$550,MATCH(0,COUNTIF($A$1:A156,DITARI!$D$6:$D$550)+(DITARI!$D$6:$D$550=""),0)),"")</f>
        <v/>
      </c>
      <c r="B157" s="101" t="str">
        <f aca="false">IF($A157="","",IFERROR(VLOOKUP($A157,PLANI_LLOGARIVE!$A:$I,2,FALSE()),"⚠ Nuk është te PLANI_LLOGARIVE"))</f>
        <v/>
      </c>
      <c r="C157" s="101" t="str">
        <f aca="false">IF($A157="","",IFERROR(VLOOKUP($A157,PLANI_LLOGARIVE!$A:$I,9,FALSE()),""))</f>
        <v/>
      </c>
      <c r="D157" s="101" t="str">
        <f aca="false">IF($A157="","",COUNTIF(DITARI!$D:$D,$A157))</f>
        <v/>
      </c>
      <c r="E157" s="101" t="str">
        <f aca="false">IF($A157="","",SUMIFS(DITARI!$F:$F,DITARI!$D:$D,$A157))</f>
        <v/>
      </c>
      <c r="F157" s="101" t="str">
        <f aca="false">IF($A157="","",SUMIFS(DITARI!$G:$G,DITARI!$D:$D,$A157))</f>
        <v/>
      </c>
      <c r="G157" s="101" t="str">
        <f aca="false">IF($A157="","",$E157-$F157)</f>
        <v/>
      </c>
    </row>
    <row r="158" customFormat="false" ht="15" hidden="false" customHeight="true" outlineLevel="0" collapsed="false">
      <c r="A158" s="101" t="str">
        <f aca="false">IFERROR(INDEX(DITARI!$D$6:$D$550,MATCH(0,COUNTIF($A$1:A157,DITARI!$D$6:$D$550)+(DITARI!$D$6:$D$550=""),0)),"")</f>
        <v/>
      </c>
      <c r="B158" s="101" t="str">
        <f aca="false">IF($A158="","",IFERROR(VLOOKUP($A158,PLANI_LLOGARIVE!$A:$I,2,FALSE()),"⚠ Nuk është te PLANI_LLOGARIVE"))</f>
        <v/>
      </c>
      <c r="C158" s="101" t="str">
        <f aca="false">IF($A158="","",IFERROR(VLOOKUP($A158,PLANI_LLOGARIVE!$A:$I,9,FALSE()),""))</f>
        <v/>
      </c>
      <c r="D158" s="101" t="str">
        <f aca="false">IF($A158="","",COUNTIF(DITARI!$D:$D,$A158))</f>
        <v/>
      </c>
      <c r="E158" s="101" t="str">
        <f aca="false">IF($A158="","",SUMIFS(DITARI!$F:$F,DITARI!$D:$D,$A158))</f>
        <v/>
      </c>
      <c r="F158" s="101" t="str">
        <f aca="false">IF($A158="","",SUMIFS(DITARI!$G:$G,DITARI!$D:$D,$A158))</f>
        <v/>
      </c>
      <c r="G158" s="101" t="str">
        <f aca="false">IF($A158="","",$E158-$F158)</f>
        <v/>
      </c>
    </row>
    <row r="159" customFormat="false" ht="15" hidden="false" customHeight="true" outlineLevel="0" collapsed="false">
      <c r="A159" s="101" t="str">
        <f aca="false">IFERROR(INDEX(DITARI!$D$6:$D$550,MATCH(0,COUNTIF($A$1:A158,DITARI!$D$6:$D$550)+(DITARI!$D$6:$D$550=""),0)),"")</f>
        <v/>
      </c>
      <c r="B159" s="101" t="str">
        <f aca="false">IF($A159="","",IFERROR(VLOOKUP($A159,PLANI_LLOGARIVE!$A:$I,2,FALSE()),"⚠ Nuk është te PLANI_LLOGARIVE"))</f>
        <v/>
      </c>
      <c r="C159" s="101" t="str">
        <f aca="false">IF($A159="","",IFERROR(VLOOKUP($A159,PLANI_LLOGARIVE!$A:$I,9,FALSE()),""))</f>
        <v/>
      </c>
      <c r="D159" s="101" t="str">
        <f aca="false">IF($A159="","",COUNTIF(DITARI!$D:$D,$A159))</f>
        <v/>
      </c>
      <c r="E159" s="101" t="str">
        <f aca="false">IF($A159="","",SUMIFS(DITARI!$F:$F,DITARI!$D:$D,$A159))</f>
        <v/>
      </c>
      <c r="F159" s="101" t="str">
        <f aca="false">IF($A159="","",SUMIFS(DITARI!$G:$G,DITARI!$D:$D,$A159))</f>
        <v/>
      </c>
      <c r="G159" s="101" t="str">
        <f aca="false">IF($A159="","",$E159-$F159)</f>
        <v/>
      </c>
    </row>
    <row r="160" customFormat="false" ht="15" hidden="false" customHeight="true" outlineLevel="0" collapsed="false">
      <c r="A160" s="101" t="str">
        <f aca="false">IFERROR(INDEX(DITARI!$D$6:$D$550,MATCH(0,COUNTIF($A$1:A159,DITARI!$D$6:$D$550)+(DITARI!$D$6:$D$550=""),0)),"")</f>
        <v/>
      </c>
      <c r="B160" s="101" t="str">
        <f aca="false">IF($A160="","",IFERROR(VLOOKUP($A160,PLANI_LLOGARIVE!$A:$I,2,FALSE()),"⚠ Nuk është te PLANI_LLOGARIVE"))</f>
        <v/>
      </c>
      <c r="C160" s="101" t="str">
        <f aca="false">IF($A160="","",IFERROR(VLOOKUP($A160,PLANI_LLOGARIVE!$A:$I,9,FALSE()),""))</f>
        <v/>
      </c>
      <c r="D160" s="101" t="str">
        <f aca="false">IF($A160="","",COUNTIF(DITARI!$D:$D,$A160))</f>
        <v/>
      </c>
      <c r="E160" s="101" t="str">
        <f aca="false">IF($A160="","",SUMIFS(DITARI!$F:$F,DITARI!$D:$D,$A160))</f>
        <v/>
      </c>
      <c r="F160" s="101" t="str">
        <f aca="false">IF($A160="","",SUMIFS(DITARI!$G:$G,DITARI!$D:$D,$A160))</f>
        <v/>
      </c>
      <c r="G160" s="101" t="str">
        <f aca="false">IF($A160="","",$E160-$F160)</f>
        <v/>
      </c>
    </row>
    <row r="161" customFormat="false" ht="15" hidden="false" customHeight="true" outlineLevel="0" collapsed="false">
      <c r="A161" s="101" t="str">
        <f aca="false">IFERROR(INDEX(DITARI!$D$6:$D$550,MATCH(0,COUNTIF($A$1:A160,DITARI!$D$6:$D$550)+(DITARI!$D$6:$D$550=""),0)),"")</f>
        <v/>
      </c>
      <c r="B161" s="101" t="str">
        <f aca="false">IF($A161="","",IFERROR(VLOOKUP($A161,PLANI_LLOGARIVE!$A:$I,2,FALSE()),"⚠ Nuk është te PLANI_LLOGARIVE"))</f>
        <v/>
      </c>
      <c r="C161" s="101" t="str">
        <f aca="false">IF($A161="","",IFERROR(VLOOKUP($A161,PLANI_LLOGARIVE!$A:$I,9,FALSE()),""))</f>
        <v/>
      </c>
      <c r="D161" s="101" t="str">
        <f aca="false">IF($A161="","",COUNTIF(DITARI!$D:$D,$A161))</f>
        <v/>
      </c>
      <c r="E161" s="101" t="str">
        <f aca="false">IF($A161="","",SUMIFS(DITARI!$F:$F,DITARI!$D:$D,$A161))</f>
        <v/>
      </c>
      <c r="F161" s="101" t="str">
        <f aca="false">IF($A161="","",SUMIFS(DITARI!$G:$G,DITARI!$D:$D,$A161))</f>
        <v/>
      </c>
      <c r="G161" s="101" t="str">
        <f aca="false">IF($A161="","",$E161-$F161)</f>
        <v/>
      </c>
    </row>
    <row r="162" customFormat="false" ht="15" hidden="false" customHeight="true" outlineLevel="0" collapsed="false">
      <c r="A162" s="101" t="str">
        <f aca="false">IFERROR(INDEX(DITARI!$D$6:$D$550,MATCH(0,COUNTIF($A$1:A161,DITARI!$D$6:$D$550)+(DITARI!$D$6:$D$550=""),0)),"")</f>
        <v/>
      </c>
      <c r="B162" s="101" t="str">
        <f aca="false">IF($A162="","",IFERROR(VLOOKUP($A162,PLANI_LLOGARIVE!$A:$I,2,FALSE()),"⚠ Nuk është te PLANI_LLOGARIVE"))</f>
        <v/>
      </c>
      <c r="C162" s="101" t="str">
        <f aca="false">IF($A162="","",IFERROR(VLOOKUP($A162,PLANI_LLOGARIVE!$A:$I,9,FALSE()),""))</f>
        <v/>
      </c>
      <c r="D162" s="101" t="str">
        <f aca="false">IF($A162="","",COUNTIF(DITARI!$D:$D,$A162))</f>
        <v/>
      </c>
      <c r="E162" s="101" t="str">
        <f aca="false">IF($A162="","",SUMIFS(DITARI!$F:$F,DITARI!$D:$D,$A162))</f>
        <v/>
      </c>
      <c r="F162" s="101" t="str">
        <f aca="false">IF($A162="","",SUMIFS(DITARI!$G:$G,DITARI!$D:$D,$A162))</f>
        <v/>
      </c>
      <c r="G162" s="101" t="str">
        <f aca="false">IF($A162="","",$E162-$F162)</f>
        <v/>
      </c>
    </row>
    <row r="163" customFormat="false" ht="15" hidden="false" customHeight="true" outlineLevel="0" collapsed="false">
      <c r="A163" s="101" t="str">
        <f aca="false">IFERROR(INDEX(DITARI!$D$6:$D$550,MATCH(0,COUNTIF($A$1:A162,DITARI!$D$6:$D$550)+(DITARI!$D$6:$D$550=""),0)),"")</f>
        <v/>
      </c>
      <c r="B163" s="101" t="str">
        <f aca="false">IF($A163="","",IFERROR(VLOOKUP($A163,PLANI_LLOGARIVE!$A:$I,2,FALSE()),"⚠ Nuk është te PLANI_LLOGARIVE"))</f>
        <v/>
      </c>
      <c r="C163" s="101" t="str">
        <f aca="false">IF($A163="","",IFERROR(VLOOKUP($A163,PLANI_LLOGARIVE!$A:$I,9,FALSE()),""))</f>
        <v/>
      </c>
      <c r="D163" s="101" t="str">
        <f aca="false">IF($A163="","",COUNTIF(DITARI!$D:$D,$A163))</f>
        <v/>
      </c>
      <c r="E163" s="101" t="str">
        <f aca="false">IF($A163="","",SUMIFS(DITARI!$F:$F,DITARI!$D:$D,$A163))</f>
        <v/>
      </c>
      <c r="F163" s="101" t="str">
        <f aca="false">IF($A163="","",SUMIFS(DITARI!$G:$G,DITARI!$D:$D,$A163))</f>
        <v/>
      </c>
      <c r="G163" s="101" t="str">
        <f aca="false">IF($A163="","",$E163-$F163)</f>
        <v/>
      </c>
    </row>
    <row r="164" customFormat="false" ht="15" hidden="false" customHeight="true" outlineLevel="0" collapsed="false">
      <c r="A164" s="101" t="str">
        <f aca="false">IFERROR(INDEX(DITARI!$D$6:$D$550,MATCH(0,COUNTIF($A$1:A163,DITARI!$D$6:$D$550)+(DITARI!$D$6:$D$550=""),0)),"")</f>
        <v/>
      </c>
      <c r="B164" s="101" t="str">
        <f aca="false">IF($A164="","",IFERROR(VLOOKUP($A164,PLANI_LLOGARIVE!$A:$I,2,FALSE()),"⚠ Nuk është te PLANI_LLOGARIVE"))</f>
        <v/>
      </c>
      <c r="C164" s="101" t="str">
        <f aca="false">IF($A164="","",IFERROR(VLOOKUP($A164,PLANI_LLOGARIVE!$A:$I,9,FALSE()),""))</f>
        <v/>
      </c>
      <c r="D164" s="101" t="str">
        <f aca="false">IF($A164="","",COUNTIF(DITARI!$D:$D,$A164))</f>
        <v/>
      </c>
      <c r="E164" s="101" t="str">
        <f aca="false">IF($A164="","",SUMIFS(DITARI!$F:$F,DITARI!$D:$D,$A164))</f>
        <v/>
      </c>
      <c r="F164" s="101" t="str">
        <f aca="false">IF($A164="","",SUMIFS(DITARI!$G:$G,DITARI!$D:$D,$A164))</f>
        <v/>
      </c>
      <c r="G164" s="101" t="str">
        <f aca="false">IF($A164="","",$E164-$F164)</f>
        <v/>
      </c>
    </row>
    <row r="165" customFormat="false" ht="15" hidden="false" customHeight="true" outlineLevel="0" collapsed="false">
      <c r="A165" s="101" t="str">
        <f aca="false">IFERROR(INDEX(DITARI!$D$6:$D$550,MATCH(0,COUNTIF($A$1:A164,DITARI!$D$6:$D$550)+(DITARI!$D$6:$D$550=""),0)),"")</f>
        <v/>
      </c>
      <c r="B165" s="101" t="str">
        <f aca="false">IF($A165="","",IFERROR(VLOOKUP($A165,PLANI_LLOGARIVE!$A:$I,2,FALSE()),"⚠ Nuk është te PLANI_LLOGARIVE"))</f>
        <v/>
      </c>
      <c r="C165" s="101" t="str">
        <f aca="false">IF($A165="","",IFERROR(VLOOKUP($A165,PLANI_LLOGARIVE!$A:$I,9,FALSE()),""))</f>
        <v/>
      </c>
      <c r="D165" s="101" t="str">
        <f aca="false">IF($A165="","",COUNTIF(DITARI!$D:$D,$A165))</f>
        <v/>
      </c>
      <c r="E165" s="101" t="str">
        <f aca="false">IF($A165="","",SUMIFS(DITARI!$F:$F,DITARI!$D:$D,$A165))</f>
        <v/>
      </c>
      <c r="F165" s="101" t="str">
        <f aca="false">IF($A165="","",SUMIFS(DITARI!$G:$G,DITARI!$D:$D,$A165))</f>
        <v/>
      </c>
      <c r="G165" s="101" t="str">
        <f aca="false">IF($A165="","",$E165-$F165)</f>
        <v/>
      </c>
    </row>
    <row r="166" customFormat="false" ht="15" hidden="false" customHeight="true" outlineLevel="0" collapsed="false">
      <c r="A166" s="101" t="str">
        <f aca="false">IFERROR(INDEX(DITARI!$D$6:$D$550,MATCH(0,COUNTIF($A$1:A165,DITARI!$D$6:$D$550)+(DITARI!$D$6:$D$550=""),0)),"")</f>
        <v/>
      </c>
      <c r="B166" s="101" t="str">
        <f aca="false">IF($A166="","",IFERROR(VLOOKUP($A166,PLANI_LLOGARIVE!$A:$I,2,FALSE()),"⚠ Nuk është te PLANI_LLOGARIVE"))</f>
        <v/>
      </c>
      <c r="C166" s="101" t="str">
        <f aca="false">IF($A166="","",IFERROR(VLOOKUP($A166,PLANI_LLOGARIVE!$A:$I,9,FALSE()),""))</f>
        <v/>
      </c>
      <c r="D166" s="101" t="str">
        <f aca="false">IF($A166="","",COUNTIF(DITARI!$D:$D,$A166))</f>
        <v/>
      </c>
      <c r="E166" s="101" t="str">
        <f aca="false">IF($A166="","",SUMIFS(DITARI!$F:$F,DITARI!$D:$D,$A166))</f>
        <v/>
      </c>
      <c r="F166" s="101" t="str">
        <f aca="false">IF($A166="","",SUMIFS(DITARI!$G:$G,DITARI!$D:$D,$A166))</f>
        <v/>
      </c>
      <c r="G166" s="101" t="str">
        <f aca="false">IF($A166="","",$E166-$F166)</f>
        <v/>
      </c>
    </row>
    <row r="167" customFormat="false" ht="15" hidden="false" customHeight="true" outlineLevel="0" collapsed="false">
      <c r="A167" s="101" t="str">
        <f aca="false">IFERROR(INDEX(DITARI!$D$6:$D$550,MATCH(0,COUNTIF($A$1:A166,DITARI!$D$6:$D$550)+(DITARI!$D$6:$D$550=""),0)),"")</f>
        <v/>
      </c>
      <c r="B167" s="101" t="str">
        <f aca="false">IF($A167="","",IFERROR(VLOOKUP($A167,PLANI_LLOGARIVE!$A:$I,2,FALSE()),"⚠ Nuk është te PLANI_LLOGARIVE"))</f>
        <v/>
      </c>
      <c r="C167" s="101" t="str">
        <f aca="false">IF($A167="","",IFERROR(VLOOKUP($A167,PLANI_LLOGARIVE!$A:$I,9,FALSE()),""))</f>
        <v/>
      </c>
      <c r="D167" s="101" t="str">
        <f aca="false">IF($A167="","",COUNTIF(DITARI!$D:$D,$A167))</f>
        <v/>
      </c>
      <c r="E167" s="101" t="str">
        <f aca="false">IF($A167="","",SUMIFS(DITARI!$F:$F,DITARI!$D:$D,$A167))</f>
        <v/>
      </c>
      <c r="F167" s="101" t="str">
        <f aca="false">IF($A167="","",SUMIFS(DITARI!$G:$G,DITARI!$D:$D,$A167))</f>
        <v/>
      </c>
      <c r="G167" s="101" t="str">
        <f aca="false">IF($A167="","",$E167-$F167)</f>
        <v/>
      </c>
    </row>
    <row r="168" customFormat="false" ht="15" hidden="false" customHeight="true" outlineLevel="0" collapsed="false">
      <c r="A168" s="101" t="str">
        <f aca="false">IFERROR(INDEX(DITARI!$D$6:$D$550,MATCH(0,COUNTIF($A$1:A167,DITARI!$D$6:$D$550)+(DITARI!$D$6:$D$550=""),0)),"")</f>
        <v/>
      </c>
      <c r="B168" s="101" t="str">
        <f aca="false">IF($A168="","",IFERROR(VLOOKUP($A168,PLANI_LLOGARIVE!$A:$I,2,FALSE()),"⚠ Nuk është te PLANI_LLOGARIVE"))</f>
        <v/>
      </c>
      <c r="C168" s="101" t="str">
        <f aca="false">IF($A168="","",IFERROR(VLOOKUP($A168,PLANI_LLOGARIVE!$A:$I,9,FALSE()),""))</f>
        <v/>
      </c>
      <c r="D168" s="101" t="str">
        <f aca="false">IF($A168="","",COUNTIF(DITARI!$D:$D,$A168))</f>
        <v/>
      </c>
      <c r="E168" s="101" t="str">
        <f aca="false">IF($A168="","",SUMIFS(DITARI!$F:$F,DITARI!$D:$D,$A168))</f>
        <v/>
      </c>
      <c r="F168" s="101" t="str">
        <f aca="false">IF($A168="","",SUMIFS(DITARI!$G:$G,DITARI!$D:$D,$A168))</f>
        <v/>
      </c>
      <c r="G168" s="101" t="str">
        <f aca="false">IF($A168="","",$E168-$F168)</f>
        <v/>
      </c>
    </row>
    <row r="169" customFormat="false" ht="15" hidden="false" customHeight="true" outlineLevel="0" collapsed="false">
      <c r="A169" s="101" t="str">
        <f aca="false">IFERROR(INDEX(DITARI!$D$6:$D$550,MATCH(0,COUNTIF($A$1:A168,DITARI!$D$6:$D$550)+(DITARI!$D$6:$D$550=""),0)),"")</f>
        <v/>
      </c>
      <c r="B169" s="101" t="str">
        <f aca="false">IF($A169="","",IFERROR(VLOOKUP($A169,PLANI_LLOGARIVE!$A:$I,2,FALSE()),"⚠ Nuk është te PLANI_LLOGARIVE"))</f>
        <v/>
      </c>
      <c r="C169" s="101" t="str">
        <f aca="false">IF($A169="","",IFERROR(VLOOKUP($A169,PLANI_LLOGARIVE!$A:$I,9,FALSE()),""))</f>
        <v/>
      </c>
      <c r="D169" s="101" t="str">
        <f aca="false">IF($A169="","",COUNTIF(DITARI!$D:$D,$A169))</f>
        <v/>
      </c>
      <c r="E169" s="101" t="str">
        <f aca="false">IF($A169="","",SUMIFS(DITARI!$F:$F,DITARI!$D:$D,$A169))</f>
        <v/>
      </c>
      <c r="F169" s="101" t="str">
        <f aca="false">IF($A169="","",SUMIFS(DITARI!$G:$G,DITARI!$D:$D,$A169))</f>
        <v/>
      </c>
      <c r="G169" s="101" t="str">
        <f aca="false">IF($A169="","",$E169-$F169)</f>
        <v/>
      </c>
    </row>
    <row r="170" customFormat="false" ht="15" hidden="false" customHeight="true" outlineLevel="0" collapsed="false">
      <c r="A170" s="101" t="str">
        <f aca="false">IFERROR(INDEX(DITARI!$D$6:$D$550,MATCH(0,COUNTIF($A$1:A169,DITARI!$D$6:$D$550)+(DITARI!$D$6:$D$550=""),0)),"")</f>
        <v/>
      </c>
      <c r="B170" s="101" t="str">
        <f aca="false">IF($A170="","",IFERROR(VLOOKUP($A170,PLANI_LLOGARIVE!$A:$I,2,FALSE()),"⚠ Nuk është te PLANI_LLOGARIVE"))</f>
        <v/>
      </c>
      <c r="C170" s="101" t="str">
        <f aca="false">IF($A170="","",IFERROR(VLOOKUP($A170,PLANI_LLOGARIVE!$A:$I,9,FALSE()),""))</f>
        <v/>
      </c>
      <c r="D170" s="101" t="str">
        <f aca="false">IF($A170="","",COUNTIF(DITARI!$D:$D,$A170))</f>
        <v/>
      </c>
      <c r="E170" s="101" t="str">
        <f aca="false">IF($A170="","",SUMIFS(DITARI!$F:$F,DITARI!$D:$D,$A170))</f>
        <v/>
      </c>
      <c r="F170" s="101" t="str">
        <f aca="false">IF($A170="","",SUMIFS(DITARI!$G:$G,DITARI!$D:$D,$A170))</f>
        <v/>
      </c>
      <c r="G170" s="101" t="str">
        <f aca="false">IF($A170="","",$E170-$F170)</f>
        <v/>
      </c>
    </row>
    <row r="171" customFormat="false" ht="15" hidden="false" customHeight="true" outlineLevel="0" collapsed="false">
      <c r="A171" s="101" t="str">
        <f aca="false">IFERROR(INDEX(DITARI!$D$6:$D$550,MATCH(0,COUNTIF($A$1:A170,DITARI!$D$6:$D$550)+(DITARI!$D$6:$D$550=""),0)),"")</f>
        <v/>
      </c>
      <c r="B171" s="101" t="str">
        <f aca="false">IF($A171="","",IFERROR(VLOOKUP($A171,PLANI_LLOGARIVE!$A:$I,2,FALSE()),"⚠ Nuk është te PLANI_LLOGARIVE"))</f>
        <v/>
      </c>
      <c r="C171" s="101" t="str">
        <f aca="false">IF($A171="","",IFERROR(VLOOKUP($A171,PLANI_LLOGARIVE!$A:$I,9,FALSE()),""))</f>
        <v/>
      </c>
      <c r="D171" s="101" t="str">
        <f aca="false">IF($A171="","",COUNTIF(DITARI!$D:$D,$A171))</f>
        <v/>
      </c>
      <c r="E171" s="101" t="str">
        <f aca="false">IF($A171="","",SUMIFS(DITARI!$F:$F,DITARI!$D:$D,$A171))</f>
        <v/>
      </c>
      <c r="F171" s="101" t="str">
        <f aca="false">IF($A171="","",SUMIFS(DITARI!$G:$G,DITARI!$D:$D,$A171))</f>
        <v/>
      </c>
      <c r="G171" s="101" t="str">
        <f aca="false">IF($A171="","",$E171-$F171)</f>
        <v/>
      </c>
    </row>
    <row r="172" customFormat="false" ht="15" hidden="false" customHeight="true" outlineLevel="0" collapsed="false">
      <c r="A172" s="101" t="str">
        <f aca="false">IFERROR(INDEX(DITARI!$D$6:$D$550,MATCH(0,COUNTIF($A$1:A171,DITARI!$D$6:$D$550)+(DITARI!$D$6:$D$550=""),0)),"")</f>
        <v/>
      </c>
      <c r="B172" s="101" t="str">
        <f aca="false">IF($A172="","",IFERROR(VLOOKUP($A172,PLANI_LLOGARIVE!$A:$I,2,FALSE()),"⚠ Nuk është te PLANI_LLOGARIVE"))</f>
        <v/>
      </c>
      <c r="C172" s="101" t="str">
        <f aca="false">IF($A172="","",IFERROR(VLOOKUP($A172,PLANI_LLOGARIVE!$A:$I,9,FALSE()),""))</f>
        <v/>
      </c>
      <c r="D172" s="101" t="str">
        <f aca="false">IF($A172="","",COUNTIF(DITARI!$D:$D,$A172))</f>
        <v/>
      </c>
      <c r="E172" s="101" t="str">
        <f aca="false">IF($A172="","",SUMIFS(DITARI!$F:$F,DITARI!$D:$D,$A172))</f>
        <v/>
      </c>
      <c r="F172" s="101" t="str">
        <f aca="false">IF($A172="","",SUMIFS(DITARI!$G:$G,DITARI!$D:$D,$A172))</f>
        <v/>
      </c>
      <c r="G172" s="101" t="str">
        <f aca="false">IF($A172="","",$E172-$F172)</f>
        <v/>
      </c>
    </row>
    <row r="173" customFormat="false" ht="15" hidden="false" customHeight="true" outlineLevel="0" collapsed="false">
      <c r="A173" s="101" t="str">
        <f aca="false">IFERROR(INDEX(DITARI!$D$6:$D$550,MATCH(0,COUNTIF($A$1:A172,DITARI!$D$6:$D$550)+(DITARI!$D$6:$D$550=""),0)),"")</f>
        <v/>
      </c>
      <c r="B173" s="101" t="str">
        <f aca="false">IF($A173="","",IFERROR(VLOOKUP($A173,PLANI_LLOGARIVE!$A:$I,2,FALSE()),"⚠ Nuk është te PLANI_LLOGARIVE"))</f>
        <v/>
      </c>
      <c r="C173" s="101" t="str">
        <f aca="false">IF($A173="","",IFERROR(VLOOKUP($A173,PLANI_LLOGARIVE!$A:$I,9,FALSE()),""))</f>
        <v/>
      </c>
      <c r="D173" s="101" t="str">
        <f aca="false">IF($A173="","",COUNTIF(DITARI!$D:$D,$A173))</f>
        <v/>
      </c>
      <c r="E173" s="101" t="str">
        <f aca="false">IF($A173="","",SUMIFS(DITARI!$F:$F,DITARI!$D:$D,$A173))</f>
        <v/>
      </c>
      <c r="F173" s="101" t="str">
        <f aca="false">IF($A173="","",SUMIFS(DITARI!$G:$G,DITARI!$D:$D,$A173))</f>
        <v/>
      </c>
      <c r="G173" s="101" t="str">
        <f aca="false">IF($A173="","",$E173-$F173)</f>
        <v/>
      </c>
    </row>
    <row r="174" customFormat="false" ht="15" hidden="false" customHeight="true" outlineLevel="0" collapsed="false">
      <c r="A174" s="101" t="str">
        <f aca="false">IFERROR(INDEX(DITARI!$D$6:$D$550,MATCH(0,COUNTIF($A$1:A173,DITARI!$D$6:$D$550)+(DITARI!$D$6:$D$550=""),0)),"")</f>
        <v/>
      </c>
      <c r="B174" s="101" t="str">
        <f aca="false">IF($A174="","",IFERROR(VLOOKUP($A174,PLANI_LLOGARIVE!$A:$I,2,FALSE()),"⚠ Nuk është te PLANI_LLOGARIVE"))</f>
        <v/>
      </c>
      <c r="C174" s="101" t="str">
        <f aca="false">IF($A174="","",IFERROR(VLOOKUP($A174,PLANI_LLOGARIVE!$A:$I,9,FALSE()),""))</f>
        <v/>
      </c>
      <c r="D174" s="101" t="str">
        <f aca="false">IF($A174="","",COUNTIF(DITARI!$D:$D,$A174))</f>
        <v/>
      </c>
      <c r="E174" s="101" t="str">
        <f aca="false">IF($A174="","",SUMIFS(DITARI!$F:$F,DITARI!$D:$D,$A174))</f>
        <v/>
      </c>
      <c r="F174" s="101" t="str">
        <f aca="false">IF($A174="","",SUMIFS(DITARI!$G:$G,DITARI!$D:$D,$A174))</f>
        <v/>
      </c>
      <c r="G174" s="101" t="str">
        <f aca="false">IF($A174="","",$E174-$F174)</f>
        <v/>
      </c>
    </row>
    <row r="175" customFormat="false" ht="15" hidden="false" customHeight="true" outlineLevel="0" collapsed="false">
      <c r="A175" s="101" t="str">
        <f aca="false">IFERROR(INDEX(DITARI!$D$6:$D$550,MATCH(0,COUNTIF($A$1:A174,DITARI!$D$6:$D$550)+(DITARI!$D$6:$D$550=""),0)),"")</f>
        <v/>
      </c>
      <c r="B175" s="101" t="str">
        <f aca="false">IF($A175="","",IFERROR(VLOOKUP($A175,PLANI_LLOGARIVE!$A:$I,2,FALSE()),"⚠ Nuk është te PLANI_LLOGARIVE"))</f>
        <v/>
      </c>
      <c r="C175" s="101" t="str">
        <f aca="false">IF($A175="","",IFERROR(VLOOKUP($A175,PLANI_LLOGARIVE!$A:$I,9,FALSE()),""))</f>
        <v/>
      </c>
      <c r="D175" s="101" t="str">
        <f aca="false">IF($A175="","",COUNTIF(DITARI!$D:$D,$A175))</f>
        <v/>
      </c>
      <c r="E175" s="101" t="str">
        <f aca="false">IF($A175="","",SUMIFS(DITARI!$F:$F,DITARI!$D:$D,$A175))</f>
        <v/>
      </c>
      <c r="F175" s="101" t="str">
        <f aca="false">IF($A175="","",SUMIFS(DITARI!$G:$G,DITARI!$D:$D,$A175))</f>
        <v/>
      </c>
      <c r="G175" s="101" t="str">
        <f aca="false">IF($A175="","",$E175-$F175)</f>
        <v/>
      </c>
    </row>
    <row r="176" customFormat="false" ht="15" hidden="false" customHeight="true" outlineLevel="0" collapsed="false">
      <c r="A176" s="101" t="str">
        <f aca="false">IFERROR(INDEX(DITARI!$D$6:$D$550,MATCH(0,COUNTIF($A$1:A175,DITARI!$D$6:$D$550)+(DITARI!$D$6:$D$550=""),0)),"")</f>
        <v/>
      </c>
      <c r="B176" s="101" t="str">
        <f aca="false">IF($A176="","",IFERROR(VLOOKUP($A176,PLANI_LLOGARIVE!$A:$I,2,FALSE()),"⚠ Nuk është te PLANI_LLOGARIVE"))</f>
        <v/>
      </c>
      <c r="C176" s="101" t="str">
        <f aca="false">IF($A176="","",IFERROR(VLOOKUP($A176,PLANI_LLOGARIVE!$A:$I,9,FALSE()),""))</f>
        <v/>
      </c>
      <c r="D176" s="101" t="str">
        <f aca="false">IF($A176="","",COUNTIF(DITARI!$D:$D,$A176))</f>
        <v/>
      </c>
      <c r="E176" s="101" t="str">
        <f aca="false">IF($A176="","",SUMIFS(DITARI!$F:$F,DITARI!$D:$D,$A176))</f>
        <v/>
      </c>
      <c r="F176" s="101" t="str">
        <f aca="false">IF($A176="","",SUMIFS(DITARI!$G:$G,DITARI!$D:$D,$A176))</f>
        <v/>
      </c>
      <c r="G176" s="101" t="str">
        <f aca="false">IF($A176="","",$E176-$F176)</f>
        <v/>
      </c>
    </row>
    <row r="177" customFormat="false" ht="15" hidden="false" customHeight="true" outlineLevel="0" collapsed="false">
      <c r="A177" s="101" t="str">
        <f aca="false">IFERROR(INDEX(DITARI!$D$6:$D$550,MATCH(0,COUNTIF($A$1:A176,DITARI!$D$6:$D$550)+(DITARI!$D$6:$D$550=""),0)),"")</f>
        <v/>
      </c>
      <c r="B177" s="101" t="str">
        <f aca="false">IF($A177="","",IFERROR(VLOOKUP($A177,PLANI_LLOGARIVE!$A:$I,2,FALSE()),"⚠ Nuk është te PLANI_LLOGARIVE"))</f>
        <v/>
      </c>
      <c r="C177" s="101" t="str">
        <f aca="false">IF($A177="","",IFERROR(VLOOKUP($A177,PLANI_LLOGARIVE!$A:$I,9,FALSE()),""))</f>
        <v/>
      </c>
      <c r="D177" s="101" t="str">
        <f aca="false">IF($A177="","",COUNTIF(DITARI!$D:$D,$A177))</f>
        <v/>
      </c>
      <c r="E177" s="101" t="str">
        <f aca="false">IF($A177="","",SUMIFS(DITARI!$F:$F,DITARI!$D:$D,$A177))</f>
        <v/>
      </c>
      <c r="F177" s="101" t="str">
        <f aca="false">IF($A177="","",SUMIFS(DITARI!$G:$G,DITARI!$D:$D,$A177))</f>
        <v/>
      </c>
      <c r="G177" s="101" t="str">
        <f aca="false">IF($A177="","",$E177-$F177)</f>
        <v/>
      </c>
    </row>
    <row r="178" customFormat="false" ht="15" hidden="false" customHeight="true" outlineLevel="0" collapsed="false">
      <c r="A178" s="101" t="str">
        <f aca="false">IFERROR(INDEX(DITARI!$D$6:$D$550,MATCH(0,COUNTIF($A$1:A177,DITARI!$D$6:$D$550)+(DITARI!$D$6:$D$550=""),0)),"")</f>
        <v/>
      </c>
      <c r="B178" s="101" t="str">
        <f aca="false">IF($A178="","",IFERROR(VLOOKUP($A178,PLANI_LLOGARIVE!$A:$I,2,FALSE()),"⚠ Nuk është te PLANI_LLOGARIVE"))</f>
        <v/>
      </c>
      <c r="C178" s="101" t="str">
        <f aca="false">IF($A178="","",IFERROR(VLOOKUP($A178,PLANI_LLOGARIVE!$A:$I,9,FALSE()),""))</f>
        <v/>
      </c>
      <c r="D178" s="101" t="str">
        <f aca="false">IF($A178="","",COUNTIF(DITARI!$D:$D,$A178))</f>
        <v/>
      </c>
      <c r="E178" s="101" t="str">
        <f aca="false">IF($A178="","",SUMIFS(DITARI!$F:$F,DITARI!$D:$D,$A178))</f>
        <v/>
      </c>
      <c r="F178" s="101" t="str">
        <f aca="false">IF($A178="","",SUMIFS(DITARI!$G:$G,DITARI!$D:$D,$A178))</f>
        <v/>
      </c>
      <c r="G178" s="101" t="str">
        <f aca="false">IF($A178="","",$E178-$F178)</f>
        <v/>
      </c>
    </row>
    <row r="179" customFormat="false" ht="15" hidden="false" customHeight="true" outlineLevel="0" collapsed="false">
      <c r="A179" s="101" t="str">
        <f aca="false">IFERROR(INDEX(DITARI!$D$6:$D$550,MATCH(0,COUNTIF($A$1:A178,DITARI!$D$6:$D$550)+(DITARI!$D$6:$D$550=""),0)),"")</f>
        <v/>
      </c>
      <c r="B179" s="101" t="str">
        <f aca="false">IF($A179="","",IFERROR(VLOOKUP($A179,PLANI_LLOGARIVE!$A:$I,2,FALSE()),"⚠ Nuk është te PLANI_LLOGARIVE"))</f>
        <v/>
      </c>
      <c r="C179" s="101" t="str">
        <f aca="false">IF($A179="","",IFERROR(VLOOKUP($A179,PLANI_LLOGARIVE!$A:$I,9,FALSE()),""))</f>
        <v/>
      </c>
      <c r="D179" s="101" t="str">
        <f aca="false">IF($A179="","",COUNTIF(DITARI!$D:$D,$A179))</f>
        <v/>
      </c>
      <c r="E179" s="101" t="str">
        <f aca="false">IF($A179="","",SUMIFS(DITARI!$F:$F,DITARI!$D:$D,$A179))</f>
        <v/>
      </c>
      <c r="F179" s="101" t="str">
        <f aca="false">IF($A179="","",SUMIFS(DITARI!$G:$G,DITARI!$D:$D,$A179))</f>
        <v/>
      </c>
      <c r="G179" s="101" t="str">
        <f aca="false">IF($A179="","",$E179-$F179)</f>
        <v/>
      </c>
    </row>
    <row r="180" customFormat="false" ht="15" hidden="false" customHeight="true" outlineLevel="0" collapsed="false">
      <c r="A180" s="101" t="str">
        <f aca="false">IFERROR(INDEX(DITARI!$D$6:$D$550,MATCH(0,COUNTIF($A$1:A179,DITARI!$D$6:$D$550)+(DITARI!$D$6:$D$550=""),0)),"")</f>
        <v/>
      </c>
      <c r="B180" s="101" t="str">
        <f aca="false">IF($A180="","",IFERROR(VLOOKUP($A180,PLANI_LLOGARIVE!$A:$I,2,FALSE()),"⚠ Nuk është te PLANI_LLOGARIVE"))</f>
        <v/>
      </c>
      <c r="C180" s="101" t="str">
        <f aca="false">IF($A180="","",IFERROR(VLOOKUP($A180,PLANI_LLOGARIVE!$A:$I,9,FALSE()),""))</f>
        <v/>
      </c>
      <c r="D180" s="101" t="str">
        <f aca="false">IF($A180="","",COUNTIF(DITARI!$D:$D,$A180))</f>
        <v/>
      </c>
      <c r="E180" s="101" t="str">
        <f aca="false">IF($A180="","",SUMIFS(DITARI!$F:$F,DITARI!$D:$D,$A180))</f>
        <v/>
      </c>
      <c r="F180" s="101" t="str">
        <f aca="false">IF($A180="","",SUMIFS(DITARI!$G:$G,DITARI!$D:$D,$A180))</f>
        <v/>
      </c>
      <c r="G180" s="101" t="str">
        <f aca="false">IF($A180="","",$E180-$F180)</f>
        <v/>
      </c>
    </row>
    <row r="181" customFormat="false" ht="15" hidden="false" customHeight="true" outlineLevel="0" collapsed="false">
      <c r="A181" s="101" t="str">
        <f aca="false">IFERROR(INDEX(DITARI!$D$6:$D$550,MATCH(0,COUNTIF($A$1:A180,DITARI!$D$6:$D$550)+(DITARI!$D$6:$D$550=""),0)),"")</f>
        <v/>
      </c>
      <c r="B181" s="101" t="str">
        <f aca="false">IF($A181="","",IFERROR(VLOOKUP($A181,PLANI_LLOGARIVE!$A:$I,2,FALSE()),"⚠ Nuk është te PLANI_LLOGARIVE"))</f>
        <v/>
      </c>
      <c r="C181" s="101" t="str">
        <f aca="false">IF($A181="","",IFERROR(VLOOKUP($A181,PLANI_LLOGARIVE!$A:$I,9,FALSE()),""))</f>
        <v/>
      </c>
      <c r="D181" s="101" t="str">
        <f aca="false">IF($A181="","",COUNTIF(DITARI!$D:$D,$A181))</f>
        <v/>
      </c>
      <c r="E181" s="101" t="str">
        <f aca="false">IF($A181="","",SUMIFS(DITARI!$F:$F,DITARI!$D:$D,$A181))</f>
        <v/>
      </c>
      <c r="F181" s="101" t="str">
        <f aca="false">IF($A181="","",SUMIFS(DITARI!$G:$G,DITARI!$D:$D,$A181))</f>
        <v/>
      </c>
      <c r="G181" s="101" t="str">
        <f aca="false">IF($A181="","",$E181-$F181)</f>
        <v/>
      </c>
    </row>
    <row r="182" customFormat="false" ht="15" hidden="false" customHeight="true" outlineLevel="0" collapsed="false">
      <c r="A182" s="101" t="str">
        <f aca="false">IFERROR(INDEX(DITARI!$D$6:$D$550,MATCH(0,COUNTIF($A$1:A181,DITARI!$D$6:$D$550)+(DITARI!$D$6:$D$550=""),0)),"")</f>
        <v/>
      </c>
      <c r="B182" s="101" t="str">
        <f aca="false">IF($A182="","",IFERROR(VLOOKUP($A182,PLANI_LLOGARIVE!$A:$I,2,FALSE()),"⚠ Nuk është te PLANI_LLOGARIVE"))</f>
        <v/>
      </c>
      <c r="C182" s="101" t="str">
        <f aca="false">IF($A182="","",IFERROR(VLOOKUP($A182,PLANI_LLOGARIVE!$A:$I,9,FALSE()),""))</f>
        <v/>
      </c>
      <c r="D182" s="101" t="str">
        <f aca="false">IF($A182="","",COUNTIF(DITARI!$D:$D,$A182))</f>
        <v/>
      </c>
      <c r="E182" s="101" t="str">
        <f aca="false">IF($A182="","",SUMIFS(DITARI!$F:$F,DITARI!$D:$D,$A182))</f>
        <v/>
      </c>
      <c r="F182" s="101" t="str">
        <f aca="false">IF($A182="","",SUMIFS(DITARI!$G:$G,DITARI!$D:$D,$A182))</f>
        <v/>
      </c>
      <c r="G182" s="101" t="str">
        <f aca="false">IF($A182="","",$E182-$F182)</f>
        <v/>
      </c>
    </row>
    <row r="183" customFormat="false" ht="15" hidden="false" customHeight="true" outlineLevel="0" collapsed="false">
      <c r="A183" s="101" t="str">
        <f aca="false">IFERROR(INDEX(DITARI!$D$6:$D$550,MATCH(0,COUNTIF($A$1:A182,DITARI!$D$6:$D$550)+(DITARI!$D$6:$D$550=""),0)),"")</f>
        <v/>
      </c>
      <c r="B183" s="101" t="str">
        <f aca="false">IF($A183="","",IFERROR(VLOOKUP($A183,PLANI_LLOGARIVE!$A:$I,2,FALSE()),"⚠ Nuk është te PLANI_LLOGARIVE"))</f>
        <v/>
      </c>
      <c r="C183" s="101" t="str">
        <f aca="false">IF($A183="","",IFERROR(VLOOKUP($A183,PLANI_LLOGARIVE!$A:$I,9,FALSE()),""))</f>
        <v/>
      </c>
      <c r="D183" s="101" t="str">
        <f aca="false">IF($A183="","",COUNTIF(DITARI!$D:$D,$A183))</f>
        <v/>
      </c>
      <c r="E183" s="101" t="str">
        <f aca="false">IF($A183="","",SUMIFS(DITARI!$F:$F,DITARI!$D:$D,$A183))</f>
        <v/>
      </c>
      <c r="F183" s="101" t="str">
        <f aca="false">IF($A183="","",SUMIFS(DITARI!$G:$G,DITARI!$D:$D,$A183))</f>
        <v/>
      </c>
      <c r="G183" s="101" t="str">
        <f aca="false">IF($A183="","",$E183-$F183)</f>
        <v/>
      </c>
    </row>
    <row r="184" customFormat="false" ht="15" hidden="false" customHeight="true" outlineLevel="0" collapsed="false">
      <c r="A184" s="101" t="str">
        <f aca="false">IFERROR(INDEX(DITARI!$D$6:$D$550,MATCH(0,COUNTIF($A$1:A183,DITARI!$D$6:$D$550)+(DITARI!$D$6:$D$550=""),0)),"")</f>
        <v/>
      </c>
      <c r="B184" s="101" t="str">
        <f aca="false">IF($A184="","",IFERROR(VLOOKUP($A184,PLANI_LLOGARIVE!$A:$I,2,FALSE()),"⚠ Nuk është te PLANI_LLOGARIVE"))</f>
        <v/>
      </c>
      <c r="C184" s="101" t="str">
        <f aca="false">IF($A184="","",IFERROR(VLOOKUP($A184,PLANI_LLOGARIVE!$A:$I,9,FALSE()),""))</f>
        <v/>
      </c>
      <c r="D184" s="101" t="str">
        <f aca="false">IF($A184="","",COUNTIF(DITARI!$D:$D,$A184))</f>
        <v/>
      </c>
      <c r="E184" s="101" t="str">
        <f aca="false">IF($A184="","",SUMIFS(DITARI!$F:$F,DITARI!$D:$D,$A184))</f>
        <v/>
      </c>
      <c r="F184" s="101" t="str">
        <f aca="false">IF($A184="","",SUMIFS(DITARI!$G:$G,DITARI!$D:$D,$A184))</f>
        <v/>
      </c>
      <c r="G184" s="101" t="str">
        <f aca="false">IF($A184="","",$E184-$F184)</f>
        <v/>
      </c>
    </row>
    <row r="185" customFormat="false" ht="15" hidden="false" customHeight="true" outlineLevel="0" collapsed="false">
      <c r="A185" s="101" t="str">
        <f aca="false">IFERROR(INDEX(DITARI!$D$6:$D$550,MATCH(0,COUNTIF($A$1:A184,DITARI!$D$6:$D$550)+(DITARI!$D$6:$D$550=""),0)),"")</f>
        <v/>
      </c>
      <c r="B185" s="101" t="str">
        <f aca="false">IF($A185="","",IFERROR(VLOOKUP($A185,PLANI_LLOGARIVE!$A:$I,2,FALSE()),"⚠ Nuk është te PLANI_LLOGARIVE"))</f>
        <v/>
      </c>
      <c r="C185" s="101" t="str">
        <f aca="false">IF($A185="","",IFERROR(VLOOKUP($A185,PLANI_LLOGARIVE!$A:$I,9,FALSE()),""))</f>
        <v/>
      </c>
      <c r="D185" s="101" t="str">
        <f aca="false">IF($A185="","",COUNTIF(DITARI!$D:$D,$A185))</f>
        <v/>
      </c>
      <c r="E185" s="101" t="str">
        <f aca="false">IF($A185="","",SUMIFS(DITARI!$F:$F,DITARI!$D:$D,$A185))</f>
        <v/>
      </c>
      <c r="F185" s="101" t="str">
        <f aca="false">IF($A185="","",SUMIFS(DITARI!$G:$G,DITARI!$D:$D,$A185))</f>
        <v/>
      </c>
      <c r="G185" s="101" t="str">
        <f aca="false">IF($A185="","",$E185-$F185)</f>
        <v/>
      </c>
    </row>
    <row r="186" customFormat="false" ht="15" hidden="false" customHeight="true" outlineLevel="0" collapsed="false">
      <c r="A186" s="101" t="str">
        <f aca="false">IFERROR(INDEX(DITARI!$D$6:$D$550,MATCH(0,COUNTIF($A$1:A185,DITARI!$D$6:$D$550)+(DITARI!$D$6:$D$550=""),0)),"")</f>
        <v/>
      </c>
      <c r="B186" s="101" t="str">
        <f aca="false">IF($A186="","",IFERROR(VLOOKUP($A186,PLANI_LLOGARIVE!$A:$I,2,FALSE()),"⚠ Nuk është te PLANI_LLOGARIVE"))</f>
        <v/>
      </c>
      <c r="C186" s="101" t="str">
        <f aca="false">IF($A186="","",IFERROR(VLOOKUP($A186,PLANI_LLOGARIVE!$A:$I,9,FALSE()),""))</f>
        <v/>
      </c>
      <c r="D186" s="101" t="str">
        <f aca="false">IF($A186="","",COUNTIF(DITARI!$D:$D,$A186))</f>
        <v/>
      </c>
      <c r="E186" s="101" t="str">
        <f aca="false">IF($A186="","",SUMIFS(DITARI!$F:$F,DITARI!$D:$D,$A186))</f>
        <v/>
      </c>
      <c r="F186" s="101" t="str">
        <f aca="false">IF($A186="","",SUMIFS(DITARI!$G:$G,DITARI!$D:$D,$A186))</f>
        <v/>
      </c>
      <c r="G186" s="101" t="str">
        <f aca="false">IF($A186="","",$E186-$F186)</f>
        <v/>
      </c>
    </row>
    <row r="187" customFormat="false" ht="15" hidden="false" customHeight="true" outlineLevel="0" collapsed="false">
      <c r="A187" s="101" t="str">
        <f aca="false">IFERROR(INDEX(DITARI!$D$6:$D$550,MATCH(0,COUNTIF($A$1:A186,DITARI!$D$6:$D$550)+(DITARI!$D$6:$D$550=""),0)),"")</f>
        <v/>
      </c>
      <c r="B187" s="101" t="str">
        <f aca="false">IF($A187="","",IFERROR(VLOOKUP($A187,PLANI_LLOGARIVE!$A:$I,2,FALSE()),"⚠ Nuk është te PLANI_LLOGARIVE"))</f>
        <v/>
      </c>
      <c r="C187" s="101" t="str">
        <f aca="false">IF($A187="","",IFERROR(VLOOKUP($A187,PLANI_LLOGARIVE!$A:$I,9,FALSE()),""))</f>
        <v/>
      </c>
      <c r="D187" s="101" t="str">
        <f aca="false">IF($A187="","",COUNTIF(DITARI!$D:$D,$A187))</f>
        <v/>
      </c>
      <c r="E187" s="101" t="str">
        <f aca="false">IF($A187="","",SUMIFS(DITARI!$F:$F,DITARI!$D:$D,$A187))</f>
        <v/>
      </c>
      <c r="F187" s="101" t="str">
        <f aca="false">IF($A187="","",SUMIFS(DITARI!$G:$G,DITARI!$D:$D,$A187))</f>
        <v/>
      </c>
      <c r="G187" s="101" t="str">
        <f aca="false">IF($A187="","",$E187-$F187)</f>
        <v/>
      </c>
    </row>
    <row r="188" customFormat="false" ht="15" hidden="false" customHeight="true" outlineLevel="0" collapsed="false">
      <c r="A188" s="101" t="str">
        <f aca="false">IFERROR(INDEX(DITARI!$D$6:$D$550,MATCH(0,COUNTIF($A$1:A187,DITARI!$D$6:$D$550)+(DITARI!$D$6:$D$550=""),0)),"")</f>
        <v/>
      </c>
      <c r="B188" s="101" t="str">
        <f aca="false">IF($A188="","",IFERROR(VLOOKUP($A188,PLANI_LLOGARIVE!$A:$I,2,FALSE()),"⚠ Nuk është te PLANI_LLOGARIVE"))</f>
        <v/>
      </c>
      <c r="C188" s="101" t="str">
        <f aca="false">IF($A188="","",IFERROR(VLOOKUP($A188,PLANI_LLOGARIVE!$A:$I,9,FALSE()),""))</f>
        <v/>
      </c>
      <c r="D188" s="101" t="str">
        <f aca="false">IF($A188="","",COUNTIF(DITARI!$D:$D,$A188))</f>
        <v/>
      </c>
      <c r="E188" s="101" t="str">
        <f aca="false">IF($A188="","",SUMIFS(DITARI!$F:$F,DITARI!$D:$D,$A188))</f>
        <v/>
      </c>
      <c r="F188" s="101" t="str">
        <f aca="false">IF($A188="","",SUMIFS(DITARI!$G:$G,DITARI!$D:$D,$A188))</f>
        <v/>
      </c>
      <c r="G188" s="101" t="str">
        <f aca="false">IF($A188="","",$E188-$F188)</f>
        <v/>
      </c>
    </row>
    <row r="189" customFormat="false" ht="15" hidden="false" customHeight="true" outlineLevel="0" collapsed="false">
      <c r="A189" s="101" t="str">
        <f aca="false">IFERROR(INDEX(DITARI!$D$6:$D$550,MATCH(0,COUNTIF($A$1:A188,DITARI!$D$6:$D$550)+(DITARI!$D$6:$D$550=""),0)),"")</f>
        <v/>
      </c>
      <c r="B189" s="101" t="str">
        <f aca="false">IF($A189="","",IFERROR(VLOOKUP($A189,PLANI_LLOGARIVE!$A:$I,2,FALSE()),"⚠ Nuk është te PLANI_LLOGARIVE"))</f>
        <v/>
      </c>
      <c r="C189" s="101" t="str">
        <f aca="false">IF($A189="","",IFERROR(VLOOKUP($A189,PLANI_LLOGARIVE!$A:$I,9,FALSE()),""))</f>
        <v/>
      </c>
      <c r="D189" s="101" t="str">
        <f aca="false">IF($A189="","",COUNTIF(DITARI!$D:$D,$A189))</f>
        <v/>
      </c>
      <c r="E189" s="101" t="str">
        <f aca="false">IF($A189="","",SUMIFS(DITARI!$F:$F,DITARI!$D:$D,$A189))</f>
        <v/>
      </c>
      <c r="F189" s="101" t="str">
        <f aca="false">IF($A189="","",SUMIFS(DITARI!$G:$G,DITARI!$D:$D,$A189))</f>
        <v/>
      </c>
      <c r="G189" s="101" t="str">
        <f aca="false">IF($A189="","",$E189-$F189)</f>
        <v/>
      </c>
    </row>
    <row r="190" customFormat="false" ht="15" hidden="false" customHeight="true" outlineLevel="0" collapsed="false">
      <c r="A190" s="101" t="str">
        <f aca="false">IFERROR(INDEX(DITARI!$D$6:$D$550,MATCH(0,COUNTIF($A$1:A189,DITARI!$D$6:$D$550)+(DITARI!$D$6:$D$550=""),0)),"")</f>
        <v/>
      </c>
      <c r="B190" s="101" t="str">
        <f aca="false">IF($A190="","",IFERROR(VLOOKUP($A190,PLANI_LLOGARIVE!$A:$I,2,FALSE()),"⚠ Nuk është te PLANI_LLOGARIVE"))</f>
        <v/>
      </c>
      <c r="C190" s="101" t="str">
        <f aca="false">IF($A190="","",IFERROR(VLOOKUP($A190,PLANI_LLOGARIVE!$A:$I,9,FALSE()),""))</f>
        <v/>
      </c>
      <c r="D190" s="101" t="str">
        <f aca="false">IF($A190="","",COUNTIF(DITARI!$D:$D,$A190))</f>
        <v/>
      </c>
      <c r="E190" s="101" t="str">
        <f aca="false">IF($A190="","",SUMIFS(DITARI!$F:$F,DITARI!$D:$D,$A190))</f>
        <v/>
      </c>
      <c r="F190" s="101" t="str">
        <f aca="false">IF($A190="","",SUMIFS(DITARI!$G:$G,DITARI!$D:$D,$A190))</f>
        <v/>
      </c>
      <c r="G190" s="101" t="str">
        <f aca="false">IF($A190="","",$E190-$F190)</f>
        <v/>
      </c>
    </row>
    <row r="191" customFormat="false" ht="15" hidden="false" customHeight="true" outlineLevel="0" collapsed="false">
      <c r="A191" s="101" t="str">
        <f aca="false">IFERROR(INDEX(DITARI!$D$6:$D$550,MATCH(0,COUNTIF($A$1:A190,DITARI!$D$6:$D$550)+(DITARI!$D$6:$D$550=""),0)),"")</f>
        <v/>
      </c>
      <c r="B191" s="101" t="str">
        <f aca="false">IF($A191="","",IFERROR(VLOOKUP($A191,PLANI_LLOGARIVE!$A:$I,2,FALSE()),"⚠ Nuk është te PLANI_LLOGARIVE"))</f>
        <v/>
      </c>
      <c r="C191" s="101" t="str">
        <f aca="false">IF($A191="","",IFERROR(VLOOKUP($A191,PLANI_LLOGARIVE!$A:$I,9,FALSE()),""))</f>
        <v/>
      </c>
      <c r="D191" s="101" t="str">
        <f aca="false">IF($A191="","",COUNTIF(DITARI!$D:$D,$A191))</f>
        <v/>
      </c>
      <c r="E191" s="101" t="str">
        <f aca="false">IF($A191="","",SUMIFS(DITARI!$F:$F,DITARI!$D:$D,$A191))</f>
        <v/>
      </c>
      <c r="F191" s="101" t="str">
        <f aca="false">IF($A191="","",SUMIFS(DITARI!$G:$G,DITARI!$D:$D,$A191))</f>
        <v/>
      </c>
      <c r="G191" s="101" t="str">
        <f aca="false">IF($A191="","",$E191-$F191)</f>
        <v/>
      </c>
    </row>
    <row r="192" customFormat="false" ht="15" hidden="false" customHeight="true" outlineLevel="0" collapsed="false">
      <c r="A192" s="101" t="str">
        <f aca="false">IFERROR(INDEX(DITARI!$D$6:$D$550,MATCH(0,COUNTIF($A$1:A191,DITARI!$D$6:$D$550)+(DITARI!$D$6:$D$550=""),0)),"")</f>
        <v/>
      </c>
      <c r="B192" s="101" t="str">
        <f aca="false">IF($A192="","",IFERROR(VLOOKUP($A192,PLANI_LLOGARIVE!$A:$I,2,FALSE()),"⚠ Nuk është te PLANI_LLOGARIVE"))</f>
        <v/>
      </c>
      <c r="C192" s="101" t="str">
        <f aca="false">IF($A192="","",IFERROR(VLOOKUP($A192,PLANI_LLOGARIVE!$A:$I,9,FALSE()),""))</f>
        <v/>
      </c>
      <c r="D192" s="101" t="str">
        <f aca="false">IF($A192="","",COUNTIF(DITARI!$D:$D,$A192))</f>
        <v/>
      </c>
      <c r="E192" s="101" t="str">
        <f aca="false">IF($A192="","",SUMIFS(DITARI!$F:$F,DITARI!$D:$D,$A192))</f>
        <v/>
      </c>
      <c r="F192" s="101" t="str">
        <f aca="false">IF($A192="","",SUMIFS(DITARI!$G:$G,DITARI!$D:$D,$A192))</f>
        <v/>
      </c>
      <c r="G192" s="101" t="str">
        <f aca="false">IF($A192="","",$E192-$F192)</f>
        <v/>
      </c>
    </row>
    <row r="193" customFormat="false" ht="15" hidden="false" customHeight="true" outlineLevel="0" collapsed="false">
      <c r="A193" s="101" t="str">
        <f aca="false">IFERROR(INDEX(DITARI!$D$6:$D$550,MATCH(0,COUNTIF($A$1:A192,DITARI!$D$6:$D$550)+(DITARI!$D$6:$D$550=""),0)),"")</f>
        <v/>
      </c>
      <c r="B193" s="101" t="str">
        <f aca="false">IF($A193="","",IFERROR(VLOOKUP($A193,PLANI_LLOGARIVE!$A:$I,2,FALSE()),"⚠ Nuk është te PLANI_LLOGARIVE"))</f>
        <v/>
      </c>
      <c r="C193" s="101" t="str">
        <f aca="false">IF($A193="","",IFERROR(VLOOKUP($A193,PLANI_LLOGARIVE!$A:$I,9,FALSE()),""))</f>
        <v/>
      </c>
      <c r="D193" s="101" t="str">
        <f aca="false">IF($A193="","",COUNTIF(DITARI!$D:$D,$A193))</f>
        <v/>
      </c>
      <c r="E193" s="101" t="str">
        <f aca="false">IF($A193="","",SUMIFS(DITARI!$F:$F,DITARI!$D:$D,$A193))</f>
        <v/>
      </c>
      <c r="F193" s="101" t="str">
        <f aca="false">IF($A193="","",SUMIFS(DITARI!$G:$G,DITARI!$D:$D,$A193))</f>
        <v/>
      </c>
      <c r="G193" s="101" t="str">
        <f aca="false">IF($A193="","",$E193-$F193)</f>
        <v/>
      </c>
    </row>
    <row r="194" customFormat="false" ht="15" hidden="false" customHeight="true" outlineLevel="0" collapsed="false">
      <c r="A194" s="101" t="str">
        <f aca="false">IFERROR(INDEX(DITARI!$D$6:$D$550,MATCH(0,COUNTIF($A$1:A193,DITARI!$D$6:$D$550)+(DITARI!$D$6:$D$550=""),0)),"")</f>
        <v/>
      </c>
      <c r="B194" s="101" t="str">
        <f aca="false">IF($A194="","",IFERROR(VLOOKUP($A194,PLANI_LLOGARIVE!$A:$I,2,FALSE()),"⚠ Nuk është te PLANI_LLOGARIVE"))</f>
        <v/>
      </c>
      <c r="C194" s="101" t="str">
        <f aca="false">IF($A194="","",IFERROR(VLOOKUP($A194,PLANI_LLOGARIVE!$A:$I,9,FALSE()),""))</f>
        <v/>
      </c>
      <c r="D194" s="101" t="str">
        <f aca="false">IF($A194="","",COUNTIF(DITARI!$D:$D,$A194))</f>
        <v/>
      </c>
      <c r="E194" s="101" t="str">
        <f aca="false">IF($A194="","",SUMIFS(DITARI!$F:$F,DITARI!$D:$D,$A194))</f>
        <v/>
      </c>
      <c r="F194" s="101" t="str">
        <f aca="false">IF($A194="","",SUMIFS(DITARI!$G:$G,DITARI!$D:$D,$A194))</f>
        <v/>
      </c>
      <c r="G194" s="101" t="str">
        <f aca="false">IF($A194="","",$E194-$F194)</f>
        <v/>
      </c>
    </row>
    <row r="195" customFormat="false" ht="15" hidden="false" customHeight="true" outlineLevel="0" collapsed="false">
      <c r="A195" s="101" t="str">
        <f aca="false">IFERROR(INDEX(DITARI!$D$6:$D$550,MATCH(0,COUNTIF($A$1:A194,DITARI!$D$6:$D$550)+(DITARI!$D$6:$D$550=""),0)),"")</f>
        <v/>
      </c>
      <c r="B195" s="101" t="str">
        <f aca="false">IF($A195="","",IFERROR(VLOOKUP($A195,PLANI_LLOGARIVE!$A:$I,2,FALSE()),"⚠ Nuk është te PLANI_LLOGARIVE"))</f>
        <v/>
      </c>
      <c r="C195" s="101" t="str">
        <f aca="false">IF($A195="","",IFERROR(VLOOKUP($A195,PLANI_LLOGARIVE!$A:$I,9,FALSE()),""))</f>
        <v/>
      </c>
      <c r="D195" s="101" t="str">
        <f aca="false">IF($A195="","",COUNTIF(DITARI!$D:$D,$A195))</f>
        <v/>
      </c>
      <c r="E195" s="101" t="str">
        <f aca="false">IF($A195="","",SUMIFS(DITARI!$F:$F,DITARI!$D:$D,$A195))</f>
        <v/>
      </c>
      <c r="F195" s="101" t="str">
        <f aca="false">IF($A195="","",SUMIFS(DITARI!$G:$G,DITARI!$D:$D,$A195))</f>
        <v/>
      </c>
      <c r="G195" s="101" t="str">
        <f aca="false">IF($A195="","",$E195-$F195)</f>
        <v/>
      </c>
    </row>
    <row r="196" customFormat="false" ht="15" hidden="false" customHeight="true" outlineLevel="0" collapsed="false">
      <c r="A196" s="101" t="str">
        <f aca="false">IFERROR(INDEX(DITARI!$D$6:$D$550,MATCH(0,COUNTIF($A$1:A195,DITARI!$D$6:$D$550)+(DITARI!$D$6:$D$550=""),0)),"")</f>
        <v/>
      </c>
      <c r="B196" s="101" t="str">
        <f aca="false">IF($A196="","",IFERROR(VLOOKUP($A196,PLANI_LLOGARIVE!$A:$I,2,FALSE()),"⚠ Nuk është te PLANI_LLOGARIVE"))</f>
        <v/>
      </c>
      <c r="C196" s="101" t="str">
        <f aca="false">IF($A196="","",IFERROR(VLOOKUP($A196,PLANI_LLOGARIVE!$A:$I,9,FALSE()),""))</f>
        <v/>
      </c>
      <c r="D196" s="101" t="str">
        <f aca="false">IF($A196="","",COUNTIF(DITARI!$D:$D,$A196))</f>
        <v/>
      </c>
      <c r="E196" s="101" t="str">
        <f aca="false">IF($A196="","",SUMIFS(DITARI!$F:$F,DITARI!$D:$D,$A196))</f>
        <v/>
      </c>
      <c r="F196" s="101" t="str">
        <f aca="false">IF($A196="","",SUMIFS(DITARI!$G:$G,DITARI!$D:$D,$A196))</f>
        <v/>
      </c>
      <c r="G196" s="101" t="str">
        <f aca="false">IF($A196="","",$E196-$F196)</f>
        <v/>
      </c>
    </row>
    <row r="197" customFormat="false" ht="15" hidden="false" customHeight="true" outlineLevel="0" collapsed="false">
      <c r="A197" s="101" t="str">
        <f aca="false">IFERROR(INDEX(DITARI!$D$6:$D$550,MATCH(0,COUNTIF($A$1:A196,DITARI!$D$6:$D$550)+(DITARI!$D$6:$D$550=""),0)),"")</f>
        <v/>
      </c>
      <c r="B197" s="101" t="str">
        <f aca="false">IF($A197="","",IFERROR(VLOOKUP($A197,PLANI_LLOGARIVE!$A:$I,2,FALSE()),"⚠ Nuk është te PLANI_LLOGARIVE"))</f>
        <v/>
      </c>
      <c r="C197" s="101" t="str">
        <f aca="false">IF($A197="","",IFERROR(VLOOKUP($A197,PLANI_LLOGARIVE!$A:$I,9,FALSE()),""))</f>
        <v/>
      </c>
      <c r="D197" s="101" t="str">
        <f aca="false">IF($A197="","",COUNTIF(DITARI!$D:$D,$A197))</f>
        <v/>
      </c>
      <c r="E197" s="101" t="str">
        <f aca="false">IF($A197="","",SUMIFS(DITARI!$F:$F,DITARI!$D:$D,$A197))</f>
        <v/>
      </c>
      <c r="F197" s="101" t="str">
        <f aca="false">IF($A197="","",SUMIFS(DITARI!$G:$G,DITARI!$D:$D,$A197))</f>
        <v/>
      </c>
      <c r="G197" s="101" t="str">
        <f aca="false">IF($A197="","",$E197-$F197)</f>
        <v/>
      </c>
    </row>
    <row r="198" customFormat="false" ht="15" hidden="false" customHeight="true" outlineLevel="0" collapsed="false">
      <c r="A198" s="101" t="str">
        <f aca="false">IFERROR(INDEX(DITARI!$D$6:$D$550,MATCH(0,COUNTIF($A$1:A197,DITARI!$D$6:$D$550)+(DITARI!$D$6:$D$550=""),0)),"")</f>
        <v/>
      </c>
      <c r="B198" s="101" t="str">
        <f aca="false">IF($A198="","",IFERROR(VLOOKUP($A198,PLANI_LLOGARIVE!$A:$I,2,FALSE()),"⚠ Nuk është te PLANI_LLOGARIVE"))</f>
        <v/>
      </c>
      <c r="C198" s="101" t="str">
        <f aca="false">IF($A198="","",IFERROR(VLOOKUP($A198,PLANI_LLOGARIVE!$A:$I,9,FALSE()),""))</f>
        <v/>
      </c>
      <c r="D198" s="101" t="str">
        <f aca="false">IF($A198="","",COUNTIF(DITARI!$D:$D,$A198))</f>
        <v/>
      </c>
      <c r="E198" s="101" t="str">
        <f aca="false">IF($A198="","",SUMIFS(DITARI!$F:$F,DITARI!$D:$D,$A198))</f>
        <v/>
      </c>
      <c r="F198" s="101" t="str">
        <f aca="false">IF($A198="","",SUMIFS(DITARI!$G:$G,DITARI!$D:$D,$A198))</f>
        <v/>
      </c>
      <c r="G198" s="101" t="str">
        <f aca="false">IF($A198="","",$E198-$F198)</f>
        <v/>
      </c>
    </row>
    <row r="199" customFormat="false" ht="15" hidden="false" customHeight="true" outlineLevel="0" collapsed="false">
      <c r="A199" s="101" t="str">
        <f aca="false">IFERROR(INDEX(DITARI!$D$6:$D$550,MATCH(0,COUNTIF($A$1:A198,DITARI!$D$6:$D$550)+(DITARI!$D$6:$D$550=""),0)),"")</f>
        <v/>
      </c>
      <c r="B199" s="101" t="str">
        <f aca="false">IF($A199="","",IFERROR(VLOOKUP($A199,PLANI_LLOGARIVE!$A:$I,2,FALSE()),"⚠ Nuk është te PLANI_LLOGARIVE"))</f>
        <v/>
      </c>
      <c r="C199" s="101" t="str">
        <f aca="false">IF($A199="","",IFERROR(VLOOKUP($A199,PLANI_LLOGARIVE!$A:$I,9,FALSE()),""))</f>
        <v/>
      </c>
      <c r="D199" s="101" t="str">
        <f aca="false">IF($A199="","",COUNTIF(DITARI!$D:$D,$A199))</f>
        <v/>
      </c>
      <c r="E199" s="101" t="str">
        <f aca="false">IF($A199="","",SUMIFS(DITARI!$F:$F,DITARI!$D:$D,$A199))</f>
        <v/>
      </c>
      <c r="F199" s="101" t="str">
        <f aca="false">IF($A199="","",SUMIFS(DITARI!$G:$G,DITARI!$D:$D,$A199))</f>
        <v/>
      </c>
      <c r="G199" s="101" t="str">
        <f aca="false">IF($A199="","",$E199-$F199)</f>
        <v/>
      </c>
    </row>
    <row r="200" customFormat="false" ht="15" hidden="false" customHeight="true" outlineLevel="0" collapsed="false">
      <c r="A200" s="101" t="str">
        <f aca="false">IFERROR(INDEX(DITARI!$D$6:$D$550,MATCH(0,COUNTIF($A$1:A199,DITARI!$D$6:$D$550)+(DITARI!$D$6:$D$550=""),0)),"")</f>
        <v/>
      </c>
      <c r="B200" s="101" t="str">
        <f aca="false">IF($A200="","",IFERROR(VLOOKUP($A200,PLANI_LLOGARIVE!$A:$I,2,FALSE()),"⚠ Nuk është te PLANI_LLOGARIVE"))</f>
        <v/>
      </c>
      <c r="C200" s="101" t="str">
        <f aca="false">IF($A200="","",IFERROR(VLOOKUP($A200,PLANI_LLOGARIVE!$A:$I,9,FALSE()),""))</f>
        <v/>
      </c>
      <c r="D200" s="101" t="str">
        <f aca="false">IF($A200="","",COUNTIF(DITARI!$D:$D,$A200))</f>
        <v/>
      </c>
      <c r="E200" s="101" t="str">
        <f aca="false">IF($A200="","",SUMIFS(DITARI!$F:$F,DITARI!$D:$D,$A200))</f>
        <v/>
      </c>
      <c r="F200" s="101" t="str">
        <f aca="false">IF($A200="","",SUMIFS(DITARI!$G:$G,DITARI!$D:$D,$A200))</f>
        <v/>
      </c>
      <c r="G200" s="101" t="str">
        <f aca="false">IF($A200="","",$E200-$F200)</f>
        <v/>
      </c>
    </row>
    <row r="201" customFormat="false" ht="15" hidden="false" customHeight="true" outlineLevel="0" collapsed="false">
      <c r="A201" s="101" t="str">
        <f aca="false">IFERROR(INDEX(DITARI!$D$6:$D$550,MATCH(0,COUNTIF($A$1:A200,DITARI!$D$6:$D$550)+(DITARI!$D$6:$D$550=""),0)),"")</f>
        <v/>
      </c>
      <c r="B201" s="101" t="str">
        <f aca="false">IF($A201="","",IFERROR(VLOOKUP($A201,PLANI_LLOGARIVE!$A:$I,2,FALSE()),"⚠ Nuk është te PLANI_LLOGARIVE"))</f>
        <v/>
      </c>
      <c r="C201" s="101" t="str">
        <f aca="false">IF($A201="","",IFERROR(VLOOKUP($A201,PLANI_LLOGARIVE!$A:$I,9,FALSE()),""))</f>
        <v/>
      </c>
      <c r="D201" s="101" t="str">
        <f aca="false">IF($A201="","",COUNTIF(DITARI!$D:$D,$A201))</f>
        <v/>
      </c>
      <c r="E201" s="101" t="str">
        <f aca="false">IF($A201="","",SUMIFS(DITARI!$F:$F,DITARI!$D:$D,$A201))</f>
        <v/>
      </c>
      <c r="F201" s="101" t="str">
        <f aca="false">IF($A201="","",SUMIFS(DITARI!$G:$G,DITARI!$D:$D,$A201))</f>
        <v/>
      </c>
      <c r="G201" s="101" t="str">
        <f aca="false">IF($A201="","",$E201-$F201)</f>
        <v/>
      </c>
    </row>
    <row r="202" customFormat="false" ht="15" hidden="false" customHeight="true" outlineLevel="0" collapsed="false">
      <c r="A202" s="101" t="str">
        <f aca="false">IFERROR(INDEX(DITARI!$D$6:$D$550,MATCH(0,COUNTIF($A$1:A201,DITARI!$D$6:$D$550)+(DITARI!$D$6:$D$550=""),0)),"")</f>
        <v/>
      </c>
      <c r="B202" s="101" t="str">
        <f aca="false">IF($A202="","",IFERROR(VLOOKUP($A202,PLANI_LLOGARIVE!$A:$I,2,FALSE()),"⚠ Nuk është te PLANI_LLOGARIVE"))</f>
        <v/>
      </c>
      <c r="C202" s="101" t="str">
        <f aca="false">IF($A202="","",IFERROR(VLOOKUP($A202,PLANI_LLOGARIVE!$A:$I,9,FALSE()),""))</f>
        <v/>
      </c>
      <c r="D202" s="101" t="str">
        <f aca="false">IF($A202="","",COUNTIF(DITARI!$D:$D,$A202))</f>
        <v/>
      </c>
      <c r="E202" s="101" t="str">
        <f aca="false">IF($A202="","",SUMIFS(DITARI!$F:$F,DITARI!$D:$D,$A202))</f>
        <v/>
      </c>
      <c r="F202" s="101" t="str">
        <f aca="false">IF($A202="","",SUMIFS(DITARI!$G:$G,DITARI!$D:$D,$A202))</f>
        <v/>
      </c>
      <c r="G202" s="101" t="str">
        <f aca="false">IF($A202="","",$E202-$F202)</f>
        <v/>
      </c>
    </row>
    <row r="203" customFormat="false" ht="15" hidden="false" customHeight="true" outlineLevel="0" collapsed="false">
      <c r="A203" s="101" t="str">
        <f aca="false">IFERROR(INDEX(DITARI!$D$6:$D$550,MATCH(0,COUNTIF($A$1:A202,DITARI!$D$6:$D$550)+(DITARI!$D$6:$D$550=""),0)),"")</f>
        <v/>
      </c>
      <c r="B203" s="101" t="str">
        <f aca="false">IF($A203="","",IFERROR(VLOOKUP($A203,PLANI_LLOGARIVE!$A:$I,2,FALSE()),"⚠ Nuk është te PLANI_LLOGARIVE"))</f>
        <v/>
      </c>
      <c r="C203" s="101" t="str">
        <f aca="false">IF($A203="","",IFERROR(VLOOKUP($A203,PLANI_LLOGARIVE!$A:$I,9,FALSE()),""))</f>
        <v/>
      </c>
      <c r="D203" s="101" t="str">
        <f aca="false">IF($A203="","",COUNTIF(DITARI!$D:$D,$A203))</f>
        <v/>
      </c>
      <c r="E203" s="101" t="str">
        <f aca="false">IF($A203="","",SUMIFS(DITARI!$F:$F,DITARI!$D:$D,$A203))</f>
        <v/>
      </c>
      <c r="F203" s="101" t="str">
        <f aca="false">IF($A203="","",SUMIFS(DITARI!$G:$G,DITARI!$D:$D,$A203))</f>
        <v/>
      </c>
      <c r="G203" s="101" t="str">
        <f aca="false">IF($A203="","",$E203-$F203)</f>
        <v/>
      </c>
    </row>
    <row r="204" customFormat="false" ht="15" hidden="false" customHeight="true" outlineLevel="0" collapsed="false">
      <c r="A204" s="101" t="str">
        <f aca="false">IFERROR(INDEX(DITARI!$D$6:$D$550,MATCH(0,COUNTIF($A$1:A203,DITARI!$D$6:$D$550)+(DITARI!$D$6:$D$550=""),0)),"")</f>
        <v/>
      </c>
      <c r="B204" s="101" t="str">
        <f aca="false">IF($A204="","",IFERROR(VLOOKUP($A204,PLANI_LLOGARIVE!$A:$I,2,FALSE()),"⚠ Nuk është te PLANI_LLOGARIVE"))</f>
        <v/>
      </c>
      <c r="C204" s="101" t="str">
        <f aca="false">IF($A204="","",IFERROR(VLOOKUP($A204,PLANI_LLOGARIVE!$A:$I,9,FALSE()),""))</f>
        <v/>
      </c>
      <c r="D204" s="101" t="str">
        <f aca="false">IF($A204="","",COUNTIF(DITARI!$D:$D,$A204))</f>
        <v/>
      </c>
      <c r="E204" s="101" t="str">
        <f aca="false">IF($A204="","",SUMIFS(DITARI!$F:$F,DITARI!$D:$D,$A204))</f>
        <v/>
      </c>
      <c r="F204" s="101" t="str">
        <f aca="false">IF($A204="","",SUMIFS(DITARI!$G:$G,DITARI!$D:$D,$A204))</f>
        <v/>
      </c>
      <c r="G204" s="101" t="str">
        <f aca="false">IF($A204="","",$E204-$F204)</f>
        <v/>
      </c>
    </row>
    <row r="205" customFormat="false" ht="15" hidden="false" customHeight="true" outlineLevel="0" collapsed="false">
      <c r="A205" s="101" t="str">
        <f aca="false">IFERROR(INDEX(DITARI!$D$6:$D$550,MATCH(0,COUNTIF($A$1:A204,DITARI!$D$6:$D$550)+(DITARI!$D$6:$D$550=""),0)),"")</f>
        <v/>
      </c>
      <c r="B205" s="101" t="str">
        <f aca="false">IF($A205="","",IFERROR(VLOOKUP($A205,PLANI_LLOGARIVE!$A:$I,2,FALSE()),"⚠ Nuk është te PLANI_LLOGARIVE"))</f>
        <v/>
      </c>
      <c r="C205" s="101" t="str">
        <f aca="false">IF($A205="","",IFERROR(VLOOKUP($A205,PLANI_LLOGARIVE!$A:$I,9,FALSE()),""))</f>
        <v/>
      </c>
      <c r="D205" s="101" t="str">
        <f aca="false">IF($A205="","",COUNTIF(DITARI!$D:$D,$A205))</f>
        <v/>
      </c>
      <c r="E205" s="101" t="str">
        <f aca="false">IF($A205="","",SUMIFS(DITARI!$F:$F,DITARI!$D:$D,$A205))</f>
        <v/>
      </c>
      <c r="F205" s="101" t="str">
        <f aca="false">IF($A205="","",SUMIFS(DITARI!$G:$G,DITARI!$D:$D,$A205))</f>
        <v/>
      </c>
      <c r="G205" s="101" t="str">
        <f aca="false">IF($A205="","",$E205-$F205)</f>
        <v/>
      </c>
    </row>
    <row r="206" customFormat="false" ht="15" hidden="false" customHeight="true" outlineLevel="0" collapsed="false">
      <c r="A206" s="101" t="str">
        <f aca="false">IFERROR(INDEX(DITARI!$D$6:$D$550,MATCH(0,COUNTIF($A$1:A205,DITARI!$D$6:$D$550)+(DITARI!$D$6:$D$550=""),0)),"")</f>
        <v/>
      </c>
      <c r="B206" s="101" t="str">
        <f aca="false">IF($A206="","",IFERROR(VLOOKUP($A206,PLANI_LLOGARIVE!$A:$I,2,FALSE()),"⚠ Nuk është te PLANI_LLOGARIVE"))</f>
        <v/>
      </c>
      <c r="C206" s="101" t="str">
        <f aca="false">IF($A206="","",IFERROR(VLOOKUP($A206,PLANI_LLOGARIVE!$A:$I,9,FALSE()),""))</f>
        <v/>
      </c>
      <c r="D206" s="101" t="str">
        <f aca="false">IF($A206="","",COUNTIF(DITARI!$D:$D,$A206))</f>
        <v/>
      </c>
      <c r="E206" s="101" t="str">
        <f aca="false">IF($A206="","",SUMIFS(DITARI!$F:$F,DITARI!$D:$D,$A206))</f>
        <v/>
      </c>
      <c r="F206" s="101" t="str">
        <f aca="false">IF($A206="","",SUMIFS(DITARI!$G:$G,DITARI!$D:$D,$A206))</f>
        <v/>
      </c>
      <c r="G206" s="101" t="str">
        <f aca="false">IF($A206="","",$E206-$F206)</f>
        <v/>
      </c>
    </row>
    <row r="207" customFormat="false" ht="15" hidden="false" customHeight="true" outlineLevel="0" collapsed="false">
      <c r="A207" s="101" t="str">
        <f aca="false">IFERROR(INDEX(DITARI!$D$6:$D$550,MATCH(0,COUNTIF($A$1:A206,DITARI!$D$6:$D$550)+(DITARI!$D$6:$D$550=""),0)),"")</f>
        <v/>
      </c>
      <c r="B207" s="101" t="str">
        <f aca="false">IF($A207="","",IFERROR(VLOOKUP($A207,PLANI_LLOGARIVE!$A:$I,2,FALSE()),"⚠ Nuk është te PLANI_LLOGARIVE"))</f>
        <v/>
      </c>
      <c r="C207" s="101" t="str">
        <f aca="false">IF($A207="","",IFERROR(VLOOKUP($A207,PLANI_LLOGARIVE!$A:$I,9,FALSE()),""))</f>
        <v/>
      </c>
      <c r="D207" s="101" t="str">
        <f aca="false">IF($A207="","",COUNTIF(DITARI!$D:$D,$A207))</f>
        <v/>
      </c>
      <c r="E207" s="101" t="str">
        <f aca="false">IF($A207="","",SUMIFS(DITARI!$F:$F,DITARI!$D:$D,$A207))</f>
        <v/>
      </c>
      <c r="F207" s="101" t="str">
        <f aca="false">IF($A207="","",SUMIFS(DITARI!$G:$G,DITARI!$D:$D,$A207))</f>
        <v/>
      </c>
      <c r="G207" s="101" t="str">
        <f aca="false">IF($A207="","",$E207-$F207)</f>
        <v/>
      </c>
    </row>
    <row r="208" customFormat="false" ht="15" hidden="false" customHeight="true" outlineLevel="0" collapsed="false">
      <c r="A208" s="101" t="str">
        <f aca="false">IFERROR(INDEX(DITARI!$D$6:$D$550,MATCH(0,COUNTIF($A$1:A207,DITARI!$D$6:$D$550)+(DITARI!$D$6:$D$550=""),0)),"")</f>
        <v/>
      </c>
      <c r="B208" s="101" t="str">
        <f aca="false">IF($A208="","",IFERROR(VLOOKUP($A208,PLANI_LLOGARIVE!$A:$I,2,FALSE()),"⚠ Nuk është te PLANI_LLOGARIVE"))</f>
        <v/>
      </c>
      <c r="C208" s="101" t="str">
        <f aca="false">IF($A208="","",IFERROR(VLOOKUP($A208,PLANI_LLOGARIVE!$A:$I,9,FALSE()),""))</f>
        <v/>
      </c>
      <c r="D208" s="101" t="str">
        <f aca="false">IF($A208="","",COUNTIF(DITARI!$D:$D,$A208))</f>
        <v/>
      </c>
      <c r="E208" s="101" t="str">
        <f aca="false">IF($A208="","",SUMIFS(DITARI!$F:$F,DITARI!$D:$D,$A208))</f>
        <v/>
      </c>
      <c r="F208" s="101" t="str">
        <f aca="false">IF($A208="","",SUMIFS(DITARI!$G:$G,DITARI!$D:$D,$A208))</f>
        <v/>
      </c>
      <c r="G208" s="101" t="str">
        <f aca="false">IF($A208="","",$E208-$F208)</f>
        <v/>
      </c>
    </row>
    <row r="209" customFormat="false" ht="15" hidden="false" customHeight="true" outlineLevel="0" collapsed="false">
      <c r="A209" s="101" t="str">
        <f aca="false">IFERROR(INDEX(DITARI!$D$6:$D$550,MATCH(0,COUNTIF($A$1:A208,DITARI!$D$6:$D$550)+(DITARI!$D$6:$D$550=""),0)),"")</f>
        <v/>
      </c>
      <c r="B209" s="101" t="str">
        <f aca="false">IF($A209="","",IFERROR(VLOOKUP($A209,PLANI_LLOGARIVE!$A:$I,2,FALSE()),"⚠ Nuk është te PLANI_LLOGARIVE"))</f>
        <v/>
      </c>
      <c r="C209" s="101" t="str">
        <f aca="false">IF($A209="","",IFERROR(VLOOKUP($A209,PLANI_LLOGARIVE!$A:$I,9,FALSE()),""))</f>
        <v/>
      </c>
      <c r="D209" s="101" t="str">
        <f aca="false">IF($A209="","",COUNTIF(DITARI!$D:$D,$A209))</f>
        <v/>
      </c>
      <c r="E209" s="101" t="str">
        <f aca="false">IF($A209="","",SUMIFS(DITARI!$F:$F,DITARI!$D:$D,$A209))</f>
        <v/>
      </c>
      <c r="F209" s="101" t="str">
        <f aca="false">IF($A209="","",SUMIFS(DITARI!$G:$G,DITARI!$D:$D,$A209))</f>
        <v/>
      </c>
      <c r="G209" s="101" t="str">
        <f aca="false">IF($A209="","",$E209-$F209)</f>
        <v/>
      </c>
    </row>
    <row r="210" customFormat="false" ht="15" hidden="false" customHeight="true" outlineLevel="0" collapsed="false">
      <c r="A210" s="101" t="str">
        <f aca="false">IFERROR(INDEX(DITARI!$D$6:$D$550,MATCH(0,COUNTIF($A$1:A209,DITARI!$D$6:$D$550)+(DITARI!$D$6:$D$550=""),0)),"")</f>
        <v/>
      </c>
      <c r="B210" s="101" t="str">
        <f aca="false">IF($A210="","",IFERROR(VLOOKUP($A210,PLANI_LLOGARIVE!$A:$I,2,FALSE()),"⚠ Nuk është te PLANI_LLOGARIVE"))</f>
        <v/>
      </c>
      <c r="C210" s="101" t="str">
        <f aca="false">IF($A210="","",IFERROR(VLOOKUP($A210,PLANI_LLOGARIVE!$A:$I,9,FALSE()),""))</f>
        <v/>
      </c>
      <c r="D210" s="101" t="str">
        <f aca="false">IF($A210="","",COUNTIF(DITARI!$D:$D,$A210))</f>
        <v/>
      </c>
      <c r="E210" s="101" t="str">
        <f aca="false">IF($A210="","",SUMIFS(DITARI!$F:$F,DITARI!$D:$D,$A210))</f>
        <v/>
      </c>
      <c r="F210" s="101" t="str">
        <f aca="false">IF($A210="","",SUMIFS(DITARI!$G:$G,DITARI!$D:$D,$A210))</f>
        <v/>
      </c>
      <c r="G210" s="101" t="str">
        <f aca="false">IF($A210="","",$E210-$F210)</f>
        <v/>
      </c>
    </row>
    <row r="211" customFormat="false" ht="15" hidden="false" customHeight="true" outlineLevel="0" collapsed="false">
      <c r="A211" s="101" t="str">
        <f aca="false">IFERROR(INDEX(DITARI!$D$6:$D$550,MATCH(0,COUNTIF($A$1:A210,DITARI!$D$6:$D$550)+(DITARI!$D$6:$D$550=""),0)),"")</f>
        <v/>
      </c>
      <c r="B211" s="101" t="str">
        <f aca="false">IF($A211="","",IFERROR(VLOOKUP($A211,PLANI_LLOGARIVE!$A:$I,2,FALSE()),"⚠ Nuk është te PLANI_LLOGARIVE"))</f>
        <v/>
      </c>
      <c r="C211" s="101" t="str">
        <f aca="false">IF($A211="","",IFERROR(VLOOKUP($A211,PLANI_LLOGARIVE!$A:$I,9,FALSE()),""))</f>
        <v/>
      </c>
      <c r="D211" s="101" t="str">
        <f aca="false">IF($A211="","",COUNTIF(DITARI!$D:$D,$A211))</f>
        <v/>
      </c>
      <c r="E211" s="101" t="str">
        <f aca="false">IF($A211="","",SUMIFS(DITARI!$F:$F,DITARI!$D:$D,$A211))</f>
        <v/>
      </c>
      <c r="F211" s="101" t="str">
        <f aca="false">IF($A211="","",SUMIFS(DITARI!$G:$G,DITARI!$D:$D,$A211))</f>
        <v/>
      </c>
      <c r="G211" s="101" t="str">
        <f aca="false">IF($A211="","",$E211-$F211)</f>
        <v/>
      </c>
    </row>
    <row r="212" customFormat="false" ht="15" hidden="false" customHeight="true" outlineLevel="0" collapsed="false">
      <c r="A212" s="101" t="str">
        <f aca="false">IFERROR(INDEX(DITARI!$D$6:$D$550,MATCH(0,COUNTIF($A$1:A211,DITARI!$D$6:$D$550)+(DITARI!$D$6:$D$550=""),0)),"")</f>
        <v/>
      </c>
      <c r="B212" s="101" t="str">
        <f aca="false">IF($A212="","",IFERROR(VLOOKUP($A212,PLANI_LLOGARIVE!$A:$I,2,FALSE()),"⚠ Nuk është te PLANI_LLOGARIVE"))</f>
        <v/>
      </c>
      <c r="C212" s="101" t="str">
        <f aca="false">IF($A212="","",IFERROR(VLOOKUP($A212,PLANI_LLOGARIVE!$A:$I,9,FALSE()),""))</f>
        <v/>
      </c>
      <c r="D212" s="101" t="str">
        <f aca="false">IF($A212="","",COUNTIF(DITARI!$D:$D,$A212))</f>
        <v/>
      </c>
      <c r="E212" s="101" t="str">
        <f aca="false">IF($A212="","",SUMIFS(DITARI!$F:$F,DITARI!$D:$D,$A212))</f>
        <v/>
      </c>
      <c r="F212" s="101" t="str">
        <f aca="false">IF($A212="","",SUMIFS(DITARI!$G:$G,DITARI!$D:$D,$A212))</f>
        <v/>
      </c>
      <c r="G212" s="101" t="str">
        <f aca="false">IF($A212="","",$E212-$F212)</f>
        <v/>
      </c>
    </row>
    <row r="213" customFormat="false" ht="15" hidden="false" customHeight="true" outlineLevel="0" collapsed="false">
      <c r="A213" s="101" t="str">
        <f aca="false">IFERROR(INDEX(DITARI!$D$6:$D$550,MATCH(0,COUNTIF($A$1:A212,DITARI!$D$6:$D$550)+(DITARI!$D$6:$D$550=""),0)),"")</f>
        <v/>
      </c>
      <c r="B213" s="101" t="str">
        <f aca="false">IF($A213="","",IFERROR(VLOOKUP($A213,PLANI_LLOGARIVE!$A:$I,2,FALSE()),"⚠ Nuk është te PLANI_LLOGARIVE"))</f>
        <v/>
      </c>
      <c r="C213" s="101" t="str">
        <f aca="false">IF($A213="","",IFERROR(VLOOKUP($A213,PLANI_LLOGARIVE!$A:$I,9,FALSE()),""))</f>
        <v/>
      </c>
      <c r="D213" s="101" t="str">
        <f aca="false">IF($A213="","",COUNTIF(DITARI!$D:$D,$A213))</f>
        <v/>
      </c>
      <c r="E213" s="101" t="str">
        <f aca="false">IF($A213="","",SUMIFS(DITARI!$F:$F,DITARI!$D:$D,$A213))</f>
        <v/>
      </c>
      <c r="F213" s="101" t="str">
        <f aca="false">IF($A213="","",SUMIFS(DITARI!$G:$G,DITARI!$D:$D,$A213))</f>
        <v/>
      </c>
      <c r="G213" s="101" t="str">
        <f aca="false">IF($A213="","",$E213-$F213)</f>
        <v/>
      </c>
    </row>
    <row r="214" customFormat="false" ht="15" hidden="false" customHeight="true" outlineLevel="0" collapsed="false">
      <c r="A214" s="101" t="str">
        <f aca="false">IFERROR(INDEX(DITARI!$D$6:$D$550,MATCH(0,COUNTIF($A$1:A213,DITARI!$D$6:$D$550)+(DITARI!$D$6:$D$550=""),0)),"")</f>
        <v/>
      </c>
      <c r="B214" s="101" t="str">
        <f aca="false">IF($A214="","",IFERROR(VLOOKUP($A214,PLANI_LLOGARIVE!$A:$I,2,FALSE()),"⚠ Nuk është te PLANI_LLOGARIVE"))</f>
        <v/>
      </c>
      <c r="C214" s="101" t="str">
        <f aca="false">IF($A214="","",IFERROR(VLOOKUP($A214,PLANI_LLOGARIVE!$A:$I,9,FALSE()),""))</f>
        <v/>
      </c>
      <c r="D214" s="101" t="str">
        <f aca="false">IF($A214="","",COUNTIF(DITARI!$D:$D,$A214))</f>
        <v/>
      </c>
      <c r="E214" s="101" t="str">
        <f aca="false">IF($A214="","",SUMIFS(DITARI!$F:$F,DITARI!$D:$D,$A214))</f>
        <v/>
      </c>
      <c r="F214" s="101" t="str">
        <f aca="false">IF($A214="","",SUMIFS(DITARI!$G:$G,DITARI!$D:$D,$A214))</f>
        <v/>
      </c>
      <c r="G214" s="101" t="str">
        <f aca="false">IF($A214="","",$E214-$F214)</f>
        <v/>
      </c>
    </row>
    <row r="215" customFormat="false" ht="15" hidden="false" customHeight="true" outlineLevel="0" collapsed="false">
      <c r="A215" s="101" t="str">
        <f aca="false">IFERROR(INDEX(DITARI!$D$6:$D$550,MATCH(0,COUNTIF($A$1:A214,DITARI!$D$6:$D$550)+(DITARI!$D$6:$D$550=""),0)),"")</f>
        <v/>
      </c>
      <c r="B215" s="101" t="str">
        <f aca="false">IF($A215="","",IFERROR(VLOOKUP($A215,PLANI_LLOGARIVE!$A:$I,2,FALSE()),"⚠ Nuk është te PLANI_LLOGARIVE"))</f>
        <v/>
      </c>
      <c r="C215" s="101" t="str">
        <f aca="false">IF($A215="","",IFERROR(VLOOKUP($A215,PLANI_LLOGARIVE!$A:$I,9,FALSE()),""))</f>
        <v/>
      </c>
      <c r="D215" s="101" t="str">
        <f aca="false">IF($A215="","",COUNTIF(DITARI!$D:$D,$A215))</f>
        <v/>
      </c>
      <c r="E215" s="101" t="str">
        <f aca="false">IF($A215="","",SUMIFS(DITARI!$F:$F,DITARI!$D:$D,$A215))</f>
        <v/>
      </c>
      <c r="F215" s="101" t="str">
        <f aca="false">IF($A215="","",SUMIFS(DITARI!$G:$G,DITARI!$D:$D,$A215))</f>
        <v/>
      </c>
      <c r="G215" s="101" t="str">
        <f aca="false">IF($A215="","",$E215-$F215)</f>
        <v/>
      </c>
    </row>
    <row r="216" customFormat="false" ht="15" hidden="false" customHeight="true" outlineLevel="0" collapsed="false">
      <c r="A216" s="101" t="str">
        <f aca="false">IFERROR(INDEX(DITARI!$D$6:$D$550,MATCH(0,COUNTIF($A$1:A215,DITARI!$D$6:$D$550)+(DITARI!$D$6:$D$550=""),0)),"")</f>
        <v/>
      </c>
      <c r="B216" s="101" t="str">
        <f aca="false">IF($A216="","",IFERROR(VLOOKUP($A216,PLANI_LLOGARIVE!$A:$I,2,FALSE()),"⚠ Nuk është te PLANI_LLOGARIVE"))</f>
        <v/>
      </c>
      <c r="C216" s="101" t="str">
        <f aca="false">IF($A216="","",IFERROR(VLOOKUP($A216,PLANI_LLOGARIVE!$A:$I,9,FALSE()),""))</f>
        <v/>
      </c>
      <c r="D216" s="101" t="str">
        <f aca="false">IF($A216="","",COUNTIF(DITARI!$D:$D,$A216))</f>
        <v/>
      </c>
      <c r="E216" s="101" t="str">
        <f aca="false">IF($A216="","",SUMIFS(DITARI!$F:$F,DITARI!$D:$D,$A216))</f>
        <v/>
      </c>
      <c r="F216" s="101" t="str">
        <f aca="false">IF($A216="","",SUMIFS(DITARI!$G:$G,DITARI!$D:$D,$A216))</f>
        <v/>
      </c>
      <c r="G216" s="101" t="str">
        <f aca="false">IF($A216="","",$E216-$F216)</f>
        <v/>
      </c>
    </row>
    <row r="217" customFormat="false" ht="15" hidden="false" customHeight="true" outlineLevel="0" collapsed="false">
      <c r="A217" s="101" t="str">
        <f aca="false">IFERROR(INDEX(DITARI!$D$6:$D$550,MATCH(0,COUNTIF($A$1:A216,DITARI!$D$6:$D$550)+(DITARI!$D$6:$D$550=""),0)),"")</f>
        <v/>
      </c>
      <c r="B217" s="101" t="str">
        <f aca="false">IF($A217="","",IFERROR(VLOOKUP($A217,PLANI_LLOGARIVE!$A:$I,2,FALSE()),"⚠ Nuk është te PLANI_LLOGARIVE"))</f>
        <v/>
      </c>
      <c r="C217" s="101" t="str">
        <f aca="false">IF($A217="","",IFERROR(VLOOKUP($A217,PLANI_LLOGARIVE!$A:$I,9,FALSE()),""))</f>
        <v/>
      </c>
      <c r="D217" s="101" t="str">
        <f aca="false">IF($A217="","",COUNTIF(DITARI!$D:$D,$A217))</f>
        <v/>
      </c>
      <c r="E217" s="101" t="str">
        <f aca="false">IF($A217="","",SUMIFS(DITARI!$F:$F,DITARI!$D:$D,$A217))</f>
        <v/>
      </c>
      <c r="F217" s="101" t="str">
        <f aca="false">IF($A217="","",SUMIFS(DITARI!$G:$G,DITARI!$D:$D,$A217))</f>
        <v/>
      </c>
      <c r="G217" s="101" t="str">
        <f aca="false">IF($A217="","",$E217-$F217)</f>
        <v/>
      </c>
    </row>
    <row r="218" customFormat="false" ht="15" hidden="false" customHeight="true" outlineLevel="0" collapsed="false">
      <c r="A218" s="101" t="str">
        <f aca="false">IFERROR(INDEX(DITARI!$D$6:$D$550,MATCH(0,COUNTIF($A$1:A217,DITARI!$D$6:$D$550)+(DITARI!$D$6:$D$550=""),0)),"")</f>
        <v/>
      </c>
      <c r="B218" s="101" t="str">
        <f aca="false">IF($A218="","",IFERROR(VLOOKUP($A218,PLANI_LLOGARIVE!$A:$I,2,FALSE()),"⚠ Nuk është te PLANI_LLOGARIVE"))</f>
        <v/>
      </c>
      <c r="C218" s="101" t="str">
        <f aca="false">IF($A218="","",IFERROR(VLOOKUP($A218,PLANI_LLOGARIVE!$A:$I,9,FALSE()),""))</f>
        <v/>
      </c>
      <c r="D218" s="101" t="str">
        <f aca="false">IF($A218="","",COUNTIF(DITARI!$D:$D,$A218))</f>
        <v/>
      </c>
      <c r="E218" s="101" t="str">
        <f aca="false">IF($A218="","",SUMIFS(DITARI!$F:$F,DITARI!$D:$D,$A218))</f>
        <v/>
      </c>
      <c r="F218" s="101" t="str">
        <f aca="false">IF($A218="","",SUMIFS(DITARI!$G:$G,DITARI!$D:$D,$A218))</f>
        <v/>
      </c>
      <c r="G218" s="101" t="str">
        <f aca="false">IF($A218="","",$E218-$F218)</f>
        <v/>
      </c>
    </row>
    <row r="219" customFormat="false" ht="15" hidden="false" customHeight="true" outlineLevel="0" collapsed="false">
      <c r="A219" s="101" t="str">
        <f aca="false">IFERROR(INDEX(DITARI!$D$6:$D$550,MATCH(0,COUNTIF($A$1:A218,DITARI!$D$6:$D$550)+(DITARI!$D$6:$D$550=""),0)),"")</f>
        <v/>
      </c>
      <c r="B219" s="101" t="str">
        <f aca="false">IF($A219="","",IFERROR(VLOOKUP($A219,PLANI_LLOGARIVE!$A:$I,2,FALSE()),"⚠ Nuk është te PLANI_LLOGARIVE"))</f>
        <v/>
      </c>
      <c r="C219" s="101" t="str">
        <f aca="false">IF($A219="","",IFERROR(VLOOKUP($A219,PLANI_LLOGARIVE!$A:$I,9,FALSE()),""))</f>
        <v/>
      </c>
      <c r="D219" s="101" t="str">
        <f aca="false">IF($A219="","",COUNTIF(DITARI!$D:$D,$A219))</f>
        <v/>
      </c>
      <c r="E219" s="101" t="str">
        <f aca="false">IF($A219="","",SUMIFS(DITARI!$F:$F,DITARI!$D:$D,$A219))</f>
        <v/>
      </c>
      <c r="F219" s="101" t="str">
        <f aca="false">IF($A219="","",SUMIFS(DITARI!$G:$G,DITARI!$D:$D,$A219))</f>
        <v/>
      </c>
      <c r="G219" s="101" t="str">
        <f aca="false">IF($A219="","",$E219-$F219)</f>
        <v/>
      </c>
    </row>
    <row r="220" customFormat="false" ht="15" hidden="false" customHeight="true" outlineLevel="0" collapsed="false">
      <c r="A220" s="101" t="str">
        <f aca="false">IFERROR(INDEX(DITARI!$D$6:$D$550,MATCH(0,COUNTIF($A$1:A219,DITARI!$D$6:$D$550)+(DITARI!$D$6:$D$550=""),0)),"")</f>
        <v/>
      </c>
      <c r="B220" s="101" t="str">
        <f aca="false">IF($A220="","",IFERROR(VLOOKUP($A220,PLANI_LLOGARIVE!$A:$I,2,FALSE()),"⚠ Nuk është te PLANI_LLOGARIVE"))</f>
        <v/>
      </c>
      <c r="C220" s="101" t="str">
        <f aca="false">IF($A220="","",IFERROR(VLOOKUP($A220,PLANI_LLOGARIVE!$A:$I,9,FALSE()),""))</f>
        <v/>
      </c>
      <c r="D220" s="101" t="str">
        <f aca="false">IF($A220="","",COUNTIF(DITARI!$D:$D,$A220))</f>
        <v/>
      </c>
      <c r="E220" s="101" t="str">
        <f aca="false">IF($A220="","",SUMIFS(DITARI!$F:$F,DITARI!$D:$D,$A220))</f>
        <v/>
      </c>
      <c r="F220" s="101" t="str">
        <f aca="false">IF($A220="","",SUMIFS(DITARI!$G:$G,DITARI!$D:$D,$A220))</f>
        <v/>
      </c>
      <c r="G220" s="101" t="str">
        <f aca="false">IF($A220="","",$E220-$F220)</f>
        <v/>
      </c>
    </row>
    <row r="221" customFormat="false" ht="15" hidden="false" customHeight="true" outlineLevel="0" collapsed="false">
      <c r="A221" s="101" t="str">
        <f aca="false">IFERROR(INDEX(DITARI!$D$6:$D$550,MATCH(0,COUNTIF($A$1:A220,DITARI!$D$6:$D$550)+(DITARI!$D$6:$D$550=""),0)),"")</f>
        <v/>
      </c>
      <c r="B221" s="101" t="str">
        <f aca="false">IF($A221="","",IFERROR(VLOOKUP($A221,PLANI_LLOGARIVE!$A:$I,2,FALSE()),"⚠ Nuk është te PLANI_LLOGARIVE"))</f>
        <v/>
      </c>
      <c r="C221" s="101" t="str">
        <f aca="false">IF($A221="","",IFERROR(VLOOKUP($A221,PLANI_LLOGARIVE!$A:$I,9,FALSE()),""))</f>
        <v/>
      </c>
      <c r="D221" s="101" t="str">
        <f aca="false">IF($A221="","",COUNTIF(DITARI!$D:$D,$A221))</f>
        <v/>
      </c>
      <c r="E221" s="101" t="str">
        <f aca="false">IF($A221="","",SUMIFS(DITARI!$F:$F,DITARI!$D:$D,$A221))</f>
        <v/>
      </c>
      <c r="F221" s="101" t="str">
        <f aca="false">IF($A221="","",SUMIFS(DITARI!$G:$G,DITARI!$D:$D,$A221))</f>
        <v/>
      </c>
      <c r="G221" s="101" t="str">
        <f aca="false">IF($A221="","",$E221-$F221)</f>
        <v/>
      </c>
    </row>
    <row r="222" customFormat="false" ht="15" hidden="false" customHeight="true" outlineLevel="0" collapsed="false">
      <c r="A222" s="101" t="str">
        <f aca="false">IFERROR(INDEX(DITARI!$D$6:$D$550,MATCH(0,COUNTIF($A$1:A221,DITARI!$D$6:$D$550)+(DITARI!$D$6:$D$550=""),0)),"")</f>
        <v/>
      </c>
      <c r="B222" s="101" t="str">
        <f aca="false">IF($A222="","",IFERROR(VLOOKUP($A222,PLANI_LLOGARIVE!$A:$I,2,FALSE()),"⚠ Nuk është te PLANI_LLOGARIVE"))</f>
        <v/>
      </c>
      <c r="C222" s="101" t="str">
        <f aca="false">IF($A222="","",IFERROR(VLOOKUP($A222,PLANI_LLOGARIVE!$A:$I,9,FALSE()),""))</f>
        <v/>
      </c>
      <c r="D222" s="101" t="str">
        <f aca="false">IF($A222="","",COUNTIF(DITARI!$D:$D,$A222))</f>
        <v/>
      </c>
      <c r="E222" s="101" t="str">
        <f aca="false">IF($A222="","",SUMIFS(DITARI!$F:$F,DITARI!$D:$D,$A222))</f>
        <v/>
      </c>
      <c r="F222" s="101" t="str">
        <f aca="false">IF($A222="","",SUMIFS(DITARI!$G:$G,DITARI!$D:$D,$A222))</f>
        <v/>
      </c>
      <c r="G222" s="101" t="str">
        <f aca="false">IF($A222="","",$E222-$F222)</f>
        <v/>
      </c>
    </row>
    <row r="223" customFormat="false" ht="15" hidden="false" customHeight="true" outlineLevel="0" collapsed="false">
      <c r="A223" s="101" t="str">
        <f aca="false">IFERROR(INDEX(DITARI!$D$6:$D$550,MATCH(0,COUNTIF($A$1:A222,DITARI!$D$6:$D$550)+(DITARI!$D$6:$D$550=""),0)),"")</f>
        <v/>
      </c>
      <c r="B223" s="101" t="str">
        <f aca="false">IF($A223="","",IFERROR(VLOOKUP($A223,PLANI_LLOGARIVE!$A:$I,2,FALSE()),"⚠ Nuk është te PLANI_LLOGARIVE"))</f>
        <v/>
      </c>
      <c r="C223" s="101" t="str">
        <f aca="false">IF($A223="","",IFERROR(VLOOKUP($A223,PLANI_LLOGARIVE!$A:$I,9,FALSE()),""))</f>
        <v/>
      </c>
      <c r="D223" s="101" t="str">
        <f aca="false">IF($A223="","",COUNTIF(DITARI!$D:$D,$A223))</f>
        <v/>
      </c>
      <c r="E223" s="101" t="str">
        <f aca="false">IF($A223="","",SUMIFS(DITARI!$F:$F,DITARI!$D:$D,$A223))</f>
        <v/>
      </c>
      <c r="F223" s="101" t="str">
        <f aca="false">IF($A223="","",SUMIFS(DITARI!$G:$G,DITARI!$D:$D,$A223))</f>
        <v/>
      </c>
      <c r="G223" s="101" t="str">
        <f aca="false">IF($A223="","",$E223-$F223)</f>
        <v/>
      </c>
    </row>
    <row r="224" customFormat="false" ht="15" hidden="false" customHeight="true" outlineLevel="0" collapsed="false">
      <c r="A224" s="101" t="str">
        <f aca="false">IFERROR(INDEX(DITARI!$D$6:$D$550,MATCH(0,COUNTIF($A$1:A223,DITARI!$D$6:$D$550)+(DITARI!$D$6:$D$550=""),0)),"")</f>
        <v/>
      </c>
      <c r="B224" s="101" t="str">
        <f aca="false">IF($A224="","",IFERROR(VLOOKUP($A224,PLANI_LLOGARIVE!$A:$I,2,FALSE()),"⚠ Nuk është te PLANI_LLOGARIVE"))</f>
        <v/>
      </c>
      <c r="C224" s="101" t="str">
        <f aca="false">IF($A224="","",IFERROR(VLOOKUP($A224,PLANI_LLOGARIVE!$A:$I,9,FALSE()),""))</f>
        <v/>
      </c>
      <c r="D224" s="101" t="str">
        <f aca="false">IF($A224="","",COUNTIF(DITARI!$D:$D,$A224))</f>
        <v/>
      </c>
      <c r="E224" s="101" t="str">
        <f aca="false">IF($A224="","",SUMIFS(DITARI!$F:$F,DITARI!$D:$D,$A224))</f>
        <v/>
      </c>
      <c r="F224" s="101" t="str">
        <f aca="false">IF($A224="","",SUMIFS(DITARI!$G:$G,DITARI!$D:$D,$A224))</f>
        <v/>
      </c>
      <c r="G224" s="101" t="str">
        <f aca="false">IF($A224="","",$E224-$F224)</f>
        <v/>
      </c>
    </row>
    <row r="225" customFormat="false" ht="15" hidden="false" customHeight="true" outlineLevel="0" collapsed="false">
      <c r="A225" s="101" t="str">
        <f aca="false">IFERROR(INDEX(DITARI!$D$6:$D$550,MATCH(0,COUNTIF($A$1:A224,DITARI!$D$6:$D$550)+(DITARI!$D$6:$D$550=""),0)),"")</f>
        <v/>
      </c>
      <c r="B225" s="101" t="str">
        <f aca="false">IF($A225="","",IFERROR(VLOOKUP($A225,PLANI_LLOGARIVE!$A:$I,2,FALSE()),"⚠ Nuk është te PLANI_LLOGARIVE"))</f>
        <v/>
      </c>
      <c r="C225" s="101" t="str">
        <f aca="false">IF($A225="","",IFERROR(VLOOKUP($A225,PLANI_LLOGARIVE!$A:$I,9,FALSE()),""))</f>
        <v/>
      </c>
      <c r="D225" s="101" t="str">
        <f aca="false">IF($A225="","",COUNTIF(DITARI!$D:$D,$A225))</f>
        <v/>
      </c>
      <c r="E225" s="101" t="str">
        <f aca="false">IF($A225="","",SUMIFS(DITARI!$F:$F,DITARI!$D:$D,$A225))</f>
        <v/>
      </c>
      <c r="F225" s="101" t="str">
        <f aca="false">IF($A225="","",SUMIFS(DITARI!$G:$G,DITARI!$D:$D,$A225))</f>
        <v/>
      </c>
      <c r="G225" s="101" t="str">
        <f aca="false">IF($A225="","",$E225-$F225)</f>
        <v/>
      </c>
    </row>
    <row r="226" customFormat="false" ht="15" hidden="false" customHeight="true" outlineLevel="0" collapsed="false">
      <c r="A226" s="101" t="str">
        <f aca="false">IFERROR(INDEX(DITARI!$D$6:$D$550,MATCH(0,COUNTIF($A$1:A225,DITARI!$D$6:$D$550)+(DITARI!$D$6:$D$550=""),0)),"")</f>
        <v/>
      </c>
      <c r="B226" s="101" t="str">
        <f aca="false">IF($A226="","",IFERROR(VLOOKUP($A226,PLANI_LLOGARIVE!$A:$I,2,FALSE()),"⚠ Nuk është te PLANI_LLOGARIVE"))</f>
        <v/>
      </c>
      <c r="C226" s="101" t="str">
        <f aca="false">IF($A226="","",IFERROR(VLOOKUP($A226,PLANI_LLOGARIVE!$A:$I,9,FALSE()),""))</f>
        <v/>
      </c>
      <c r="D226" s="101" t="str">
        <f aca="false">IF($A226="","",COUNTIF(DITARI!$D:$D,$A226))</f>
        <v/>
      </c>
      <c r="E226" s="101" t="str">
        <f aca="false">IF($A226="","",SUMIFS(DITARI!$F:$F,DITARI!$D:$D,$A226))</f>
        <v/>
      </c>
      <c r="F226" s="101" t="str">
        <f aca="false">IF($A226="","",SUMIFS(DITARI!$G:$G,DITARI!$D:$D,$A226))</f>
        <v/>
      </c>
      <c r="G226" s="101" t="str">
        <f aca="false">IF($A226="","",$E226-$F226)</f>
        <v/>
      </c>
    </row>
    <row r="227" customFormat="false" ht="15" hidden="false" customHeight="true" outlineLevel="0" collapsed="false">
      <c r="A227" s="101" t="str">
        <f aca="false">IFERROR(INDEX(DITARI!$D$6:$D$550,MATCH(0,COUNTIF($A$1:A226,DITARI!$D$6:$D$550)+(DITARI!$D$6:$D$550=""),0)),"")</f>
        <v/>
      </c>
      <c r="B227" s="101" t="str">
        <f aca="false">IF($A227="","",IFERROR(VLOOKUP($A227,PLANI_LLOGARIVE!$A:$I,2,FALSE()),"⚠ Nuk është te PLANI_LLOGARIVE"))</f>
        <v/>
      </c>
      <c r="C227" s="101" t="str">
        <f aca="false">IF($A227="","",IFERROR(VLOOKUP($A227,PLANI_LLOGARIVE!$A:$I,9,FALSE()),""))</f>
        <v/>
      </c>
      <c r="D227" s="101" t="str">
        <f aca="false">IF($A227="","",COUNTIF(DITARI!$D:$D,$A227))</f>
        <v/>
      </c>
      <c r="E227" s="101" t="str">
        <f aca="false">IF($A227="","",SUMIFS(DITARI!$F:$F,DITARI!$D:$D,$A227))</f>
        <v/>
      </c>
      <c r="F227" s="101" t="str">
        <f aca="false">IF($A227="","",SUMIFS(DITARI!$G:$G,DITARI!$D:$D,$A227))</f>
        <v/>
      </c>
      <c r="G227" s="101" t="str">
        <f aca="false">IF($A227="","",$E227-$F227)</f>
        <v/>
      </c>
    </row>
    <row r="228" customFormat="false" ht="15" hidden="false" customHeight="true" outlineLevel="0" collapsed="false">
      <c r="A228" s="101" t="str">
        <f aca="false">IFERROR(INDEX(DITARI!$D$6:$D$550,MATCH(0,COUNTIF($A$1:A227,DITARI!$D$6:$D$550)+(DITARI!$D$6:$D$550=""),0)),"")</f>
        <v/>
      </c>
      <c r="B228" s="101" t="str">
        <f aca="false">IF($A228="","",IFERROR(VLOOKUP($A228,PLANI_LLOGARIVE!$A:$I,2,FALSE()),"⚠ Nuk është te PLANI_LLOGARIVE"))</f>
        <v/>
      </c>
      <c r="C228" s="101" t="str">
        <f aca="false">IF($A228="","",IFERROR(VLOOKUP($A228,PLANI_LLOGARIVE!$A:$I,9,FALSE()),""))</f>
        <v/>
      </c>
      <c r="D228" s="101" t="str">
        <f aca="false">IF($A228="","",COUNTIF(DITARI!$D:$D,$A228))</f>
        <v/>
      </c>
      <c r="E228" s="101" t="str">
        <f aca="false">IF($A228="","",SUMIFS(DITARI!$F:$F,DITARI!$D:$D,$A228))</f>
        <v/>
      </c>
      <c r="F228" s="101" t="str">
        <f aca="false">IF($A228="","",SUMIFS(DITARI!$G:$G,DITARI!$D:$D,$A228))</f>
        <v/>
      </c>
      <c r="G228" s="101" t="str">
        <f aca="false">IF($A228="","",$E228-$F228)</f>
        <v/>
      </c>
    </row>
    <row r="229" customFormat="false" ht="15" hidden="false" customHeight="true" outlineLevel="0" collapsed="false">
      <c r="A229" s="101" t="str">
        <f aca="false">IFERROR(INDEX(DITARI!$D$6:$D$550,MATCH(0,COUNTIF($A$1:A228,DITARI!$D$6:$D$550)+(DITARI!$D$6:$D$550=""),0)),"")</f>
        <v/>
      </c>
      <c r="B229" s="101" t="str">
        <f aca="false">IF($A229="","",IFERROR(VLOOKUP($A229,PLANI_LLOGARIVE!$A:$I,2,FALSE()),"⚠ Nuk është te PLANI_LLOGARIVE"))</f>
        <v/>
      </c>
      <c r="C229" s="101" t="str">
        <f aca="false">IF($A229="","",IFERROR(VLOOKUP($A229,PLANI_LLOGARIVE!$A:$I,9,FALSE()),""))</f>
        <v/>
      </c>
      <c r="D229" s="101" t="str">
        <f aca="false">IF($A229="","",COUNTIF(DITARI!$D:$D,$A229))</f>
        <v/>
      </c>
      <c r="E229" s="101" t="str">
        <f aca="false">IF($A229="","",SUMIFS(DITARI!$F:$F,DITARI!$D:$D,$A229))</f>
        <v/>
      </c>
      <c r="F229" s="101" t="str">
        <f aca="false">IF($A229="","",SUMIFS(DITARI!$G:$G,DITARI!$D:$D,$A229))</f>
        <v/>
      </c>
      <c r="G229" s="101" t="str">
        <f aca="false">IF($A229="","",$E229-$F229)</f>
        <v/>
      </c>
    </row>
    <row r="230" customFormat="false" ht="15" hidden="false" customHeight="true" outlineLevel="0" collapsed="false">
      <c r="A230" s="101" t="str">
        <f aca="false">IFERROR(INDEX(DITARI!$D$6:$D$550,MATCH(0,COUNTIF($A$1:A229,DITARI!$D$6:$D$550)+(DITARI!$D$6:$D$550=""),0)),"")</f>
        <v/>
      </c>
      <c r="B230" s="101" t="str">
        <f aca="false">IF($A230="","",IFERROR(VLOOKUP($A230,PLANI_LLOGARIVE!$A:$I,2,FALSE()),"⚠ Nuk është te PLANI_LLOGARIVE"))</f>
        <v/>
      </c>
      <c r="C230" s="101" t="str">
        <f aca="false">IF($A230="","",IFERROR(VLOOKUP($A230,PLANI_LLOGARIVE!$A:$I,9,FALSE()),""))</f>
        <v/>
      </c>
      <c r="D230" s="101" t="str">
        <f aca="false">IF($A230="","",COUNTIF(DITARI!$D:$D,$A230))</f>
        <v/>
      </c>
      <c r="E230" s="101" t="str">
        <f aca="false">IF($A230="","",SUMIFS(DITARI!$F:$F,DITARI!$D:$D,$A230))</f>
        <v/>
      </c>
      <c r="F230" s="101" t="str">
        <f aca="false">IF($A230="","",SUMIFS(DITARI!$G:$G,DITARI!$D:$D,$A230))</f>
        <v/>
      </c>
      <c r="G230" s="101" t="str">
        <f aca="false">IF($A230="","",$E230-$F230)</f>
        <v/>
      </c>
    </row>
    <row r="231" customFormat="false" ht="15" hidden="false" customHeight="true" outlineLevel="0" collapsed="false">
      <c r="A231" s="101" t="str">
        <f aca="false">IFERROR(INDEX(DITARI!$D$6:$D$550,MATCH(0,COUNTIF($A$1:A230,DITARI!$D$6:$D$550)+(DITARI!$D$6:$D$550=""),0)),"")</f>
        <v/>
      </c>
      <c r="B231" s="101" t="str">
        <f aca="false">IF($A231="","",IFERROR(VLOOKUP($A231,PLANI_LLOGARIVE!$A:$I,2,FALSE()),"⚠ Nuk është te PLANI_LLOGARIVE"))</f>
        <v/>
      </c>
      <c r="C231" s="101" t="str">
        <f aca="false">IF($A231="","",IFERROR(VLOOKUP($A231,PLANI_LLOGARIVE!$A:$I,9,FALSE()),""))</f>
        <v/>
      </c>
      <c r="D231" s="101" t="str">
        <f aca="false">IF($A231="","",COUNTIF(DITARI!$D:$D,$A231))</f>
        <v/>
      </c>
      <c r="E231" s="101" t="str">
        <f aca="false">IF($A231="","",SUMIFS(DITARI!$F:$F,DITARI!$D:$D,$A231))</f>
        <v/>
      </c>
      <c r="F231" s="101" t="str">
        <f aca="false">IF($A231="","",SUMIFS(DITARI!$G:$G,DITARI!$D:$D,$A231))</f>
        <v/>
      </c>
      <c r="G231" s="101" t="str">
        <f aca="false">IF($A231="","",$E231-$F231)</f>
        <v/>
      </c>
    </row>
    <row r="232" customFormat="false" ht="15" hidden="false" customHeight="true" outlineLevel="0" collapsed="false">
      <c r="A232" s="101" t="str">
        <f aca="false">IFERROR(INDEX(DITARI!$D$6:$D$550,MATCH(0,COUNTIF($A$1:A231,DITARI!$D$6:$D$550)+(DITARI!$D$6:$D$550=""),0)),"")</f>
        <v/>
      </c>
      <c r="B232" s="101" t="str">
        <f aca="false">IF($A232="","",IFERROR(VLOOKUP($A232,PLANI_LLOGARIVE!$A:$I,2,FALSE()),"⚠ Nuk është te PLANI_LLOGARIVE"))</f>
        <v/>
      </c>
      <c r="C232" s="101" t="str">
        <f aca="false">IF($A232="","",IFERROR(VLOOKUP($A232,PLANI_LLOGARIVE!$A:$I,9,FALSE()),""))</f>
        <v/>
      </c>
      <c r="D232" s="101" t="str">
        <f aca="false">IF($A232="","",COUNTIF(DITARI!$D:$D,$A232))</f>
        <v/>
      </c>
      <c r="E232" s="101" t="str">
        <f aca="false">IF($A232="","",SUMIFS(DITARI!$F:$F,DITARI!$D:$D,$A232))</f>
        <v/>
      </c>
      <c r="F232" s="101" t="str">
        <f aca="false">IF($A232="","",SUMIFS(DITARI!$G:$G,DITARI!$D:$D,$A232))</f>
        <v/>
      </c>
      <c r="G232" s="101" t="str">
        <f aca="false">IF($A232="","",$E232-$F232)</f>
        <v/>
      </c>
    </row>
    <row r="233" customFormat="false" ht="15" hidden="false" customHeight="true" outlineLevel="0" collapsed="false">
      <c r="A233" s="101" t="str">
        <f aca="false">IFERROR(INDEX(DITARI!$D$6:$D$550,MATCH(0,COUNTIF($A$1:A232,DITARI!$D$6:$D$550)+(DITARI!$D$6:$D$550=""),0)),"")</f>
        <v/>
      </c>
      <c r="B233" s="101" t="str">
        <f aca="false">IF($A233="","",IFERROR(VLOOKUP($A233,PLANI_LLOGARIVE!$A:$I,2,FALSE()),"⚠ Nuk është te PLANI_LLOGARIVE"))</f>
        <v/>
      </c>
      <c r="C233" s="101" t="str">
        <f aca="false">IF($A233="","",IFERROR(VLOOKUP($A233,PLANI_LLOGARIVE!$A:$I,9,FALSE()),""))</f>
        <v/>
      </c>
      <c r="D233" s="101" t="str">
        <f aca="false">IF($A233="","",COUNTIF(DITARI!$D:$D,$A233))</f>
        <v/>
      </c>
      <c r="E233" s="101" t="str">
        <f aca="false">IF($A233="","",SUMIFS(DITARI!$F:$F,DITARI!$D:$D,$A233))</f>
        <v/>
      </c>
      <c r="F233" s="101" t="str">
        <f aca="false">IF($A233="","",SUMIFS(DITARI!$G:$G,DITARI!$D:$D,$A233))</f>
        <v/>
      </c>
      <c r="G233" s="101" t="str">
        <f aca="false">IF($A233="","",$E233-$F233)</f>
        <v/>
      </c>
    </row>
    <row r="234" customFormat="false" ht="15" hidden="false" customHeight="true" outlineLevel="0" collapsed="false">
      <c r="A234" s="101" t="str">
        <f aca="false">IFERROR(INDEX(DITARI!$D$6:$D$550,MATCH(0,COUNTIF($A$1:A233,DITARI!$D$6:$D$550)+(DITARI!$D$6:$D$550=""),0)),"")</f>
        <v/>
      </c>
      <c r="B234" s="101" t="str">
        <f aca="false">IF($A234="","",IFERROR(VLOOKUP($A234,PLANI_LLOGARIVE!$A:$I,2,FALSE()),"⚠ Nuk është te PLANI_LLOGARIVE"))</f>
        <v/>
      </c>
      <c r="C234" s="101" t="str">
        <f aca="false">IF($A234="","",IFERROR(VLOOKUP($A234,PLANI_LLOGARIVE!$A:$I,9,FALSE()),""))</f>
        <v/>
      </c>
      <c r="D234" s="101" t="str">
        <f aca="false">IF($A234="","",COUNTIF(DITARI!$D:$D,$A234))</f>
        <v/>
      </c>
      <c r="E234" s="101" t="str">
        <f aca="false">IF($A234="","",SUMIFS(DITARI!$F:$F,DITARI!$D:$D,$A234))</f>
        <v/>
      </c>
      <c r="F234" s="101" t="str">
        <f aca="false">IF($A234="","",SUMIFS(DITARI!$G:$G,DITARI!$D:$D,$A234))</f>
        <v/>
      </c>
      <c r="G234" s="101" t="str">
        <f aca="false">IF($A234="","",$E234-$F234)</f>
        <v/>
      </c>
    </row>
    <row r="235" customFormat="false" ht="15" hidden="false" customHeight="true" outlineLevel="0" collapsed="false">
      <c r="A235" s="101" t="str">
        <f aca="false">IFERROR(INDEX(DITARI!$D$6:$D$550,MATCH(0,COUNTIF($A$1:A234,DITARI!$D$6:$D$550)+(DITARI!$D$6:$D$550=""),0)),"")</f>
        <v/>
      </c>
      <c r="B235" s="101" t="str">
        <f aca="false">IF($A235="","",IFERROR(VLOOKUP($A235,PLANI_LLOGARIVE!$A:$I,2,FALSE()),"⚠ Nuk është te PLANI_LLOGARIVE"))</f>
        <v/>
      </c>
      <c r="C235" s="101" t="str">
        <f aca="false">IF($A235="","",IFERROR(VLOOKUP($A235,PLANI_LLOGARIVE!$A:$I,9,FALSE()),""))</f>
        <v/>
      </c>
      <c r="D235" s="101" t="str">
        <f aca="false">IF($A235="","",COUNTIF(DITARI!$D:$D,$A235))</f>
        <v/>
      </c>
      <c r="E235" s="101" t="str">
        <f aca="false">IF($A235="","",SUMIFS(DITARI!$F:$F,DITARI!$D:$D,$A235))</f>
        <v/>
      </c>
      <c r="F235" s="101" t="str">
        <f aca="false">IF($A235="","",SUMIFS(DITARI!$G:$G,DITARI!$D:$D,$A235))</f>
        <v/>
      </c>
      <c r="G235" s="101" t="str">
        <f aca="false">IF($A235="","",$E235-$F235)</f>
        <v/>
      </c>
    </row>
    <row r="236" customFormat="false" ht="15" hidden="false" customHeight="true" outlineLevel="0" collapsed="false">
      <c r="A236" s="101" t="str">
        <f aca="false">IFERROR(INDEX(DITARI!$D$6:$D$550,MATCH(0,COUNTIF($A$1:A235,DITARI!$D$6:$D$550)+(DITARI!$D$6:$D$550=""),0)),"")</f>
        <v/>
      </c>
      <c r="B236" s="101" t="str">
        <f aca="false">IF($A236="","",IFERROR(VLOOKUP($A236,PLANI_LLOGARIVE!$A:$I,2,FALSE()),"⚠ Nuk është te PLANI_LLOGARIVE"))</f>
        <v/>
      </c>
      <c r="C236" s="101" t="str">
        <f aca="false">IF($A236="","",IFERROR(VLOOKUP($A236,PLANI_LLOGARIVE!$A:$I,9,FALSE()),""))</f>
        <v/>
      </c>
      <c r="D236" s="101" t="str">
        <f aca="false">IF($A236="","",COUNTIF(DITARI!$D:$D,$A236))</f>
        <v/>
      </c>
      <c r="E236" s="101" t="str">
        <f aca="false">IF($A236="","",SUMIFS(DITARI!$F:$F,DITARI!$D:$D,$A236))</f>
        <v/>
      </c>
      <c r="F236" s="101" t="str">
        <f aca="false">IF($A236="","",SUMIFS(DITARI!$G:$G,DITARI!$D:$D,$A236))</f>
        <v/>
      </c>
      <c r="G236" s="101" t="str">
        <f aca="false">IF($A236="","",$E236-$F236)</f>
        <v/>
      </c>
    </row>
    <row r="237" customFormat="false" ht="15" hidden="false" customHeight="true" outlineLevel="0" collapsed="false">
      <c r="A237" s="101" t="str">
        <f aca="false">IFERROR(INDEX(DITARI!$D$6:$D$550,MATCH(0,COUNTIF($A$1:A236,DITARI!$D$6:$D$550)+(DITARI!$D$6:$D$550=""),0)),"")</f>
        <v/>
      </c>
      <c r="B237" s="101" t="str">
        <f aca="false">IF($A237="","",IFERROR(VLOOKUP($A237,PLANI_LLOGARIVE!$A:$I,2,FALSE()),"⚠ Nuk është te PLANI_LLOGARIVE"))</f>
        <v/>
      </c>
      <c r="C237" s="101" t="str">
        <f aca="false">IF($A237="","",IFERROR(VLOOKUP($A237,PLANI_LLOGARIVE!$A:$I,9,FALSE()),""))</f>
        <v/>
      </c>
      <c r="D237" s="101" t="str">
        <f aca="false">IF($A237="","",COUNTIF(DITARI!$D:$D,$A237))</f>
        <v/>
      </c>
      <c r="E237" s="101" t="str">
        <f aca="false">IF($A237="","",SUMIFS(DITARI!$F:$F,DITARI!$D:$D,$A237))</f>
        <v/>
      </c>
      <c r="F237" s="101" t="str">
        <f aca="false">IF($A237="","",SUMIFS(DITARI!$G:$G,DITARI!$D:$D,$A237))</f>
        <v/>
      </c>
      <c r="G237" s="101" t="str">
        <f aca="false">IF($A237="","",$E237-$F237)</f>
        <v/>
      </c>
    </row>
    <row r="238" customFormat="false" ht="15" hidden="false" customHeight="true" outlineLevel="0" collapsed="false">
      <c r="A238" s="101" t="str">
        <f aca="false">IFERROR(INDEX(DITARI!$D$6:$D$550,MATCH(0,COUNTIF($A$1:A237,DITARI!$D$6:$D$550)+(DITARI!$D$6:$D$550=""),0)),"")</f>
        <v/>
      </c>
      <c r="B238" s="101" t="str">
        <f aca="false">IF($A238="","",IFERROR(VLOOKUP($A238,PLANI_LLOGARIVE!$A:$I,2,FALSE()),"⚠ Nuk është te PLANI_LLOGARIVE"))</f>
        <v/>
      </c>
      <c r="C238" s="101" t="str">
        <f aca="false">IF($A238="","",IFERROR(VLOOKUP($A238,PLANI_LLOGARIVE!$A:$I,9,FALSE()),""))</f>
        <v/>
      </c>
      <c r="D238" s="101" t="str">
        <f aca="false">IF($A238="","",COUNTIF(DITARI!$D:$D,$A238))</f>
        <v/>
      </c>
      <c r="E238" s="101" t="str">
        <f aca="false">IF($A238="","",SUMIFS(DITARI!$F:$F,DITARI!$D:$D,$A238))</f>
        <v/>
      </c>
      <c r="F238" s="101" t="str">
        <f aca="false">IF($A238="","",SUMIFS(DITARI!$G:$G,DITARI!$D:$D,$A238))</f>
        <v/>
      </c>
      <c r="G238" s="101" t="str">
        <f aca="false">IF($A238="","",$E238-$F238)</f>
        <v/>
      </c>
    </row>
    <row r="239" customFormat="false" ht="15" hidden="false" customHeight="true" outlineLevel="0" collapsed="false">
      <c r="A239" s="101" t="str">
        <f aca="false">IFERROR(INDEX(DITARI!$D$6:$D$550,MATCH(0,COUNTIF($A$1:A238,DITARI!$D$6:$D$550)+(DITARI!$D$6:$D$550=""),0)),"")</f>
        <v/>
      </c>
      <c r="B239" s="101" t="str">
        <f aca="false">IF($A239="","",IFERROR(VLOOKUP($A239,PLANI_LLOGARIVE!$A:$I,2,FALSE()),"⚠ Nuk është te PLANI_LLOGARIVE"))</f>
        <v/>
      </c>
      <c r="C239" s="101" t="str">
        <f aca="false">IF($A239="","",IFERROR(VLOOKUP($A239,PLANI_LLOGARIVE!$A:$I,9,FALSE()),""))</f>
        <v/>
      </c>
      <c r="D239" s="101" t="str">
        <f aca="false">IF($A239="","",COUNTIF(DITARI!$D:$D,$A239))</f>
        <v/>
      </c>
      <c r="E239" s="101" t="str">
        <f aca="false">IF($A239="","",SUMIFS(DITARI!$F:$F,DITARI!$D:$D,$A239))</f>
        <v/>
      </c>
      <c r="F239" s="101" t="str">
        <f aca="false">IF($A239="","",SUMIFS(DITARI!$G:$G,DITARI!$D:$D,$A239))</f>
        <v/>
      </c>
      <c r="G239" s="101" t="str">
        <f aca="false">IF($A239="","",$E239-$F239)</f>
        <v/>
      </c>
    </row>
    <row r="240" customFormat="false" ht="15" hidden="false" customHeight="true" outlineLevel="0" collapsed="false">
      <c r="A240" s="101" t="str">
        <f aca="false">IFERROR(INDEX(DITARI!$D$6:$D$550,MATCH(0,COUNTIF($A$1:A239,DITARI!$D$6:$D$550)+(DITARI!$D$6:$D$550=""),0)),"")</f>
        <v/>
      </c>
      <c r="B240" s="101" t="str">
        <f aca="false">IF($A240="","",IFERROR(VLOOKUP($A240,PLANI_LLOGARIVE!$A:$I,2,FALSE()),"⚠ Nuk është te PLANI_LLOGARIVE"))</f>
        <v/>
      </c>
      <c r="C240" s="101" t="str">
        <f aca="false">IF($A240="","",IFERROR(VLOOKUP($A240,PLANI_LLOGARIVE!$A:$I,9,FALSE()),""))</f>
        <v/>
      </c>
      <c r="D240" s="101" t="str">
        <f aca="false">IF($A240="","",COUNTIF(DITARI!$D:$D,$A240))</f>
        <v/>
      </c>
      <c r="E240" s="101" t="str">
        <f aca="false">IF($A240="","",SUMIFS(DITARI!$F:$F,DITARI!$D:$D,$A240))</f>
        <v/>
      </c>
      <c r="F240" s="101" t="str">
        <f aca="false">IF($A240="","",SUMIFS(DITARI!$G:$G,DITARI!$D:$D,$A240))</f>
        <v/>
      </c>
      <c r="G240" s="101" t="str">
        <f aca="false">IF($A240="","",$E240-$F240)</f>
        <v/>
      </c>
    </row>
    <row r="241" customFormat="false" ht="15" hidden="false" customHeight="true" outlineLevel="0" collapsed="false">
      <c r="A241" s="101" t="str">
        <f aca="false">IFERROR(INDEX(DITARI!$D$6:$D$550,MATCH(0,COUNTIF($A$1:A240,DITARI!$D$6:$D$550)+(DITARI!$D$6:$D$550=""),0)),"")</f>
        <v/>
      </c>
      <c r="B241" s="101" t="str">
        <f aca="false">IF($A241="","",IFERROR(VLOOKUP($A241,PLANI_LLOGARIVE!$A:$I,2,FALSE()),"⚠ Nuk është te PLANI_LLOGARIVE"))</f>
        <v/>
      </c>
      <c r="C241" s="101" t="str">
        <f aca="false">IF($A241="","",IFERROR(VLOOKUP($A241,PLANI_LLOGARIVE!$A:$I,9,FALSE()),""))</f>
        <v/>
      </c>
      <c r="D241" s="101" t="str">
        <f aca="false">IF($A241="","",COUNTIF(DITARI!$D:$D,$A241))</f>
        <v/>
      </c>
      <c r="E241" s="101" t="str">
        <f aca="false">IF($A241="","",SUMIFS(DITARI!$F:$F,DITARI!$D:$D,$A241))</f>
        <v/>
      </c>
      <c r="F241" s="101" t="str">
        <f aca="false">IF($A241="","",SUMIFS(DITARI!$G:$G,DITARI!$D:$D,$A241))</f>
        <v/>
      </c>
      <c r="G241" s="101" t="str">
        <f aca="false">IF($A241="","",$E241-$F241)</f>
        <v/>
      </c>
    </row>
    <row r="242" customFormat="false" ht="15" hidden="false" customHeight="true" outlineLevel="0" collapsed="false">
      <c r="A242" s="101" t="str">
        <f aca="false">IFERROR(INDEX(DITARI!$D$6:$D$550,MATCH(0,COUNTIF($A$1:A241,DITARI!$D$6:$D$550)+(DITARI!$D$6:$D$550=""),0)),"")</f>
        <v/>
      </c>
      <c r="B242" s="101" t="str">
        <f aca="false">IF($A242="","",IFERROR(VLOOKUP($A242,PLANI_LLOGARIVE!$A:$I,2,FALSE()),"⚠ Nuk është te PLANI_LLOGARIVE"))</f>
        <v/>
      </c>
      <c r="C242" s="101" t="str">
        <f aca="false">IF($A242="","",IFERROR(VLOOKUP($A242,PLANI_LLOGARIVE!$A:$I,9,FALSE()),""))</f>
        <v/>
      </c>
      <c r="D242" s="101" t="str">
        <f aca="false">IF($A242="","",COUNTIF(DITARI!$D:$D,$A242))</f>
        <v/>
      </c>
      <c r="E242" s="101" t="str">
        <f aca="false">IF($A242="","",SUMIFS(DITARI!$F:$F,DITARI!$D:$D,$A242))</f>
        <v/>
      </c>
      <c r="F242" s="101" t="str">
        <f aca="false">IF($A242="","",SUMIFS(DITARI!$G:$G,DITARI!$D:$D,$A242))</f>
        <v/>
      </c>
      <c r="G242" s="101" t="str">
        <f aca="false">IF($A242="","",$E242-$F242)</f>
        <v/>
      </c>
    </row>
    <row r="243" customFormat="false" ht="15" hidden="false" customHeight="true" outlineLevel="0" collapsed="false">
      <c r="A243" s="101" t="str">
        <f aca="false">IFERROR(INDEX(DITARI!$D$6:$D$550,MATCH(0,COUNTIF($A$1:A242,DITARI!$D$6:$D$550)+(DITARI!$D$6:$D$550=""),0)),"")</f>
        <v/>
      </c>
      <c r="B243" s="101" t="str">
        <f aca="false">IF($A243="","",IFERROR(VLOOKUP($A243,PLANI_LLOGARIVE!$A:$I,2,FALSE()),"⚠ Nuk është te PLANI_LLOGARIVE"))</f>
        <v/>
      </c>
      <c r="C243" s="101" t="str">
        <f aca="false">IF($A243="","",IFERROR(VLOOKUP($A243,PLANI_LLOGARIVE!$A:$I,9,FALSE()),""))</f>
        <v/>
      </c>
      <c r="D243" s="101" t="str">
        <f aca="false">IF($A243="","",COUNTIF(DITARI!$D:$D,$A243))</f>
        <v/>
      </c>
      <c r="E243" s="101" t="str">
        <f aca="false">IF($A243="","",SUMIFS(DITARI!$F:$F,DITARI!$D:$D,$A243))</f>
        <v/>
      </c>
      <c r="F243" s="101" t="str">
        <f aca="false">IF($A243="","",SUMIFS(DITARI!$G:$G,DITARI!$D:$D,$A243))</f>
        <v/>
      </c>
      <c r="G243" s="101" t="str">
        <f aca="false">IF($A243="","",$E243-$F243)</f>
        <v/>
      </c>
    </row>
    <row r="244" customFormat="false" ht="15" hidden="false" customHeight="true" outlineLevel="0" collapsed="false">
      <c r="A244" s="101" t="str">
        <f aca="false">IFERROR(INDEX(DITARI!$D$6:$D$550,MATCH(0,COUNTIF($A$1:A243,DITARI!$D$6:$D$550)+(DITARI!$D$6:$D$550=""),0)),"")</f>
        <v/>
      </c>
      <c r="B244" s="101" t="str">
        <f aca="false">IF($A244="","",IFERROR(VLOOKUP($A244,PLANI_LLOGARIVE!$A:$I,2,FALSE()),"⚠ Nuk është te PLANI_LLOGARIVE"))</f>
        <v/>
      </c>
      <c r="C244" s="101" t="str">
        <f aca="false">IF($A244="","",IFERROR(VLOOKUP($A244,PLANI_LLOGARIVE!$A:$I,9,FALSE()),""))</f>
        <v/>
      </c>
      <c r="D244" s="101" t="str">
        <f aca="false">IF($A244="","",COUNTIF(DITARI!$D:$D,$A244))</f>
        <v/>
      </c>
      <c r="E244" s="101" t="str">
        <f aca="false">IF($A244="","",SUMIFS(DITARI!$F:$F,DITARI!$D:$D,$A244))</f>
        <v/>
      </c>
      <c r="F244" s="101" t="str">
        <f aca="false">IF($A244="","",SUMIFS(DITARI!$G:$G,DITARI!$D:$D,$A244))</f>
        <v/>
      </c>
      <c r="G244" s="101" t="str">
        <f aca="false">IF($A244="","",$E244-$F244)</f>
        <v/>
      </c>
    </row>
    <row r="245" customFormat="false" ht="15" hidden="false" customHeight="true" outlineLevel="0" collapsed="false">
      <c r="A245" s="101" t="str">
        <f aca="false">IFERROR(INDEX(DITARI!$D$6:$D$550,MATCH(0,COUNTIF($A$1:A244,DITARI!$D$6:$D$550)+(DITARI!$D$6:$D$550=""),0)),"")</f>
        <v/>
      </c>
      <c r="B245" s="101" t="str">
        <f aca="false">IF($A245="","",IFERROR(VLOOKUP($A245,PLANI_LLOGARIVE!$A:$I,2,FALSE()),"⚠ Nuk është te PLANI_LLOGARIVE"))</f>
        <v/>
      </c>
      <c r="C245" s="101" t="str">
        <f aca="false">IF($A245="","",IFERROR(VLOOKUP($A245,PLANI_LLOGARIVE!$A:$I,9,FALSE()),""))</f>
        <v/>
      </c>
      <c r="D245" s="101" t="str">
        <f aca="false">IF($A245="","",COUNTIF(DITARI!$D:$D,$A245))</f>
        <v/>
      </c>
      <c r="E245" s="101" t="str">
        <f aca="false">IF($A245="","",SUMIFS(DITARI!$F:$F,DITARI!$D:$D,$A245))</f>
        <v/>
      </c>
      <c r="F245" s="101" t="str">
        <f aca="false">IF($A245="","",SUMIFS(DITARI!$G:$G,DITARI!$D:$D,$A245))</f>
        <v/>
      </c>
      <c r="G245" s="101" t="str">
        <f aca="false">IF($A245="","",$E245-$F245)</f>
        <v/>
      </c>
    </row>
    <row r="246" customFormat="false" ht="15" hidden="false" customHeight="true" outlineLevel="0" collapsed="false">
      <c r="A246" s="101" t="str">
        <f aca="false">IFERROR(INDEX(DITARI!$D$6:$D$550,MATCH(0,COUNTIF($A$1:A245,DITARI!$D$6:$D$550)+(DITARI!$D$6:$D$550=""),0)),"")</f>
        <v/>
      </c>
      <c r="B246" s="101" t="str">
        <f aca="false">IF($A246="","",IFERROR(VLOOKUP($A246,PLANI_LLOGARIVE!$A:$I,2,FALSE()),"⚠ Nuk është te PLANI_LLOGARIVE"))</f>
        <v/>
      </c>
      <c r="C246" s="101" t="str">
        <f aca="false">IF($A246="","",IFERROR(VLOOKUP($A246,PLANI_LLOGARIVE!$A:$I,9,FALSE()),""))</f>
        <v/>
      </c>
      <c r="D246" s="101" t="str">
        <f aca="false">IF($A246="","",COUNTIF(DITARI!$D:$D,$A246))</f>
        <v/>
      </c>
      <c r="E246" s="101" t="str">
        <f aca="false">IF($A246="","",SUMIFS(DITARI!$F:$F,DITARI!$D:$D,$A246))</f>
        <v/>
      </c>
      <c r="F246" s="101" t="str">
        <f aca="false">IF($A246="","",SUMIFS(DITARI!$G:$G,DITARI!$D:$D,$A246))</f>
        <v/>
      </c>
      <c r="G246" s="101" t="str">
        <f aca="false">IF($A246="","",$E246-$F246)</f>
        <v/>
      </c>
    </row>
    <row r="247" customFormat="false" ht="15" hidden="false" customHeight="true" outlineLevel="0" collapsed="false">
      <c r="A247" s="101" t="str">
        <f aca="false">IFERROR(INDEX(DITARI!$D$6:$D$550,MATCH(0,COUNTIF($A$1:A246,DITARI!$D$6:$D$550)+(DITARI!$D$6:$D$550=""),0)),"")</f>
        <v/>
      </c>
      <c r="B247" s="101" t="str">
        <f aca="false">IF($A247="","",IFERROR(VLOOKUP($A247,PLANI_LLOGARIVE!$A:$I,2,FALSE()),"⚠ Nuk është te PLANI_LLOGARIVE"))</f>
        <v/>
      </c>
      <c r="C247" s="101" t="str">
        <f aca="false">IF($A247="","",IFERROR(VLOOKUP($A247,PLANI_LLOGARIVE!$A:$I,9,FALSE()),""))</f>
        <v/>
      </c>
      <c r="D247" s="101" t="str">
        <f aca="false">IF($A247="","",COUNTIF(DITARI!$D:$D,$A247))</f>
        <v/>
      </c>
      <c r="E247" s="101" t="str">
        <f aca="false">IF($A247="","",SUMIFS(DITARI!$F:$F,DITARI!$D:$D,$A247))</f>
        <v/>
      </c>
      <c r="F247" s="101" t="str">
        <f aca="false">IF($A247="","",SUMIFS(DITARI!$G:$G,DITARI!$D:$D,$A247))</f>
        <v/>
      </c>
      <c r="G247" s="101" t="str">
        <f aca="false">IF($A247="","",$E247-$F247)</f>
        <v/>
      </c>
    </row>
    <row r="248" customFormat="false" ht="15" hidden="false" customHeight="true" outlineLevel="0" collapsed="false">
      <c r="A248" s="101" t="str">
        <f aca="false">IFERROR(INDEX(DITARI!$D$6:$D$550,MATCH(0,COUNTIF($A$1:A247,DITARI!$D$6:$D$550)+(DITARI!$D$6:$D$550=""),0)),"")</f>
        <v/>
      </c>
      <c r="B248" s="101" t="str">
        <f aca="false">IF($A248="","",IFERROR(VLOOKUP($A248,PLANI_LLOGARIVE!$A:$I,2,FALSE()),"⚠ Nuk është te PLANI_LLOGARIVE"))</f>
        <v/>
      </c>
      <c r="C248" s="101" t="str">
        <f aca="false">IF($A248="","",IFERROR(VLOOKUP($A248,PLANI_LLOGARIVE!$A:$I,9,FALSE()),""))</f>
        <v/>
      </c>
      <c r="D248" s="101" t="str">
        <f aca="false">IF($A248="","",COUNTIF(DITARI!$D:$D,$A248))</f>
        <v/>
      </c>
      <c r="E248" s="101" t="str">
        <f aca="false">IF($A248="","",SUMIFS(DITARI!$F:$F,DITARI!$D:$D,$A248))</f>
        <v/>
      </c>
      <c r="F248" s="101" t="str">
        <f aca="false">IF($A248="","",SUMIFS(DITARI!$G:$G,DITARI!$D:$D,$A248))</f>
        <v/>
      </c>
      <c r="G248" s="101" t="str">
        <f aca="false">IF($A248="","",$E248-$F248)</f>
        <v/>
      </c>
    </row>
    <row r="249" customFormat="false" ht="15" hidden="false" customHeight="true" outlineLevel="0" collapsed="false">
      <c r="A249" s="101" t="str">
        <f aca="false">IFERROR(INDEX(DITARI!$D$6:$D$550,MATCH(0,COUNTIF($A$1:A248,DITARI!$D$6:$D$550)+(DITARI!$D$6:$D$550=""),0)),"")</f>
        <v/>
      </c>
      <c r="B249" s="101" t="str">
        <f aca="false">IF($A249="","",IFERROR(VLOOKUP($A249,PLANI_LLOGARIVE!$A:$I,2,FALSE()),"⚠ Nuk është te PLANI_LLOGARIVE"))</f>
        <v/>
      </c>
      <c r="C249" s="101" t="str">
        <f aca="false">IF($A249="","",IFERROR(VLOOKUP($A249,PLANI_LLOGARIVE!$A:$I,9,FALSE()),""))</f>
        <v/>
      </c>
      <c r="D249" s="101" t="str">
        <f aca="false">IF($A249="","",COUNTIF(DITARI!$D:$D,$A249))</f>
        <v/>
      </c>
      <c r="E249" s="101" t="str">
        <f aca="false">IF($A249="","",SUMIFS(DITARI!$F:$F,DITARI!$D:$D,$A249))</f>
        <v/>
      </c>
      <c r="F249" s="101" t="str">
        <f aca="false">IF($A249="","",SUMIFS(DITARI!$G:$G,DITARI!$D:$D,$A249))</f>
        <v/>
      </c>
      <c r="G249" s="101" t="str">
        <f aca="false">IF($A249="","",$E249-$F249)</f>
        <v/>
      </c>
    </row>
    <row r="250" customFormat="false" ht="15" hidden="false" customHeight="true" outlineLevel="0" collapsed="false">
      <c r="A250" s="101" t="str">
        <f aca="false">IFERROR(INDEX(DITARI!$D$6:$D$550,MATCH(0,COUNTIF($A$1:A249,DITARI!$D$6:$D$550)+(DITARI!$D$6:$D$550=""),0)),"")</f>
        <v/>
      </c>
      <c r="B250" s="101" t="str">
        <f aca="false">IF($A250="","",IFERROR(VLOOKUP($A250,PLANI_LLOGARIVE!$A:$I,2,FALSE()),"⚠ Nuk është te PLANI_LLOGARIVE"))</f>
        <v/>
      </c>
      <c r="C250" s="101" t="str">
        <f aca="false">IF($A250="","",IFERROR(VLOOKUP($A250,PLANI_LLOGARIVE!$A:$I,9,FALSE()),""))</f>
        <v/>
      </c>
      <c r="D250" s="101" t="str">
        <f aca="false">IF($A250="","",COUNTIF(DITARI!$D:$D,$A250))</f>
        <v/>
      </c>
      <c r="E250" s="101" t="str">
        <f aca="false">IF($A250="","",SUMIFS(DITARI!$F:$F,DITARI!$D:$D,$A250))</f>
        <v/>
      </c>
      <c r="F250" s="101" t="str">
        <f aca="false">IF($A250="","",SUMIFS(DITARI!$G:$G,DITARI!$D:$D,$A250))</f>
        <v/>
      </c>
      <c r="G250" s="101" t="str">
        <f aca="false">IF($A250="","",$E250-$F250)</f>
        <v/>
      </c>
    </row>
    <row r="251" customFormat="false" ht="15" hidden="false" customHeight="true" outlineLevel="0" collapsed="false">
      <c r="A251" s="101" t="str">
        <f aca="false">IFERROR(INDEX(DITARI!$D$6:$D$550,MATCH(0,COUNTIF($A$1:A250,DITARI!$D$6:$D$550)+(DITARI!$D$6:$D$550=""),0)),"")</f>
        <v/>
      </c>
      <c r="B251" s="101" t="str">
        <f aca="false">IF($A251="","",IFERROR(VLOOKUP($A251,PLANI_LLOGARIVE!$A:$I,2,FALSE()),"⚠ Nuk është te PLANI_LLOGARIVE"))</f>
        <v/>
      </c>
      <c r="C251" s="101" t="str">
        <f aca="false">IF($A251="","",IFERROR(VLOOKUP($A251,PLANI_LLOGARIVE!$A:$I,9,FALSE()),""))</f>
        <v/>
      </c>
      <c r="D251" s="101" t="str">
        <f aca="false">IF($A251="","",COUNTIF(DITARI!$D:$D,$A251))</f>
        <v/>
      </c>
      <c r="E251" s="101" t="str">
        <f aca="false">IF($A251="","",SUMIFS(DITARI!$F:$F,DITARI!$D:$D,$A251))</f>
        <v/>
      </c>
      <c r="F251" s="101" t="str">
        <f aca="false">IF($A251="","",SUMIFS(DITARI!$G:$G,DITARI!$D:$D,$A251))</f>
        <v/>
      </c>
      <c r="G251" s="101" t="str">
        <f aca="false">IF($A251="","",$E251-$F251)</f>
        <v/>
      </c>
    </row>
    <row r="252" customFormat="false" ht="15" hidden="false" customHeight="true" outlineLevel="0" collapsed="false">
      <c r="A252" s="101" t="str">
        <f aca="false">IFERROR(INDEX(DITARI!$D$6:$D$550,MATCH(0,COUNTIF($A$1:A251,DITARI!$D$6:$D$550)+(DITARI!$D$6:$D$550=""),0)),"")</f>
        <v/>
      </c>
      <c r="B252" s="101" t="str">
        <f aca="false">IF($A252="","",IFERROR(VLOOKUP($A252,PLANI_LLOGARIVE!$A:$I,2,FALSE()),"⚠ Nuk është te PLANI_LLOGARIVE"))</f>
        <v/>
      </c>
      <c r="C252" s="101" t="str">
        <f aca="false">IF($A252="","",IFERROR(VLOOKUP($A252,PLANI_LLOGARIVE!$A:$I,9,FALSE()),""))</f>
        <v/>
      </c>
      <c r="D252" s="101" t="str">
        <f aca="false">IF($A252="","",COUNTIF(DITARI!$D:$D,$A252))</f>
        <v/>
      </c>
      <c r="E252" s="101" t="str">
        <f aca="false">IF($A252="","",SUMIFS(DITARI!$F:$F,DITARI!$D:$D,$A252))</f>
        <v/>
      </c>
      <c r="F252" s="101" t="str">
        <f aca="false">IF($A252="","",SUMIFS(DITARI!$G:$G,DITARI!$D:$D,$A252))</f>
        <v/>
      </c>
      <c r="G252" s="101" t="str">
        <f aca="false">IF($A252="","",$E252-$F252)</f>
        <v/>
      </c>
    </row>
    <row r="253" customFormat="false" ht="15" hidden="false" customHeight="true" outlineLevel="0" collapsed="false">
      <c r="A253" s="101" t="str">
        <f aca="false">IFERROR(INDEX(DITARI!$D$6:$D$550,MATCH(0,COUNTIF($A$1:A252,DITARI!$D$6:$D$550)+(DITARI!$D$6:$D$550=""),0)),"")</f>
        <v/>
      </c>
      <c r="B253" s="101" t="str">
        <f aca="false">IF($A253="","",IFERROR(VLOOKUP($A253,PLANI_LLOGARIVE!$A:$I,2,FALSE()),"⚠ Nuk është te PLANI_LLOGARIVE"))</f>
        <v/>
      </c>
      <c r="C253" s="101" t="str">
        <f aca="false">IF($A253="","",IFERROR(VLOOKUP($A253,PLANI_LLOGARIVE!$A:$I,9,FALSE()),""))</f>
        <v/>
      </c>
      <c r="D253" s="101" t="str">
        <f aca="false">IF($A253="","",COUNTIF(DITARI!$D:$D,$A253))</f>
        <v/>
      </c>
      <c r="E253" s="101" t="str">
        <f aca="false">IF($A253="","",SUMIFS(DITARI!$F:$F,DITARI!$D:$D,$A253))</f>
        <v/>
      </c>
      <c r="F253" s="101" t="str">
        <f aca="false">IF($A253="","",SUMIFS(DITARI!$G:$G,DITARI!$D:$D,$A253))</f>
        <v/>
      </c>
      <c r="G253" s="101" t="str">
        <f aca="false">IF($A253="","",$E253-$F253)</f>
        <v/>
      </c>
    </row>
    <row r="254" customFormat="false" ht="15" hidden="false" customHeight="true" outlineLevel="0" collapsed="false">
      <c r="A254" s="101" t="str">
        <f aca="false">IFERROR(INDEX(DITARI!$D$6:$D$550,MATCH(0,COUNTIF($A$1:A253,DITARI!$D$6:$D$550)+(DITARI!$D$6:$D$550=""),0)),"")</f>
        <v/>
      </c>
      <c r="B254" s="101" t="str">
        <f aca="false">IF($A254="","",IFERROR(VLOOKUP($A254,PLANI_LLOGARIVE!$A:$I,2,FALSE()),"⚠ Nuk është te PLANI_LLOGARIVE"))</f>
        <v/>
      </c>
      <c r="C254" s="101" t="str">
        <f aca="false">IF($A254="","",IFERROR(VLOOKUP($A254,PLANI_LLOGARIVE!$A:$I,9,FALSE()),""))</f>
        <v/>
      </c>
      <c r="D254" s="101" t="str">
        <f aca="false">IF($A254="","",COUNTIF(DITARI!$D:$D,$A254))</f>
        <v/>
      </c>
      <c r="E254" s="101" t="str">
        <f aca="false">IF($A254="","",SUMIFS(DITARI!$F:$F,DITARI!$D:$D,$A254))</f>
        <v/>
      </c>
      <c r="F254" s="101" t="str">
        <f aca="false">IF($A254="","",SUMIFS(DITARI!$G:$G,DITARI!$D:$D,$A254))</f>
        <v/>
      </c>
      <c r="G254" s="101" t="str">
        <f aca="false">IF($A254="","",$E254-$F254)</f>
        <v/>
      </c>
    </row>
    <row r="255" customFormat="false" ht="15" hidden="false" customHeight="true" outlineLevel="0" collapsed="false">
      <c r="A255" s="101" t="str">
        <f aca="false">IFERROR(INDEX(DITARI!$D$6:$D$550,MATCH(0,COUNTIF($A$1:A254,DITARI!$D$6:$D$550)+(DITARI!$D$6:$D$550=""),0)),"")</f>
        <v/>
      </c>
      <c r="B255" s="101" t="str">
        <f aca="false">IF($A255="","",IFERROR(VLOOKUP($A255,PLANI_LLOGARIVE!$A:$I,2,FALSE()),"⚠ Nuk është te PLANI_LLOGARIVE"))</f>
        <v/>
      </c>
      <c r="C255" s="101" t="str">
        <f aca="false">IF($A255="","",IFERROR(VLOOKUP($A255,PLANI_LLOGARIVE!$A:$I,9,FALSE()),""))</f>
        <v/>
      </c>
      <c r="D255" s="101" t="str">
        <f aca="false">IF($A255="","",COUNTIF(DITARI!$D:$D,$A255))</f>
        <v/>
      </c>
      <c r="E255" s="101" t="str">
        <f aca="false">IF($A255="","",SUMIFS(DITARI!$F:$F,DITARI!$D:$D,$A255))</f>
        <v/>
      </c>
      <c r="F255" s="101" t="str">
        <f aca="false">IF($A255="","",SUMIFS(DITARI!$G:$G,DITARI!$D:$D,$A255))</f>
        <v/>
      </c>
      <c r="G255" s="101" t="str">
        <f aca="false">IF($A255="","",$E255-$F255)</f>
        <v/>
      </c>
    </row>
    <row r="256" customFormat="false" ht="15" hidden="false" customHeight="true" outlineLevel="0" collapsed="false">
      <c r="A256" s="101" t="str">
        <f aca="false">IFERROR(INDEX(DITARI!$D$6:$D$550,MATCH(0,COUNTIF($A$1:A255,DITARI!$D$6:$D$550)+(DITARI!$D$6:$D$550=""),0)),"")</f>
        <v/>
      </c>
      <c r="B256" s="101" t="str">
        <f aca="false">IF($A256="","",IFERROR(VLOOKUP($A256,PLANI_LLOGARIVE!$A:$I,2,FALSE()),"⚠ Nuk është te PLANI_LLOGARIVE"))</f>
        <v/>
      </c>
      <c r="C256" s="101" t="str">
        <f aca="false">IF($A256="","",IFERROR(VLOOKUP($A256,PLANI_LLOGARIVE!$A:$I,9,FALSE()),""))</f>
        <v/>
      </c>
      <c r="D256" s="101" t="str">
        <f aca="false">IF($A256="","",COUNTIF(DITARI!$D:$D,$A256))</f>
        <v/>
      </c>
      <c r="E256" s="101" t="str">
        <f aca="false">IF($A256="","",SUMIFS(DITARI!$F:$F,DITARI!$D:$D,$A256))</f>
        <v/>
      </c>
      <c r="F256" s="101" t="str">
        <f aca="false">IF($A256="","",SUMIFS(DITARI!$G:$G,DITARI!$D:$D,$A256))</f>
        <v/>
      </c>
      <c r="G256" s="101" t="str">
        <f aca="false">IF($A256="","",$E256-$F256)</f>
        <v/>
      </c>
    </row>
    <row r="257" customFormat="false" ht="15" hidden="false" customHeight="true" outlineLevel="0" collapsed="false">
      <c r="A257" s="101" t="str">
        <f aca="false">IFERROR(INDEX(DITARI!$D$6:$D$550,MATCH(0,COUNTIF($A$1:A256,DITARI!$D$6:$D$550)+(DITARI!$D$6:$D$550=""),0)),"")</f>
        <v/>
      </c>
      <c r="B257" s="101" t="str">
        <f aca="false">IF($A257="","",IFERROR(VLOOKUP($A257,PLANI_LLOGARIVE!$A:$I,2,FALSE()),"⚠ Nuk është te PLANI_LLOGARIVE"))</f>
        <v/>
      </c>
      <c r="C257" s="101" t="str">
        <f aca="false">IF($A257="","",IFERROR(VLOOKUP($A257,PLANI_LLOGARIVE!$A:$I,9,FALSE()),""))</f>
        <v/>
      </c>
      <c r="D257" s="101" t="str">
        <f aca="false">IF($A257="","",COUNTIF(DITARI!$D:$D,$A257))</f>
        <v/>
      </c>
      <c r="E257" s="101" t="str">
        <f aca="false">IF($A257="","",SUMIFS(DITARI!$F:$F,DITARI!$D:$D,$A257))</f>
        <v/>
      </c>
      <c r="F257" s="101" t="str">
        <f aca="false">IF($A257="","",SUMIFS(DITARI!$G:$G,DITARI!$D:$D,$A257))</f>
        <v/>
      </c>
      <c r="G257" s="101" t="str">
        <f aca="false">IF($A257="","",$E257-$F257)</f>
        <v/>
      </c>
    </row>
    <row r="258" customFormat="false" ht="15" hidden="false" customHeight="true" outlineLevel="0" collapsed="false">
      <c r="A258" s="101" t="str">
        <f aca="false">IFERROR(INDEX(DITARI!$D$6:$D$550,MATCH(0,COUNTIF($A$1:A257,DITARI!$D$6:$D$550)+(DITARI!$D$6:$D$550=""),0)),"")</f>
        <v/>
      </c>
      <c r="B258" s="101" t="str">
        <f aca="false">IF($A258="","",IFERROR(VLOOKUP($A258,PLANI_LLOGARIVE!$A:$I,2,FALSE()),"⚠ Nuk është te PLANI_LLOGARIVE"))</f>
        <v/>
      </c>
      <c r="C258" s="101" t="str">
        <f aca="false">IF($A258="","",IFERROR(VLOOKUP($A258,PLANI_LLOGARIVE!$A:$I,9,FALSE()),""))</f>
        <v/>
      </c>
      <c r="D258" s="101" t="str">
        <f aca="false">IF($A258="","",COUNTIF(DITARI!$D:$D,$A258))</f>
        <v/>
      </c>
      <c r="E258" s="101" t="str">
        <f aca="false">IF($A258="","",SUMIFS(DITARI!$F:$F,DITARI!$D:$D,$A258))</f>
        <v/>
      </c>
      <c r="F258" s="101" t="str">
        <f aca="false">IF($A258="","",SUMIFS(DITARI!$G:$G,DITARI!$D:$D,$A258))</f>
        <v/>
      </c>
      <c r="G258" s="101" t="str">
        <f aca="false">IF($A258="","",$E258-$F258)</f>
        <v/>
      </c>
    </row>
    <row r="259" customFormat="false" ht="15" hidden="false" customHeight="true" outlineLevel="0" collapsed="false">
      <c r="A259" s="101" t="str">
        <f aca="false">IFERROR(INDEX(DITARI!$D$6:$D$550,MATCH(0,COUNTIF($A$1:A258,DITARI!$D$6:$D$550)+(DITARI!$D$6:$D$550=""),0)),"")</f>
        <v/>
      </c>
      <c r="B259" s="101" t="str">
        <f aca="false">IF($A259="","",IFERROR(VLOOKUP($A259,PLANI_LLOGARIVE!$A:$I,2,FALSE()),"⚠ Nuk është te PLANI_LLOGARIVE"))</f>
        <v/>
      </c>
      <c r="C259" s="101" t="str">
        <f aca="false">IF($A259="","",IFERROR(VLOOKUP($A259,PLANI_LLOGARIVE!$A:$I,9,FALSE()),""))</f>
        <v/>
      </c>
      <c r="D259" s="101" t="str">
        <f aca="false">IF($A259="","",COUNTIF(DITARI!$D:$D,$A259))</f>
        <v/>
      </c>
      <c r="E259" s="101" t="str">
        <f aca="false">IF($A259="","",SUMIFS(DITARI!$F:$F,DITARI!$D:$D,$A259))</f>
        <v/>
      </c>
      <c r="F259" s="101" t="str">
        <f aca="false">IF($A259="","",SUMIFS(DITARI!$G:$G,DITARI!$D:$D,$A259))</f>
        <v/>
      </c>
      <c r="G259" s="101" t="str">
        <f aca="false">IF($A259="","",$E259-$F259)</f>
        <v/>
      </c>
    </row>
    <row r="260" customFormat="false" ht="15" hidden="false" customHeight="true" outlineLevel="0" collapsed="false">
      <c r="A260" s="101" t="str">
        <f aca="false">IFERROR(INDEX(DITARI!$D$6:$D$550,MATCH(0,COUNTIF($A$1:A259,DITARI!$D$6:$D$550)+(DITARI!$D$6:$D$550=""),0)),"")</f>
        <v/>
      </c>
      <c r="B260" s="101" t="str">
        <f aca="false">IF($A260="","",IFERROR(VLOOKUP($A260,PLANI_LLOGARIVE!$A:$I,2,FALSE()),"⚠ Nuk është te PLANI_LLOGARIVE"))</f>
        <v/>
      </c>
      <c r="C260" s="101" t="str">
        <f aca="false">IF($A260="","",IFERROR(VLOOKUP($A260,PLANI_LLOGARIVE!$A:$I,9,FALSE()),""))</f>
        <v/>
      </c>
      <c r="D260" s="101" t="str">
        <f aca="false">IF($A260="","",COUNTIF(DITARI!$D:$D,$A260))</f>
        <v/>
      </c>
      <c r="E260" s="101" t="str">
        <f aca="false">IF($A260="","",SUMIFS(DITARI!$F:$F,DITARI!$D:$D,$A260))</f>
        <v/>
      </c>
      <c r="F260" s="101" t="str">
        <f aca="false">IF($A260="","",SUMIFS(DITARI!$G:$G,DITARI!$D:$D,$A260))</f>
        <v/>
      </c>
      <c r="G260" s="101" t="str">
        <f aca="false">IF($A260="","",$E260-$F260)</f>
        <v/>
      </c>
    </row>
    <row r="261" customFormat="false" ht="15" hidden="false" customHeight="true" outlineLevel="0" collapsed="false">
      <c r="A261" s="101" t="str">
        <f aca="false">IFERROR(INDEX(DITARI!$D$6:$D$550,MATCH(0,COUNTIF($A$1:A260,DITARI!$D$6:$D$550)+(DITARI!$D$6:$D$550=""),0)),"")</f>
        <v/>
      </c>
      <c r="B261" s="101" t="str">
        <f aca="false">IF($A261="","",IFERROR(VLOOKUP($A261,PLANI_LLOGARIVE!$A:$I,2,FALSE()),"⚠ Nuk është te PLANI_LLOGARIVE"))</f>
        <v/>
      </c>
      <c r="C261" s="101" t="str">
        <f aca="false">IF($A261="","",IFERROR(VLOOKUP($A261,PLANI_LLOGARIVE!$A:$I,9,FALSE()),""))</f>
        <v/>
      </c>
      <c r="D261" s="101" t="str">
        <f aca="false">IF($A261="","",COUNTIF(DITARI!$D:$D,$A261))</f>
        <v/>
      </c>
      <c r="E261" s="101" t="str">
        <f aca="false">IF($A261="","",SUMIFS(DITARI!$F:$F,DITARI!$D:$D,$A261))</f>
        <v/>
      </c>
      <c r="F261" s="101" t="str">
        <f aca="false">IF($A261="","",SUMIFS(DITARI!$G:$G,DITARI!$D:$D,$A261))</f>
        <v/>
      </c>
      <c r="G261" s="101" t="str">
        <f aca="false">IF($A261="","",$E261-$F261)</f>
        <v/>
      </c>
    </row>
    <row r="262" customFormat="false" ht="15" hidden="false" customHeight="true" outlineLevel="0" collapsed="false">
      <c r="A262" s="101" t="str">
        <f aca="false">IFERROR(INDEX(DITARI!$D$6:$D$550,MATCH(0,COUNTIF($A$1:A261,DITARI!$D$6:$D$550)+(DITARI!$D$6:$D$550=""),0)),"")</f>
        <v/>
      </c>
      <c r="B262" s="101" t="str">
        <f aca="false">IF($A262="","",IFERROR(VLOOKUP($A262,PLANI_LLOGARIVE!$A:$I,2,FALSE()),"⚠ Nuk është te PLANI_LLOGARIVE"))</f>
        <v/>
      </c>
      <c r="C262" s="101" t="str">
        <f aca="false">IF($A262="","",IFERROR(VLOOKUP($A262,PLANI_LLOGARIVE!$A:$I,9,FALSE()),""))</f>
        <v/>
      </c>
      <c r="D262" s="101" t="str">
        <f aca="false">IF($A262="","",COUNTIF(DITARI!$D:$D,$A262))</f>
        <v/>
      </c>
      <c r="E262" s="101" t="str">
        <f aca="false">IF($A262="","",SUMIFS(DITARI!$F:$F,DITARI!$D:$D,$A262))</f>
        <v/>
      </c>
      <c r="F262" s="101" t="str">
        <f aca="false">IF($A262="","",SUMIFS(DITARI!$G:$G,DITARI!$D:$D,$A262))</f>
        <v/>
      </c>
      <c r="G262" s="101" t="str">
        <f aca="false">IF($A262="","",$E262-$F262)</f>
        <v/>
      </c>
    </row>
    <row r="263" customFormat="false" ht="15" hidden="false" customHeight="true" outlineLevel="0" collapsed="false">
      <c r="A263" s="101" t="str">
        <f aca="false">IFERROR(INDEX(DITARI!$D$6:$D$550,MATCH(0,COUNTIF($A$1:A262,DITARI!$D$6:$D$550)+(DITARI!$D$6:$D$550=""),0)),"")</f>
        <v/>
      </c>
      <c r="B263" s="101" t="str">
        <f aca="false">IF($A263="","",IFERROR(VLOOKUP($A263,PLANI_LLOGARIVE!$A:$I,2,FALSE()),"⚠ Nuk është te PLANI_LLOGARIVE"))</f>
        <v/>
      </c>
      <c r="C263" s="101" t="str">
        <f aca="false">IF($A263="","",IFERROR(VLOOKUP($A263,PLANI_LLOGARIVE!$A:$I,9,FALSE()),""))</f>
        <v/>
      </c>
      <c r="D263" s="101" t="str">
        <f aca="false">IF($A263="","",COUNTIF(DITARI!$D:$D,$A263))</f>
        <v/>
      </c>
      <c r="E263" s="101" t="str">
        <f aca="false">IF($A263="","",SUMIFS(DITARI!$F:$F,DITARI!$D:$D,$A263))</f>
        <v/>
      </c>
      <c r="F263" s="101" t="str">
        <f aca="false">IF($A263="","",SUMIFS(DITARI!$G:$G,DITARI!$D:$D,$A263))</f>
        <v/>
      </c>
      <c r="G263" s="101" t="str">
        <f aca="false">IF($A263="","",$E263-$F263)</f>
        <v/>
      </c>
    </row>
    <row r="264" customFormat="false" ht="15" hidden="false" customHeight="true" outlineLevel="0" collapsed="false">
      <c r="A264" s="101" t="str">
        <f aca="false">IFERROR(INDEX(DITARI!$D$6:$D$550,MATCH(0,COUNTIF($A$1:A263,DITARI!$D$6:$D$550)+(DITARI!$D$6:$D$550=""),0)),"")</f>
        <v/>
      </c>
      <c r="B264" s="101" t="str">
        <f aca="false">IF($A264="","",IFERROR(VLOOKUP($A264,PLANI_LLOGARIVE!$A:$I,2,FALSE()),"⚠ Nuk është te PLANI_LLOGARIVE"))</f>
        <v/>
      </c>
      <c r="C264" s="101" t="str">
        <f aca="false">IF($A264="","",IFERROR(VLOOKUP($A264,PLANI_LLOGARIVE!$A:$I,9,FALSE()),""))</f>
        <v/>
      </c>
      <c r="D264" s="101" t="str">
        <f aca="false">IF($A264="","",COUNTIF(DITARI!$D:$D,$A264))</f>
        <v/>
      </c>
      <c r="E264" s="101" t="str">
        <f aca="false">IF($A264="","",SUMIFS(DITARI!$F:$F,DITARI!$D:$D,$A264))</f>
        <v/>
      </c>
      <c r="F264" s="101" t="str">
        <f aca="false">IF($A264="","",SUMIFS(DITARI!$G:$G,DITARI!$D:$D,$A264))</f>
        <v/>
      </c>
      <c r="G264" s="101" t="str">
        <f aca="false">IF($A264="","",$E264-$F264)</f>
        <v/>
      </c>
    </row>
    <row r="265" customFormat="false" ht="15" hidden="false" customHeight="true" outlineLevel="0" collapsed="false">
      <c r="A265" s="101" t="str">
        <f aca="false">IFERROR(INDEX(DITARI!$D$6:$D$550,MATCH(0,COUNTIF($A$1:A264,DITARI!$D$6:$D$550)+(DITARI!$D$6:$D$550=""),0)),"")</f>
        <v/>
      </c>
      <c r="B265" s="101" t="str">
        <f aca="false">IF($A265="","",IFERROR(VLOOKUP($A265,PLANI_LLOGARIVE!$A:$I,2,FALSE()),"⚠ Nuk është te PLANI_LLOGARIVE"))</f>
        <v/>
      </c>
      <c r="C265" s="101" t="str">
        <f aca="false">IF($A265="","",IFERROR(VLOOKUP($A265,PLANI_LLOGARIVE!$A:$I,9,FALSE()),""))</f>
        <v/>
      </c>
      <c r="D265" s="101" t="str">
        <f aca="false">IF($A265="","",COUNTIF(DITARI!$D:$D,$A265))</f>
        <v/>
      </c>
      <c r="E265" s="101" t="str">
        <f aca="false">IF($A265="","",SUMIFS(DITARI!$F:$F,DITARI!$D:$D,$A265))</f>
        <v/>
      </c>
      <c r="F265" s="101" t="str">
        <f aca="false">IF($A265="","",SUMIFS(DITARI!$G:$G,DITARI!$D:$D,$A265))</f>
        <v/>
      </c>
      <c r="G265" s="101" t="str">
        <f aca="false">IF($A265="","",$E265-$F265)</f>
        <v/>
      </c>
    </row>
    <row r="266" customFormat="false" ht="15" hidden="false" customHeight="true" outlineLevel="0" collapsed="false">
      <c r="A266" s="101" t="str">
        <f aca="false">IFERROR(INDEX(DITARI!$D$6:$D$550,MATCH(0,COUNTIF($A$1:A265,DITARI!$D$6:$D$550)+(DITARI!$D$6:$D$550=""),0)),"")</f>
        <v/>
      </c>
      <c r="B266" s="101" t="str">
        <f aca="false">IF($A266="","",IFERROR(VLOOKUP($A266,PLANI_LLOGARIVE!$A:$I,2,FALSE()),"⚠ Nuk është te PLANI_LLOGARIVE"))</f>
        <v/>
      </c>
      <c r="C266" s="101" t="str">
        <f aca="false">IF($A266="","",IFERROR(VLOOKUP($A266,PLANI_LLOGARIVE!$A:$I,9,FALSE()),""))</f>
        <v/>
      </c>
      <c r="D266" s="101" t="str">
        <f aca="false">IF($A266="","",COUNTIF(DITARI!$D:$D,$A266))</f>
        <v/>
      </c>
      <c r="E266" s="101" t="str">
        <f aca="false">IF($A266="","",SUMIFS(DITARI!$F:$F,DITARI!$D:$D,$A266))</f>
        <v/>
      </c>
      <c r="F266" s="101" t="str">
        <f aca="false">IF($A266="","",SUMIFS(DITARI!$G:$G,DITARI!$D:$D,$A266))</f>
        <v/>
      </c>
      <c r="G266" s="101" t="str">
        <f aca="false">IF($A266="","",$E266-$F266)</f>
        <v/>
      </c>
    </row>
    <row r="267" customFormat="false" ht="15" hidden="false" customHeight="true" outlineLevel="0" collapsed="false">
      <c r="A267" s="101" t="str">
        <f aca="false">IFERROR(INDEX(DITARI!$D$6:$D$550,MATCH(0,COUNTIF($A$1:A266,DITARI!$D$6:$D$550)+(DITARI!$D$6:$D$550=""),0)),"")</f>
        <v/>
      </c>
      <c r="B267" s="101" t="str">
        <f aca="false">IF($A267="","",IFERROR(VLOOKUP($A267,PLANI_LLOGARIVE!$A:$I,2,FALSE()),"⚠ Nuk është te PLANI_LLOGARIVE"))</f>
        <v/>
      </c>
      <c r="C267" s="101" t="str">
        <f aca="false">IF($A267="","",IFERROR(VLOOKUP($A267,PLANI_LLOGARIVE!$A:$I,9,FALSE()),""))</f>
        <v/>
      </c>
      <c r="D267" s="101" t="str">
        <f aca="false">IF($A267="","",COUNTIF(DITARI!$D:$D,$A267))</f>
        <v/>
      </c>
      <c r="E267" s="101" t="str">
        <f aca="false">IF($A267="","",SUMIFS(DITARI!$F:$F,DITARI!$D:$D,$A267))</f>
        <v/>
      </c>
      <c r="F267" s="101" t="str">
        <f aca="false">IF($A267="","",SUMIFS(DITARI!$G:$G,DITARI!$D:$D,$A267))</f>
        <v/>
      </c>
      <c r="G267" s="101" t="str">
        <f aca="false">IF($A267="","",$E267-$F267)</f>
        <v/>
      </c>
    </row>
    <row r="268" customFormat="false" ht="15" hidden="false" customHeight="true" outlineLevel="0" collapsed="false">
      <c r="A268" s="101" t="str">
        <f aca="false">IFERROR(INDEX(DITARI!$D$6:$D$550,MATCH(0,COUNTIF($A$1:A267,DITARI!$D$6:$D$550)+(DITARI!$D$6:$D$550=""),0)),"")</f>
        <v/>
      </c>
      <c r="B268" s="101" t="str">
        <f aca="false">IF($A268="","",IFERROR(VLOOKUP($A268,PLANI_LLOGARIVE!$A:$I,2,FALSE()),"⚠ Nuk është te PLANI_LLOGARIVE"))</f>
        <v/>
      </c>
      <c r="C268" s="101" t="str">
        <f aca="false">IF($A268="","",IFERROR(VLOOKUP($A268,PLANI_LLOGARIVE!$A:$I,9,FALSE()),""))</f>
        <v/>
      </c>
      <c r="D268" s="101" t="str">
        <f aca="false">IF($A268="","",COUNTIF(DITARI!$D:$D,$A268))</f>
        <v/>
      </c>
      <c r="E268" s="101" t="str">
        <f aca="false">IF($A268="","",SUMIFS(DITARI!$F:$F,DITARI!$D:$D,$A268))</f>
        <v/>
      </c>
      <c r="F268" s="101" t="str">
        <f aca="false">IF($A268="","",SUMIFS(DITARI!$G:$G,DITARI!$D:$D,$A268))</f>
        <v/>
      </c>
      <c r="G268" s="101" t="str">
        <f aca="false">IF($A268="","",$E268-$F268)</f>
        <v/>
      </c>
    </row>
    <row r="269" customFormat="false" ht="15" hidden="false" customHeight="true" outlineLevel="0" collapsed="false">
      <c r="A269" s="101" t="str">
        <f aca="false">IFERROR(INDEX(DITARI!$D$6:$D$550,MATCH(0,COUNTIF($A$1:A268,DITARI!$D$6:$D$550)+(DITARI!$D$6:$D$550=""),0)),"")</f>
        <v/>
      </c>
      <c r="B269" s="101" t="str">
        <f aca="false">IF($A269="","",IFERROR(VLOOKUP($A269,PLANI_LLOGARIVE!$A:$I,2,FALSE()),"⚠ Nuk është te PLANI_LLOGARIVE"))</f>
        <v/>
      </c>
      <c r="C269" s="101" t="str">
        <f aca="false">IF($A269="","",IFERROR(VLOOKUP($A269,PLANI_LLOGARIVE!$A:$I,9,FALSE()),""))</f>
        <v/>
      </c>
      <c r="D269" s="101" t="str">
        <f aca="false">IF($A269="","",COUNTIF(DITARI!$D:$D,$A269))</f>
        <v/>
      </c>
      <c r="E269" s="101" t="str">
        <f aca="false">IF($A269="","",SUMIFS(DITARI!$F:$F,DITARI!$D:$D,$A269))</f>
        <v/>
      </c>
      <c r="F269" s="101" t="str">
        <f aca="false">IF($A269="","",SUMIFS(DITARI!$G:$G,DITARI!$D:$D,$A269))</f>
        <v/>
      </c>
      <c r="G269" s="101" t="str">
        <f aca="false">IF($A269="","",$E269-$F269)</f>
        <v/>
      </c>
    </row>
    <row r="270" customFormat="false" ht="15" hidden="false" customHeight="true" outlineLevel="0" collapsed="false">
      <c r="A270" s="101" t="str">
        <f aca="false">IFERROR(INDEX(DITARI!$D$6:$D$550,MATCH(0,COUNTIF($A$1:A269,DITARI!$D$6:$D$550)+(DITARI!$D$6:$D$550=""),0)),"")</f>
        <v/>
      </c>
      <c r="B270" s="101" t="str">
        <f aca="false">IF($A270="","",IFERROR(VLOOKUP($A270,PLANI_LLOGARIVE!$A:$I,2,FALSE()),"⚠ Nuk është te PLANI_LLOGARIVE"))</f>
        <v/>
      </c>
      <c r="C270" s="101" t="str">
        <f aca="false">IF($A270="","",IFERROR(VLOOKUP($A270,PLANI_LLOGARIVE!$A:$I,9,FALSE()),""))</f>
        <v/>
      </c>
      <c r="D270" s="101" t="str">
        <f aca="false">IF($A270="","",COUNTIF(DITARI!$D:$D,$A270))</f>
        <v/>
      </c>
      <c r="E270" s="101" t="str">
        <f aca="false">IF($A270="","",SUMIFS(DITARI!$F:$F,DITARI!$D:$D,$A270))</f>
        <v/>
      </c>
      <c r="F270" s="101" t="str">
        <f aca="false">IF($A270="","",SUMIFS(DITARI!$G:$G,DITARI!$D:$D,$A270))</f>
        <v/>
      </c>
      <c r="G270" s="101" t="str">
        <f aca="false">IF($A270="","",$E270-$F270)</f>
        <v/>
      </c>
    </row>
    <row r="271" customFormat="false" ht="15" hidden="false" customHeight="true" outlineLevel="0" collapsed="false">
      <c r="A271" s="101" t="str">
        <f aca="false">IFERROR(INDEX(DITARI!$D$6:$D$550,MATCH(0,COUNTIF($A$1:A270,DITARI!$D$6:$D$550)+(DITARI!$D$6:$D$550=""),0)),"")</f>
        <v/>
      </c>
      <c r="B271" s="101" t="str">
        <f aca="false">IF($A271="","",IFERROR(VLOOKUP($A271,PLANI_LLOGARIVE!$A:$I,2,FALSE()),"⚠ Nuk është te PLANI_LLOGARIVE"))</f>
        <v/>
      </c>
      <c r="C271" s="101" t="str">
        <f aca="false">IF($A271="","",IFERROR(VLOOKUP($A271,PLANI_LLOGARIVE!$A:$I,9,FALSE()),""))</f>
        <v/>
      </c>
      <c r="D271" s="101" t="str">
        <f aca="false">IF($A271="","",COUNTIF(DITARI!$D:$D,$A271))</f>
        <v/>
      </c>
      <c r="E271" s="101" t="str">
        <f aca="false">IF($A271="","",SUMIFS(DITARI!$F:$F,DITARI!$D:$D,$A271))</f>
        <v/>
      </c>
      <c r="F271" s="101" t="str">
        <f aca="false">IF($A271="","",SUMIFS(DITARI!$G:$G,DITARI!$D:$D,$A271))</f>
        <v/>
      </c>
      <c r="G271" s="101" t="str">
        <f aca="false">IF($A271="","",$E271-$F271)</f>
        <v/>
      </c>
    </row>
    <row r="272" customFormat="false" ht="15" hidden="false" customHeight="true" outlineLevel="0" collapsed="false">
      <c r="A272" s="101" t="str">
        <f aca="false">IFERROR(INDEX(DITARI!$D$6:$D$550,MATCH(0,COUNTIF($A$1:A271,DITARI!$D$6:$D$550)+(DITARI!$D$6:$D$550=""),0)),"")</f>
        <v/>
      </c>
      <c r="B272" s="101" t="str">
        <f aca="false">IF($A272="","",IFERROR(VLOOKUP($A272,PLANI_LLOGARIVE!$A:$I,2,FALSE()),"⚠ Nuk është te PLANI_LLOGARIVE"))</f>
        <v/>
      </c>
      <c r="C272" s="101" t="str">
        <f aca="false">IF($A272="","",IFERROR(VLOOKUP($A272,PLANI_LLOGARIVE!$A:$I,9,FALSE()),""))</f>
        <v/>
      </c>
      <c r="D272" s="101" t="str">
        <f aca="false">IF($A272="","",COUNTIF(DITARI!$D:$D,$A272))</f>
        <v/>
      </c>
      <c r="E272" s="101" t="str">
        <f aca="false">IF($A272="","",SUMIFS(DITARI!$F:$F,DITARI!$D:$D,$A272))</f>
        <v/>
      </c>
      <c r="F272" s="101" t="str">
        <f aca="false">IF($A272="","",SUMIFS(DITARI!$G:$G,DITARI!$D:$D,$A272))</f>
        <v/>
      </c>
      <c r="G272" s="101" t="str">
        <f aca="false">IF($A272="","",$E272-$F272)</f>
        <v/>
      </c>
    </row>
    <row r="273" customFormat="false" ht="15" hidden="false" customHeight="true" outlineLevel="0" collapsed="false">
      <c r="A273" s="101" t="str">
        <f aca="false">IFERROR(INDEX(DITARI!$D$6:$D$550,MATCH(0,COUNTIF($A$1:A272,DITARI!$D$6:$D$550)+(DITARI!$D$6:$D$550=""),0)),"")</f>
        <v/>
      </c>
      <c r="B273" s="101" t="str">
        <f aca="false">IF($A273="","",IFERROR(VLOOKUP($A273,PLANI_LLOGARIVE!$A:$I,2,FALSE()),"⚠ Nuk është te PLANI_LLOGARIVE"))</f>
        <v/>
      </c>
      <c r="C273" s="101" t="str">
        <f aca="false">IF($A273="","",IFERROR(VLOOKUP($A273,PLANI_LLOGARIVE!$A:$I,9,FALSE()),""))</f>
        <v/>
      </c>
      <c r="D273" s="101" t="str">
        <f aca="false">IF($A273="","",COUNTIF(DITARI!$D:$D,$A273))</f>
        <v/>
      </c>
      <c r="E273" s="101" t="str">
        <f aca="false">IF($A273="","",SUMIFS(DITARI!$F:$F,DITARI!$D:$D,$A273))</f>
        <v/>
      </c>
      <c r="F273" s="101" t="str">
        <f aca="false">IF($A273="","",SUMIFS(DITARI!$G:$G,DITARI!$D:$D,$A273))</f>
        <v/>
      </c>
      <c r="G273" s="101" t="str">
        <f aca="false">IF($A273="","",$E273-$F273)</f>
        <v/>
      </c>
    </row>
    <row r="274" customFormat="false" ht="15" hidden="false" customHeight="true" outlineLevel="0" collapsed="false">
      <c r="A274" s="101" t="str">
        <f aca="false">IFERROR(INDEX(DITARI!$D$6:$D$550,MATCH(0,COUNTIF($A$1:A273,DITARI!$D$6:$D$550)+(DITARI!$D$6:$D$550=""),0)),"")</f>
        <v/>
      </c>
      <c r="B274" s="101" t="str">
        <f aca="false">IF($A274="","",IFERROR(VLOOKUP($A274,PLANI_LLOGARIVE!$A:$I,2,FALSE()),"⚠ Nuk është te PLANI_LLOGARIVE"))</f>
        <v/>
      </c>
      <c r="C274" s="101" t="str">
        <f aca="false">IF($A274="","",IFERROR(VLOOKUP($A274,PLANI_LLOGARIVE!$A:$I,9,FALSE()),""))</f>
        <v/>
      </c>
      <c r="D274" s="101" t="str">
        <f aca="false">IF($A274="","",COUNTIF(DITARI!$D:$D,$A274))</f>
        <v/>
      </c>
      <c r="E274" s="101" t="str">
        <f aca="false">IF($A274="","",SUMIFS(DITARI!$F:$F,DITARI!$D:$D,$A274))</f>
        <v/>
      </c>
      <c r="F274" s="101" t="str">
        <f aca="false">IF($A274="","",SUMIFS(DITARI!$G:$G,DITARI!$D:$D,$A274))</f>
        <v/>
      </c>
      <c r="G274" s="101" t="str">
        <f aca="false">IF($A274="","",$E274-$F274)</f>
        <v/>
      </c>
    </row>
    <row r="275" customFormat="false" ht="15" hidden="false" customHeight="true" outlineLevel="0" collapsed="false">
      <c r="A275" s="101" t="str">
        <f aca="false">IFERROR(INDEX(DITARI!$D$6:$D$550,MATCH(0,COUNTIF($A$1:A274,DITARI!$D$6:$D$550)+(DITARI!$D$6:$D$550=""),0)),"")</f>
        <v/>
      </c>
      <c r="B275" s="101" t="str">
        <f aca="false">IF($A275="","",IFERROR(VLOOKUP($A275,PLANI_LLOGARIVE!$A:$I,2,FALSE()),"⚠ Nuk është te PLANI_LLOGARIVE"))</f>
        <v/>
      </c>
      <c r="C275" s="101" t="str">
        <f aca="false">IF($A275="","",IFERROR(VLOOKUP($A275,PLANI_LLOGARIVE!$A:$I,9,FALSE()),""))</f>
        <v/>
      </c>
      <c r="D275" s="101" t="str">
        <f aca="false">IF($A275="","",COUNTIF(DITARI!$D:$D,$A275))</f>
        <v/>
      </c>
      <c r="E275" s="101" t="str">
        <f aca="false">IF($A275="","",SUMIFS(DITARI!$F:$F,DITARI!$D:$D,$A275))</f>
        <v/>
      </c>
      <c r="F275" s="101" t="str">
        <f aca="false">IF($A275="","",SUMIFS(DITARI!$G:$G,DITARI!$D:$D,$A275))</f>
        <v/>
      </c>
      <c r="G275" s="101" t="str">
        <f aca="false">IF($A275="","",$E275-$F275)</f>
        <v/>
      </c>
    </row>
    <row r="276" customFormat="false" ht="15" hidden="false" customHeight="true" outlineLevel="0" collapsed="false">
      <c r="A276" s="101" t="str">
        <f aca="false">IFERROR(INDEX(DITARI!$D$6:$D$550,MATCH(0,COUNTIF($A$1:A275,DITARI!$D$6:$D$550)+(DITARI!$D$6:$D$550=""),0)),"")</f>
        <v/>
      </c>
      <c r="B276" s="101" t="str">
        <f aca="false">IF($A276="","",IFERROR(VLOOKUP($A276,PLANI_LLOGARIVE!$A:$I,2,FALSE()),"⚠ Nuk është te PLANI_LLOGARIVE"))</f>
        <v/>
      </c>
      <c r="C276" s="101" t="str">
        <f aca="false">IF($A276="","",IFERROR(VLOOKUP($A276,PLANI_LLOGARIVE!$A:$I,9,FALSE()),""))</f>
        <v/>
      </c>
      <c r="D276" s="101" t="str">
        <f aca="false">IF($A276="","",COUNTIF(DITARI!$D:$D,$A276))</f>
        <v/>
      </c>
      <c r="E276" s="101" t="str">
        <f aca="false">IF($A276="","",SUMIFS(DITARI!$F:$F,DITARI!$D:$D,$A276))</f>
        <v/>
      </c>
      <c r="F276" s="101" t="str">
        <f aca="false">IF($A276="","",SUMIFS(DITARI!$G:$G,DITARI!$D:$D,$A276))</f>
        <v/>
      </c>
      <c r="G276" s="101" t="str">
        <f aca="false">IF($A276="","",$E276-$F276)</f>
        <v/>
      </c>
    </row>
    <row r="277" customFormat="false" ht="15" hidden="false" customHeight="true" outlineLevel="0" collapsed="false">
      <c r="A277" s="101" t="str">
        <f aca="false">IFERROR(INDEX(DITARI!$D$6:$D$550,MATCH(0,COUNTIF($A$1:A276,DITARI!$D$6:$D$550)+(DITARI!$D$6:$D$550=""),0)),"")</f>
        <v/>
      </c>
      <c r="B277" s="101" t="str">
        <f aca="false">IF($A277="","",IFERROR(VLOOKUP($A277,PLANI_LLOGARIVE!$A:$I,2,FALSE()),"⚠ Nuk është te PLANI_LLOGARIVE"))</f>
        <v/>
      </c>
      <c r="C277" s="101" t="str">
        <f aca="false">IF($A277="","",IFERROR(VLOOKUP($A277,PLANI_LLOGARIVE!$A:$I,9,FALSE()),""))</f>
        <v/>
      </c>
      <c r="D277" s="101" t="str">
        <f aca="false">IF($A277="","",COUNTIF(DITARI!$D:$D,$A277))</f>
        <v/>
      </c>
      <c r="E277" s="101" t="str">
        <f aca="false">IF($A277="","",SUMIFS(DITARI!$F:$F,DITARI!$D:$D,$A277))</f>
        <v/>
      </c>
      <c r="F277" s="101" t="str">
        <f aca="false">IF($A277="","",SUMIFS(DITARI!$G:$G,DITARI!$D:$D,$A277))</f>
        <v/>
      </c>
      <c r="G277" s="101" t="str">
        <f aca="false">IF($A277="","",$E277-$F277)</f>
        <v/>
      </c>
    </row>
    <row r="278" customFormat="false" ht="15" hidden="false" customHeight="true" outlineLevel="0" collapsed="false">
      <c r="A278" s="101" t="str">
        <f aca="false">IFERROR(INDEX(DITARI!$D$6:$D$550,MATCH(0,COUNTIF($A$1:A277,DITARI!$D$6:$D$550)+(DITARI!$D$6:$D$550=""),0)),"")</f>
        <v/>
      </c>
      <c r="B278" s="101" t="str">
        <f aca="false">IF($A278="","",IFERROR(VLOOKUP($A278,PLANI_LLOGARIVE!$A:$I,2,FALSE()),"⚠ Nuk është te PLANI_LLOGARIVE"))</f>
        <v/>
      </c>
      <c r="C278" s="101" t="str">
        <f aca="false">IF($A278="","",IFERROR(VLOOKUP($A278,PLANI_LLOGARIVE!$A:$I,9,FALSE()),""))</f>
        <v/>
      </c>
      <c r="D278" s="101" t="str">
        <f aca="false">IF($A278="","",COUNTIF(DITARI!$D:$D,$A278))</f>
        <v/>
      </c>
      <c r="E278" s="101" t="str">
        <f aca="false">IF($A278="","",SUMIFS(DITARI!$F:$F,DITARI!$D:$D,$A278))</f>
        <v/>
      </c>
      <c r="F278" s="101" t="str">
        <f aca="false">IF($A278="","",SUMIFS(DITARI!$G:$G,DITARI!$D:$D,$A278))</f>
        <v/>
      </c>
      <c r="G278" s="101" t="str">
        <f aca="false">IF($A278="","",$E278-$F278)</f>
        <v/>
      </c>
    </row>
    <row r="279" customFormat="false" ht="15" hidden="false" customHeight="true" outlineLevel="0" collapsed="false">
      <c r="A279" s="101" t="str">
        <f aca="false">IFERROR(INDEX(DITARI!$D$6:$D$550,MATCH(0,COUNTIF($A$1:A278,DITARI!$D$6:$D$550)+(DITARI!$D$6:$D$550=""),0)),"")</f>
        <v/>
      </c>
      <c r="B279" s="101" t="str">
        <f aca="false">IF($A279="","",IFERROR(VLOOKUP($A279,PLANI_LLOGARIVE!$A:$I,2,FALSE()),"⚠ Nuk është te PLANI_LLOGARIVE"))</f>
        <v/>
      </c>
      <c r="C279" s="101" t="str">
        <f aca="false">IF($A279="","",IFERROR(VLOOKUP($A279,PLANI_LLOGARIVE!$A:$I,9,FALSE()),""))</f>
        <v/>
      </c>
      <c r="D279" s="101" t="str">
        <f aca="false">IF($A279="","",COUNTIF(DITARI!$D:$D,$A279))</f>
        <v/>
      </c>
      <c r="E279" s="101" t="str">
        <f aca="false">IF($A279="","",SUMIFS(DITARI!$F:$F,DITARI!$D:$D,$A279))</f>
        <v/>
      </c>
      <c r="F279" s="101" t="str">
        <f aca="false">IF($A279="","",SUMIFS(DITARI!$G:$G,DITARI!$D:$D,$A279))</f>
        <v/>
      </c>
      <c r="G279" s="101" t="str">
        <f aca="false">IF($A279="","",$E279-$F279)</f>
        <v/>
      </c>
    </row>
    <row r="280" customFormat="false" ht="15" hidden="false" customHeight="true" outlineLevel="0" collapsed="false">
      <c r="A280" s="101" t="str">
        <f aca="false">IFERROR(INDEX(DITARI!$D$6:$D$550,MATCH(0,COUNTIF($A$1:A279,DITARI!$D$6:$D$550)+(DITARI!$D$6:$D$550=""),0)),"")</f>
        <v/>
      </c>
      <c r="B280" s="101" t="str">
        <f aca="false">IF($A280="","",IFERROR(VLOOKUP($A280,PLANI_LLOGARIVE!$A:$I,2,FALSE()),"⚠ Nuk është te PLANI_LLOGARIVE"))</f>
        <v/>
      </c>
      <c r="C280" s="101" t="str">
        <f aca="false">IF($A280="","",IFERROR(VLOOKUP($A280,PLANI_LLOGARIVE!$A:$I,9,FALSE()),""))</f>
        <v/>
      </c>
      <c r="D280" s="101" t="str">
        <f aca="false">IF($A280="","",COUNTIF(DITARI!$D:$D,$A280))</f>
        <v/>
      </c>
      <c r="E280" s="101" t="str">
        <f aca="false">IF($A280="","",SUMIFS(DITARI!$F:$F,DITARI!$D:$D,$A280))</f>
        <v/>
      </c>
      <c r="F280" s="101" t="str">
        <f aca="false">IF($A280="","",SUMIFS(DITARI!$G:$G,DITARI!$D:$D,$A280))</f>
        <v/>
      </c>
      <c r="G280" s="101" t="str">
        <f aca="false">IF($A280="","",$E280-$F280)</f>
        <v/>
      </c>
    </row>
    <row r="281" customFormat="false" ht="15" hidden="false" customHeight="true" outlineLevel="0" collapsed="false">
      <c r="A281" s="101" t="str">
        <f aca="false">IFERROR(INDEX(DITARI!$D$6:$D$550,MATCH(0,COUNTIF($A$1:A280,DITARI!$D$6:$D$550)+(DITARI!$D$6:$D$550=""),0)),"")</f>
        <v/>
      </c>
      <c r="B281" s="101" t="str">
        <f aca="false">IF($A281="","",IFERROR(VLOOKUP($A281,PLANI_LLOGARIVE!$A:$I,2,FALSE()),"⚠ Nuk është te PLANI_LLOGARIVE"))</f>
        <v/>
      </c>
      <c r="C281" s="101" t="str">
        <f aca="false">IF($A281="","",IFERROR(VLOOKUP($A281,PLANI_LLOGARIVE!$A:$I,9,FALSE()),""))</f>
        <v/>
      </c>
      <c r="D281" s="101" t="str">
        <f aca="false">IF($A281="","",COUNTIF(DITARI!$D:$D,$A281))</f>
        <v/>
      </c>
      <c r="E281" s="101" t="str">
        <f aca="false">IF($A281="","",SUMIFS(DITARI!$F:$F,DITARI!$D:$D,$A281))</f>
        <v/>
      </c>
      <c r="F281" s="101" t="str">
        <f aca="false">IF($A281="","",SUMIFS(DITARI!$G:$G,DITARI!$D:$D,$A281))</f>
        <v/>
      </c>
      <c r="G281" s="101" t="str">
        <f aca="false">IF($A281="","",$E281-$F281)</f>
        <v/>
      </c>
    </row>
    <row r="282" customFormat="false" ht="15" hidden="false" customHeight="true" outlineLevel="0" collapsed="false">
      <c r="A282" s="101" t="str">
        <f aca="false">IFERROR(INDEX(DITARI!$D$6:$D$550,MATCH(0,COUNTIF($A$1:A281,DITARI!$D$6:$D$550)+(DITARI!$D$6:$D$550=""),0)),"")</f>
        <v/>
      </c>
      <c r="B282" s="101" t="str">
        <f aca="false">IF($A282="","",IFERROR(VLOOKUP($A282,PLANI_LLOGARIVE!$A:$I,2,FALSE()),"⚠ Nuk është te PLANI_LLOGARIVE"))</f>
        <v/>
      </c>
      <c r="C282" s="101" t="str">
        <f aca="false">IF($A282="","",IFERROR(VLOOKUP($A282,PLANI_LLOGARIVE!$A:$I,9,FALSE()),""))</f>
        <v/>
      </c>
      <c r="D282" s="101" t="str">
        <f aca="false">IF($A282="","",COUNTIF(DITARI!$D:$D,$A282))</f>
        <v/>
      </c>
      <c r="E282" s="101" t="str">
        <f aca="false">IF($A282="","",SUMIFS(DITARI!$F:$F,DITARI!$D:$D,$A282))</f>
        <v/>
      </c>
      <c r="F282" s="101" t="str">
        <f aca="false">IF($A282="","",SUMIFS(DITARI!$G:$G,DITARI!$D:$D,$A282))</f>
        <v/>
      </c>
      <c r="G282" s="101" t="str">
        <f aca="false">IF($A282="","",$E282-$F282)</f>
        <v/>
      </c>
    </row>
    <row r="283" customFormat="false" ht="15" hidden="false" customHeight="true" outlineLevel="0" collapsed="false">
      <c r="A283" s="101" t="str">
        <f aca="false">IFERROR(INDEX(DITARI!$D$6:$D$550,MATCH(0,COUNTIF($A$1:A282,DITARI!$D$6:$D$550)+(DITARI!$D$6:$D$550=""),0)),"")</f>
        <v/>
      </c>
      <c r="B283" s="101" t="str">
        <f aca="false">IF($A283="","",IFERROR(VLOOKUP($A283,PLANI_LLOGARIVE!$A:$I,2,FALSE()),"⚠ Nuk është te PLANI_LLOGARIVE"))</f>
        <v/>
      </c>
      <c r="C283" s="101" t="str">
        <f aca="false">IF($A283="","",IFERROR(VLOOKUP($A283,PLANI_LLOGARIVE!$A:$I,9,FALSE()),""))</f>
        <v/>
      </c>
      <c r="D283" s="101" t="str">
        <f aca="false">IF($A283="","",COUNTIF(DITARI!$D:$D,$A283))</f>
        <v/>
      </c>
      <c r="E283" s="101" t="str">
        <f aca="false">IF($A283="","",SUMIFS(DITARI!$F:$F,DITARI!$D:$D,$A283))</f>
        <v/>
      </c>
      <c r="F283" s="101" t="str">
        <f aca="false">IF($A283="","",SUMIFS(DITARI!$G:$G,DITARI!$D:$D,$A283))</f>
        <v/>
      </c>
      <c r="G283" s="101" t="str">
        <f aca="false">IF($A283="","",$E283-$F283)</f>
        <v/>
      </c>
    </row>
    <row r="284" customFormat="false" ht="15" hidden="false" customHeight="true" outlineLevel="0" collapsed="false">
      <c r="A284" s="101" t="str">
        <f aca="false">IFERROR(INDEX(DITARI!$D$6:$D$550,MATCH(0,COUNTIF($A$1:A283,DITARI!$D$6:$D$550)+(DITARI!$D$6:$D$550=""),0)),"")</f>
        <v/>
      </c>
      <c r="B284" s="101" t="str">
        <f aca="false">IF($A284="","",IFERROR(VLOOKUP($A284,PLANI_LLOGARIVE!$A:$I,2,FALSE()),"⚠ Nuk është te PLANI_LLOGARIVE"))</f>
        <v/>
      </c>
      <c r="C284" s="101" t="str">
        <f aca="false">IF($A284="","",IFERROR(VLOOKUP($A284,PLANI_LLOGARIVE!$A:$I,9,FALSE()),""))</f>
        <v/>
      </c>
      <c r="D284" s="101" t="str">
        <f aca="false">IF($A284="","",COUNTIF(DITARI!$D:$D,$A284))</f>
        <v/>
      </c>
      <c r="E284" s="101" t="str">
        <f aca="false">IF($A284="","",SUMIFS(DITARI!$F:$F,DITARI!$D:$D,$A284))</f>
        <v/>
      </c>
      <c r="F284" s="101" t="str">
        <f aca="false">IF($A284="","",SUMIFS(DITARI!$G:$G,DITARI!$D:$D,$A284))</f>
        <v/>
      </c>
      <c r="G284" s="101" t="str">
        <f aca="false">IF($A284="","",$E284-$F284)</f>
        <v/>
      </c>
    </row>
    <row r="285" customFormat="false" ht="15" hidden="false" customHeight="true" outlineLevel="0" collapsed="false">
      <c r="A285" s="101" t="str">
        <f aca="false">IFERROR(INDEX(DITARI!$D$6:$D$550,MATCH(0,COUNTIF($A$1:A284,DITARI!$D$6:$D$550)+(DITARI!$D$6:$D$550=""),0)),"")</f>
        <v/>
      </c>
      <c r="B285" s="101" t="str">
        <f aca="false">IF($A285="","",IFERROR(VLOOKUP($A285,PLANI_LLOGARIVE!$A:$I,2,FALSE()),"⚠ Nuk është te PLANI_LLOGARIVE"))</f>
        <v/>
      </c>
      <c r="C285" s="101" t="str">
        <f aca="false">IF($A285="","",IFERROR(VLOOKUP($A285,PLANI_LLOGARIVE!$A:$I,9,FALSE()),""))</f>
        <v/>
      </c>
      <c r="D285" s="101" t="str">
        <f aca="false">IF($A285="","",COUNTIF(DITARI!$D:$D,$A285))</f>
        <v/>
      </c>
      <c r="E285" s="101" t="str">
        <f aca="false">IF($A285="","",SUMIFS(DITARI!$F:$F,DITARI!$D:$D,$A285))</f>
        <v/>
      </c>
      <c r="F285" s="101" t="str">
        <f aca="false">IF($A285="","",SUMIFS(DITARI!$G:$G,DITARI!$D:$D,$A285))</f>
        <v/>
      </c>
      <c r="G285" s="101" t="str">
        <f aca="false">IF($A285="","",$E285-$F285)</f>
        <v/>
      </c>
    </row>
    <row r="286" customFormat="false" ht="15" hidden="false" customHeight="true" outlineLevel="0" collapsed="false">
      <c r="A286" s="101" t="str">
        <f aca="false">IFERROR(INDEX(DITARI!$D$6:$D$550,MATCH(0,COUNTIF($A$1:A285,DITARI!$D$6:$D$550)+(DITARI!$D$6:$D$550=""),0)),"")</f>
        <v/>
      </c>
      <c r="B286" s="101" t="str">
        <f aca="false">IF($A286="","",IFERROR(VLOOKUP($A286,PLANI_LLOGARIVE!$A:$I,2,FALSE()),"⚠ Nuk është te PLANI_LLOGARIVE"))</f>
        <v/>
      </c>
      <c r="C286" s="101" t="str">
        <f aca="false">IF($A286="","",IFERROR(VLOOKUP($A286,PLANI_LLOGARIVE!$A:$I,9,FALSE()),""))</f>
        <v/>
      </c>
      <c r="D286" s="101" t="str">
        <f aca="false">IF($A286="","",COUNTIF(DITARI!$D:$D,$A286))</f>
        <v/>
      </c>
      <c r="E286" s="101" t="str">
        <f aca="false">IF($A286="","",SUMIFS(DITARI!$F:$F,DITARI!$D:$D,$A286))</f>
        <v/>
      </c>
      <c r="F286" s="101" t="str">
        <f aca="false">IF($A286="","",SUMIFS(DITARI!$G:$G,DITARI!$D:$D,$A286))</f>
        <v/>
      </c>
      <c r="G286" s="101" t="str">
        <f aca="false">IF($A286="","",$E286-$F286)</f>
        <v/>
      </c>
    </row>
    <row r="287" customFormat="false" ht="15" hidden="false" customHeight="true" outlineLevel="0" collapsed="false">
      <c r="A287" s="101" t="str">
        <f aca="false">IFERROR(INDEX(DITARI!$D$6:$D$550,MATCH(0,COUNTIF($A$1:A286,DITARI!$D$6:$D$550)+(DITARI!$D$6:$D$550=""),0)),"")</f>
        <v/>
      </c>
      <c r="B287" s="101" t="str">
        <f aca="false">IF($A287="","",IFERROR(VLOOKUP($A287,PLANI_LLOGARIVE!$A:$I,2,FALSE()),"⚠ Nuk është te PLANI_LLOGARIVE"))</f>
        <v/>
      </c>
      <c r="C287" s="101" t="str">
        <f aca="false">IF($A287="","",IFERROR(VLOOKUP($A287,PLANI_LLOGARIVE!$A:$I,9,FALSE()),""))</f>
        <v/>
      </c>
      <c r="D287" s="101" t="str">
        <f aca="false">IF($A287="","",COUNTIF(DITARI!$D:$D,$A287))</f>
        <v/>
      </c>
      <c r="E287" s="101" t="str">
        <f aca="false">IF($A287="","",SUMIFS(DITARI!$F:$F,DITARI!$D:$D,$A287))</f>
        <v/>
      </c>
      <c r="F287" s="101" t="str">
        <f aca="false">IF($A287="","",SUMIFS(DITARI!$G:$G,DITARI!$D:$D,$A287))</f>
        <v/>
      </c>
      <c r="G287" s="101" t="str">
        <f aca="false">IF($A287="","",$E287-$F287)</f>
        <v/>
      </c>
    </row>
    <row r="288" customFormat="false" ht="15" hidden="false" customHeight="true" outlineLevel="0" collapsed="false">
      <c r="A288" s="101" t="str">
        <f aca="false">IFERROR(INDEX(DITARI!$D$6:$D$550,MATCH(0,COUNTIF($A$1:A287,DITARI!$D$6:$D$550)+(DITARI!$D$6:$D$550=""),0)),"")</f>
        <v/>
      </c>
      <c r="B288" s="101" t="str">
        <f aca="false">IF($A288="","",IFERROR(VLOOKUP($A288,PLANI_LLOGARIVE!$A:$I,2,FALSE()),"⚠ Nuk është te PLANI_LLOGARIVE"))</f>
        <v/>
      </c>
      <c r="C288" s="101" t="str">
        <f aca="false">IF($A288="","",IFERROR(VLOOKUP($A288,PLANI_LLOGARIVE!$A:$I,9,FALSE()),""))</f>
        <v/>
      </c>
      <c r="D288" s="101" t="str">
        <f aca="false">IF($A288="","",COUNTIF(DITARI!$D:$D,$A288))</f>
        <v/>
      </c>
      <c r="E288" s="101" t="str">
        <f aca="false">IF($A288="","",SUMIFS(DITARI!$F:$F,DITARI!$D:$D,$A288))</f>
        <v/>
      </c>
      <c r="F288" s="101" t="str">
        <f aca="false">IF($A288="","",SUMIFS(DITARI!$G:$G,DITARI!$D:$D,$A288))</f>
        <v/>
      </c>
      <c r="G288" s="101" t="str">
        <f aca="false">IF($A288="","",$E288-$F288)</f>
        <v/>
      </c>
    </row>
    <row r="289" customFormat="false" ht="15" hidden="false" customHeight="true" outlineLevel="0" collapsed="false">
      <c r="A289" s="101" t="str">
        <f aca="false">IFERROR(INDEX(DITARI!$D$6:$D$550,MATCH(0,COUNTIF($A$1:A288,DITARI!$D$6:$D$550)+(DITARI!$D$6:$D$550=""),0)),"")</f>
        <v/>
      </c>
      <c r="B289" s="101" t="str">
        <f aca="false">IF($A289="","",IFERROR(VLOOKUP($A289,PLANI_LLOGARIVE!$A:$I,2,FALSE()),"⚠ Nuk është te PLANI_LLOGARIVE"))</f>
        <v/>
      </c>
      <c r="C289" s="101" t="str">
        <f aca="false">IF($A289="","",IFERROR(VLOOKUP($A289,PLANI_LLOGARIVE!$A:$I,9,FALSE()),""))</f>
        <v/>
      </c>
      <c r="D289" s="101" t="str">
        <f aca="false">IF($A289="","",COUNTIF(DITARI!$D:$D,$A289))</f>
        <v/>
      </c>
      <c r="E289" s="101" t="str">
        <f aca="false">IF($A289="","",SUMIFS(DITARI!$F:$F,DITARI!$D:$D,$A289))</f>
        <v/>
      </c>
      <c r="F289" s="101" t="str">
        <f aca="false">IF($A289="","",SUMIFS(DITARI!$G:$G,DITARI!$D:$D,$A289))</f>
        <v/>
      </c>
      <c r="G289" s="101" t="str">
        <f aca="false">IF($A289="","",$E289-$F289)</f>
        <v/>
      </c>
    </row>
    <row r="290" customFormat="false" ht="15" hidden="false" customHeight="true" outlineLevel="0" collapsed="false">
      <c r="A290" s="101" t="str">
        <f aca="false">IFERROR(INDEX(DITARI!$D$6:$D$550,MATCH(0,COUNTIF($A$1:A289,DITARI!$D$6:$D$550)+(DITARI!$D$6:$D$550=""),0)),"")</f>
        <v/>
      </c>
      <c r="B290" s="101" t="str">
        <f aca="false">IF($A290="","",IFERROR(VLOOKUP($A290,PLANI_LLOGARIVE!$A:$I,2,FALSE()),"⚠ Nuk është te PLANI_LLOGARIVE"))</f>
        <v/>
      </c>
      <c r="C290" s="101" t="str">
        <f aca="false">IF($A290="","",IFERROR(VLOOKUP($A290,PLANI_LLOGARIVE!$A:$I,9,FALSE()),""))</f>
        <v/>
      </c>
      <c r="D290" s="101" t="str">
        <f aca="false">IF($A290="","",COUNTIF(DITARI!$D:$D,$A290))</f>
        <v/>
      </c>
      <c r="E290" s="101" t="str">
        <f aca="false">IF($A290="","",SUMIFS(DITARI!$F:$F,DITARI!$D:$D,$A290))</f>
        <v/>
      </c>
      <c r="F290" s="101" t="str">
        <f aca="false">IF($A290="","",SUMIFS(DITARI!$G:$G,DITARI!$D:$D,$A290))</f>
        <v/>
      </c>
      <c r="G290" s="101" t="str">
        <f aca="false">IF($A290="","",$E290-$F290)</f>
        <v/>
      </c>
    </row>
    <row r="291" customFormat="false" ht="15" hidden="false" customHeight="true" outlineLevel="0" collapsed="false">
      <c r="A291" s="101" t="str">
        <f aca="false">IFERROR(INDEX(DITARI!$D$6:$D$550,MATCH(0,COUNTIF($A$1:A290,DITARI!$D$6:$D$550)+(DITARI!$D$6:$D$550=""),0)),"")</f>
        <v/>
      </c>
      <c r="B291" s="101" t="str">
        <f aca="false">IF($A291="","",IFERROR(VLOOKUP($A291,PLANI_LLOGARIVE!$A:$I,2,FALSE()),"⚠ Nuk është te PLANI_LLOGARIVE"))</f>
        <v/>
      </c>
      <c r="C291" s="101" t="str">
        <f aca="false">IF($A291="","",IFERROR(VLOOKUP($A291,PLANI_LLOGARIVE!$A:$I,9,FALSE()),""))</f>
        <v/>
      </c>
      <c r="D291" s="101" t="str">
        <f aca="false">IF($A291="","",COUNTIF(DITARI!$D:$D,$A291))</f>
        <v/>
      </c>
      <c r="E291" s="101" t="str">
        <f aca="false">IF($A291="","",SUMIFS(DITARI!$F:$F,DITARI!$D:$D,$A291))</f>
        <v/>
      </c>
      <c r="F291" s="101" t="str">
        <f aca="false">IF($A291="","",SUMIFS(DITARI!$G:$G,DITARI!$D:$D,$A291))</f>
        <v/>
      </c>
      <c r="G291" s="101" t="str">
        <f aca="false">IF($A291="","",$E291-$F291)</f>
        <v/>
      </c>
    </row>
    <row r="292" customFormat="false" ht="15" hidden="false" customHeight="true" outlineLevel="0" collapsed="false">
      <c r="A292" s="101" t="str">
        <f aca="false">IFERROR(INDEX(DITARI!$D$6:$D$550,MATCH(0,COUNTIF($A$1:A291,DITARI!$D$6:$D$550)+(DITARI!$D$6:$D$550=""),0)),"")</f>
        <v/>
      </c>
      <c r="B292" s="101" t="str">
        <f aca="false">IF($A292="","",IFERROR(VLOOKUP($A292,PLANI_LLOGARIVE!$A:$I,2,FALSE()),"⚠ Nuk është te PLANI_LLOGARIVE"))</f>
        <v/>
      </c>
      <c r="C292" s="101" t="str">
        <f aca="false">IF($A292="","",IFERROR(VLOOKUP($A292,PLANI_LLOGARIVE!$A:$I,9,FALSE()),""))</f>
        <v/>
      </c>
      <c r="D292" s="101" t="str">
        <f aca="false">IF($A292="","",COUNTIF(DITARI!$D:$D,$A292))</f>
        <v/>
      </c>
      <c r="E292" s="101" t="str">
        <f aca="false">IF($A292="","",SUMIFS(DITARI!$F:$F,DITARI!$D:$D,$A292))</f>
        <v/>
      </c>
      <c r="F292" s="101" t="str">
        <f aca="false">IF($A292="","",SUMIFS(DITARI!$G:$G,DITARI!$D:$D,$A292))</f>
        <v/>
      </c>
      <c r="G292" s="101" t="str">
        <f aca="false">IF($A292="","",$E292-$F292)</f>
        <v/>
      </c>
    </row>
    <row r="293" customFormat="false" ht="15" hidden="false" customHeight="true" outlineLevel="0" collapsed="false">
      <c r="A293" s="101" t="str">
        <f aca="false">IFERROR(INDEX(DITARI!$D$6:$D$550,MATCH(0,COUNTIF($A$1:A292,DITARI!$D$6:$D$550)+(DITARI!$D$6:$D$550=""),0)),"")</f>
        <v/>
      </c>
      <c r="B293" s="101" t="str">
        <f aca="false">IF($A293="","",IFERROR(VLOOKUP($A293,PLANI_LLOGARIVE!$A:$I,2,FALSE()),"⚠ Nuk është te PLANI_LLOGARIVE"))</f>
        <v/>
      </c>
      <c r="C293" s="101" t="str">
        <f aca="false">IF($A293="","",IFERROR(VLOOKUP($A293,PLANI_LLOGARIVE!$A:$I,9,FALSE()),""))</f>
        <v/>
      </c>
      <c r="D293" s="101" t="str">
        <f aca="false">IF($A293="","",COUNTIF(DITARI!$D:$D,$A293))</f>
        <v/>
      </c>
      <c r="E293" s="101" t="str">
        <f aca="false">IF($A293="","",SUMIFS(DITARI!$F:$F,DITARI!$D:$D,$A293))</f>
        <v/>
      </c>
      <c r="F293" s="101" t="str">
        <f aca="false">IF($A293="","",SUMIFS(DITARI!$G:$G,DITARI!$D:$D,$A293))</f>
        <v/>
      </c>
      <c r="G293" s="101" t="str">
        <f aca="false">IF($A293="","",$E293-$F293)</f>
        <v/>
      </c>
    </row>
    <row r="294" customFormat="false" ht="15" hidden="false" customHeight="true" outlineLevel="0" collapsed="false">
      <c r="A294" s="101" t="str">
        <f aca="false">IFERROR(INDEX(DITARI!$D$6:$D$550,MATCH(0,COUNTIF($A$1:A293,DITARI!$D$6:$D$550)+(DITARI!$D$6:$D$550=""),0)),"")</f>
        <v/>
      </c>
      <c r="B294" s="101" t="str">
        <f aca="false">IF($A294="","",IFERROR(VLOOKUP($A294,PLANI_LLOGARIVE!$A:$I,2,FALSE()),"⚠ Nuk është te PLANI_LLOGARIVE"))</f>
        <v/>
      </c>
      <c r="C294" s="101" t="str">
        <f aca="false">IF($A294="","",IFERROR(VLOOKUP($A294,PLANI_LLOGARIVE!$A:$I,9,FALSE()),""))</f>
        <v/>
      </c>
      <c r="D294" s="101" t="str">
        <f aca="false">IF($A294="","",COUNTIF(DITARI!$D:$D,$A294))</f>
        <v/>
      </c>
      <c r="E294" s="101" t="str">
        <f aca="false">IF($A294="","",SUMIFS(DITARI!$F:$F,DITARI!$D:$D,$A294))</f>
        <v/>
      </c>
      <c r="F294" s="101" t="str">
        <f aca="false">IF($A294="","",SUMIFS(DITARI!$G:$G,DITARI!$D:$D,$A294))</f>
        <v/>
      </c>
      <c r="G294" s="101" t="str">
        <f aca="false">IF($A294="","",$E294-$F294)</f>
        <v/>
      </c>
    </row>
    <row r="295" customFormat="false" ht="15" hidden="false" customHeight="true" outlineLevel="0" collapsed="false">
      <c r="A295" s="101" t="str">
        <f aca="false">IFERROR(INDEX(DITARI!$D$6:$D$550,MATCH(0,COUNTIF($A$1:A294,DITARI!$D$6:$D$550)+(DITARI!$D$6:$D$550=""),0)),"")</f>
        <v/>
      </c>
      <c r="B295" s="101" t="str">
        <f aca="false">IF($A295="","",IFERROR(VLOOKUP($A295,PLANI_LLOGARIVE!$A:$I,2,FALSE()),"⚠ Nuk është te PLANI_LLOGARIVE"))</f>
        <v/>
      </c>
      <c r="C295" s="101" t="str">
        <f aca="false">IF($A295="","",IFERROR(VLOOKUP($A295,PLANI_LLOGARIVE!$A:$I,9,FALSE()),""))</f>
        <v/>
      </c>
      <c r="D295" s="101" t="str">
        <f aca="false">IF($A295="","",COUNTIF(DITARI!$D:$D,$A295))</f>
        <v/>
      </c>
      <c r="E295" s="101" t="str">
        <f aca="false">IF($A295="","",SUMIFS(DITARI!$F:$F,DITARI!$D:$D,$A295))</f>
        <v/>
      </c>
      <c r="F295" s="101" t="str">
        <f aca="false">IF($A295="","",SUMIFS(DITARI!$G:$G,DITARI!$D:$D,$A295))</f>
        <v/>
      </c>
      <c r="G295" s="101" t="str">
        <f aca="false">IF($A295="","",$E295-$F295)</f>
        <v/>
      </c>
    </row>
    <row r="296" customFormat="false" ht="15" hidden="false" customHeight="true" outlineLevel="0" collapsed="false">
      <c r="A296" s="101" t="str">
        <f aca="false">IFERROR(INDEX(DITARI!$D$6:$D$550,MATCH(0,COUNTIF($A$1:A295,DITARI!$D$6:$D$550)+(DITARI!$D$6:$D$550=""),0)),"")</f>
        <v/>
      </c>
      <c r="B296" s="101" t="str">
        <f aca="false">IF($A296="","",IFERROR(VLOOKUP($A296,PLANI_LLOGARIVE!$A:$I,2,FALSE()),"⚠ Nuk është te PLANI_LLOGARIVE"))</f>
        <v/>
      </c>
      <c r="C296" s="101" t="str">
        <f aca="false">IF($A296="","",IFERROR(VLOOKUP($A296,PLANI_LLOGARIVE!$A:$I,9,FALSE()),""))</f>
        <v/>
      </c>
      <c r="D296" s="101" t="str">
        <f aca="false">IF($A296="","",COUNTIF(DITARI!$D:$D,$A296))</f>
        <v/>
      </c>
      <c r="E296" s="101" t="str">
        <f aca="false">IF($A296="","",SUMIFS(DITARI!$F:$F,DITARI!$D:$D,$A296))</f>
        <v/>
      </c>
      <c r="F296" s="101" t="str">
        <f aca="false">IF($A296="","",SUMIFS(DITARI!$G:$G,DITARI!$D:$D,$A296))</f>
        <v/>
      </c>
      <c r="G296" s="101" t="str">
        <f aca="false">IF($A296="","",$E296-$F296)</f>
        <v/>
      </c>
    </row>
    <row r="297" customFormat="false" ht="15" hidden="false" customHeight="true" outlineLevel="0" collapsed="false">
      <c r="A297" s="101" t="str">
        <f aca="false">IFERROR(INDEX(DITARI!$D$6:$D$550,MATCH(0,COUNTIF($A$1:A296,DITARI!$D$6:$D$550)+(DITARI!$D$6:$D$550=""),0)),"")</f>
        <v/>
      </c>
      <c r="B297" s="101" t="str">
        <f aca="false">IF($A297="","",IFERROR(VLOOKUP($A297,PLANI_LLOGARIVE!$A:$I,2,FALSE()),"⚠ Nuk është te PLANI_LLOGARIVE"))</f>
        <v/>
      </c>
      <c r="C297" s="101" t="str">
        <f aca="false">IF($A297="","",IFERROR(VLOOKUP($A297,PLANI_LLOGARIVE!$A:$I,9,FALSE()),""))</f>
        <v/>
      </c>
      <c r="D297" s="101" t="str">
        <f aca="false">IF($A297="","",COUNTIF(DITARI!$D:$D,$A297))</f>
        <v/>
      </c>
      <c r="E297" s="101" t="str">
        <f aca="false">IF($A297="","",SUMIFS(DITARI!$F:$F,DITARI!$D:$D,$A297))</f>
        <v/>
      </c>
      <c r="F297" s="101" t="str">
        <f aca="false">IF($A297="","",SUMIFS(DITARI!$G:$G,DITARI!$D:$D,$A297))</f>
        <v/>
      </c>
      <c r="G297" s="101" t="str">
        <f aca="false">IF($A297="","",$E297-$F297)</f>
        <v/>
      </c>
    </row>
    <row r="298" customFormat="false" ht="15" hidden="false" customHeight="true" outlineLevel="0" collapsed="false">
      <c r="A298" s="101" t="str">
        <f aca="false">IFERROR(INDEX(DITARI!$D$6:$D$550,MATCH(0,COUNTIF($A$1:A297,DITARI!$D$6:$D$550)+(DITARI!$D$6:$D$550=""),0)),"")</f>
        <v/>
      </c>
      <c r="B298" s="101" t="str">
        <f aca="false">IF($A298="","",IFERROR(VLOOKUP($A298,PLANI_LLOGARIVE!$A:$I,2,FALSE()),"⚠ Nuk është te PLANI_LLOGARIVE"))</f>
        <v/>
      </c>
      <c r="C298" s="101" t="str">
        <f aca="false">IF($A298="","",IFERROR(VLOOKUP($A298,PLANI_LLOGARIVE!$A:$I,9,FALSE()),""))</f>
        <v/>
      </c>
      <c r="D298" s="101" t="str">
        <f aca="false">IF($A298="","",COUNTIF(DITARI!$D:$D,$A298))</f>
        <v/>
      </c>
      <c r="E298" s="101" t="str">
        <f aca="false">IF($A298="","",SUMIFS(DITARI!$F:$F,DITARI!$D:$D,$A298))</f>
        <v/>
      </c>
      <c r="F298" s="101" t="str">
        <f aca="false">IF($A298="","",SUMIFS(DITARI!$G:$G,DITARI!$D:$D,$A298))</f>
        <v/>
      </c>
      <c r="G298" s="101" t="str">
        <f aca="false">IF($A298="","",$E298-$F298)</f>
        <v/>
      </c>
    </row>
    <row r="299" customFormat="false" ht="15" hidden="false" customHeight="true" outlineLevel="0" collapsed="false">
      <c r="A299" s="101" t="str">
        <f aca="false">IFERROR(INDEX(DITARI!$D$6:$D$550,MATCH(0,COUNTIF($A$1:A298,DITARI!$D$6:$D$550)+(DITARI!$D$6:$D$550=""),0)),"")</f>
        <v/>
      </c>
      <c r="B299" s="101" t="str">
        <f aca="false">IF($A299="","",IFERROR(VLOOKUP($A299,PLANI_LLOGARIVE!$A:$I,2,FALSE()),"⚠ Nuk është te PLANI_LLOGARIVE"))</f>
        <v/>
      </c>
      <c r="C299" s="101" t="str">
        <f aca="false">IF($A299="","",IFERROR(VLOOKUP($A299,PLANI_LLOGARIVE!$A:$I,9,FALSE()),""))</f>
        <v/>
      </c>
      <c r="D299" s="101" t="str">
        <f aca="false">IF($A299="","",COUNTIF(DITARI!$D:$D,$A299))</f>
        <v/>
      </c>
      <c r="E299" s="101" t="str">
        <f aca="false">IF($A299="","",SUMIFS(DITARI!$F:$F,DITARI!$D:$D,$A299))</f>
        <v/>
      </c>
      <c r="F299" s="101" t="str">
        <f aca="false">IF($A299="","",SUMIFS(DITARI!$G:$G,DITARI!$D:$D,$A299))</f>
        <v/>
      </c>
      <c r="G299" s="101" t="str">
        <f aca="false">IF($A299="","",$E299-$F299)</f>
        <v/>
      </c>
    </row>
    <row r="300" customFormat="false" ht="15" hidden="false" customHeight="true" outlineLevel="0" collapsed="false">
      <c r="A300" s="101" t="str">
        <f aca="false">IFERROR(INDEX(DITARI!$D$6:$D$550,MATCH(0,COUNTIF($A$1:A299,DITARI!$D$6:$D$550)+(DITARI!$D$6:$D$550=""),0)),"")</f>
        <v/>
      </c>
      <c r="B300" s="101" t="str">
        <f aca="false">IF($A300="","",IFERROR(VLOOKUP($A300,PLANI_LLOGARIVE!$A:$I,2,FALSE()),"⚠ Nuk është te PLANI_LLOGARIVE"))</f>
        <v/>
      </c>
      <c r="C300" s="101" t="str">
        <f aca="false">IF($A300="","",IFERROR(VLOOKUP($A300,PLANI_LLOGARIVE!$A:$I,9,FALSE()),""))</f>
        <v/>
      </c>
      <c r="D300" s="101" t="str">
        <f aca="false">IF($A300="","",COUNTIF(DITARI!$D:$D,$A300))</f>
        <v/>
      </c>
      <c r="E300" s="101" t="str">
        <f aca="false">IF($A300="","",SUMIFS(DITARI!$F:$F,DITARI!$D:$D,$A300))</f>
        <v/>
      </c>
      <c r="F300" s="101" t="str">
        <f aca="false">IF($A300="","",SUMIFS(DITARI!$G:$G,DITARI!$D:$D,$A300))</f>
        <v/>
      </c>
      <c r="G300" s="101" t="str">
        <f aca="false">IF($A300="","",$E300-$F300)</f>
        <v/>
      </c>
    </row>
    <row r="301" customFormat="false" ht="15" hidden="false" customHeight="true" outlineLevel="0" collapsed="false">
      <c r="A301" s="101" t="str">
        <f aca="false">IFERROR(INDEX(DITARI!$D$6:$D$550,MATCH(0,COUNTIF($A$1:A300,DITARI!$D$6:$D$550)+(DITARI!$D$6:$D$550=""),0)),"")</f>
        <v/>
      </c>
      <c r="B301" s="101" t="str">
        <f aca="false">IF($A301="","",IFERROR(VLOOKUP($A301,PLANI_LLOGARIVE!$A:$I,2,FALSE()),"⚠ Nuk është te PLANI_LLOGARIVE"))</f>
        <v/>
      </c>
      <c r="C301" s="101" t="str">
        <f aca="false">IF($A301="","",IFERROR(VLOOKUP($A301,PLANI_LLOGARIVE!$A:$I,9,FALSE()),""))</f>
        <v/>
      </c>
      <c r="D301" s="101" t="str">
        <f aca="false">IF($A301="","",COUNTIF(DITARI!$D:$D,$A301))</f>
        <v/>
      </c>
      <c r="E301" s="101" t="str">
        <f aca="false">IF($A301="","",SUMIFS(DITARI!$F:$F,DITARI!$D:$D,$A301))</f>
        <v/>
      </c>
      <c r="F301" s="101" t="str">
        <f aca="false">IF($A301="","",SUMIFS(DITARI!$G:$G,DITARI!$D:$D,$A301))</f>
        <v/>
      </c>
      <c r="G301" s="101" t="str">
        <f aca="false">IF($A301="","",$E301-$F301)</f>
        <v/>
      </c>
    </row>
    <row r="302" customFormat="false" ht="15" hidden="false" customHeight="true" outlineLevel="0" collapsed="false">
      <c r="A302" s="101" t="str">
        <f aca="false">IFERROR(INDEX(DITARI!$D$6:$D$550,MATCH(0,COUNTIF($A$1:A301,DITARI!$D$6:$D$550)+(DITARI!$D$6:$D$550=""),0)),"")</f>
        <v/>
      </c>
      <c r="B302" s="101" t="str">
        <f aca="false">IF($A302="","",IFERROR(VLOOKUP($A302,PLANI_LLOGARIVE!$A:$I,2,FALSE()),"⚠ Nuk është te PLANI_LLOGARIVE"))</f>
        <v/>
      </c>
      <c r="C302" s="101" t="str">
        <f aca="false">IF($A302="","",IFERROR(VLOOKUP($A302,PLANI_LLOGARIVE!$A:$I,9,FALSE()),""))</f>
        <v/>
      </c>
      <c r="D302" s="101" t="str">
        <f aca="false">IF($A302="","",COUNTIF(DITARI!$D:$D,$A302))</f>
        <v/>
      </c>
      <c r="E302" s="101" t="str">
        <f aca="false">IF($A302="","",SUMIFS(DITARI!$F:$F,DITARI!$D:$D,$A302))</f>
        <v/>
      </c>
      <c r="F302" s="101" t="str">
        <f aca="false">IF($A302="","",SUMIFS(DITARI!$G:$G,DITARI!$D:$D,$A302))</f>
        <v/>
      </c>
      <c r="G302" s="101" t="str">
        <f aca="false">IF($A302="","",$E302-$F302)</f>
        <v/>
      </c>
    </row>
    <row r="303" customFormat="false" ht="15" hidden="false" customHeight="true" outlineLevel="0" collapsed="false">
      <c r="A303" s="101" t="str">
        <f aca="false">IFERROR(INDEX(DITARI!$D$6:$D$550,MATCH(0,COUNTIF($A$1:A302,DITARI!$D$6:$D$550)+(DITARI!$D$6:$D$550=""),0)),"")</f>
        <v/>
      </c>
      <c r="B303" s="101" t="str">
        <f aca="false">IF($A303="","",IFERROR(VLOOKUP($A303,PLANI_LLOGARIVE!$A:$I,2,FALSE()),"⚠ Nuk është te PLANI_LLOGARIVE"))</f>
        <v/>
      </c>
      <c r="C303" s="101" t="str">
        <f aca="false">IF($A303="","",IFERROR(VLOOKUP($A303,PLANI_LLOGARIVE!$A:$I,9,FALSE()),""))</f>
        <v/>
      </c>
      <c r="D303" s="101" t="str">
        <f aca="false">IF($A303="","",COUNTIF(DITARI!$D:$D,$A303))</f>
        <v/>
      </c>
      <c r="E303" s="101" t="str">
        <f aca="false">IF($A303="","",SUMIFS(DITARI!$F:$F,DITARI!$D:$D,$A303))</f>
        <v/>
      </c>
      <c r="F303" s="101" t="str">
        <f aca="false">IF($A303="","",SUMIFS(DITARI!$G:$G,DITARI!$D:$D,$A303))</f>
        <v/>
      </c>
      <c r="G303" s="101" t="str">
        <f aca="false">IF($A303="","",$E303-$F303)</f>
        <v/>
      </c>
    </row>
    <row r="304" customFormat="false" ht="15" hidden="false" customHeight="true" outlineLevel="0" collapsed="false">
      <c r="A304" s="101" t="str">
        <f aca="false">IFERROR(INDEX(DITARI!$D$6:$D$550,MATCH(0,COUNTIF($A$1:A303,DITARI!$D$6:$D$550)+(DITARI!$D$6:$D$550=""),0)),"")</f>
        <v/>
      </c>
      <c r="B304" s="101" t="str">
        <f aca="false">IF($A304="","",IFERROR(VLOOKUP($A304,PLANI_LLOGARIVE!$A:$I,2,FALSE()),"⚠ Nuk është te PLANI_LLOGARIVE"))</f>
        <v/>
      </c>
      <c r="C304" s="101" t="str">
        <f aca="false">IF($A304="","",IFERROR(VLOOKUP($A304,PLANI_LLOGARIVE!$A:$I,9,FALSE()),""))</f>
        <v/>
      </c>
      <c r="D304" s="101" t="str">
        <f aca="false">IF($A304="","",COUNTIF(DITARI!$D:$D,$A304))</f>
        <v/>
      </c>
      <c r="E304" s="101" t="str">
        <f aca="false">IF($A304="","",SUMIFS(DITARI!$F:$F,DITARI!$D:$D,$A304))</f>
        <v/>
      </c>
      <c r="F304" s="101" t="str">
        <f aca="false">IF($A304="","",SUMIFS(DITARI!$G:$G,DITARI!$D:$D,$A304))</f>
        <v/>
      </c>
      <c r="G304" s="101" t="str">
        <f aca="false">IF($A304="","",$E304-$F304)</f>
        <v/>
      </c>
    </row>
    <row r="305" customFormat="false" ht="15" hidden="false" customHeight="true" outlineLevel="0" collapsed="false">
      <c r="A305" s="101" t="str">
        <f aca="false">IFERROR(INDEX(DITARI!$D$6:$D$550,MATCH(0,COUNTIF($A$1:A304,DITARI!$D$6:$D$550)+(DITARI!$D$6:$D$550=""),0)),"")</f>
        <v/>
      </c>
      <c r="B305" s="101" t="str">
        <f aca="false">IF($A305="","",IFERROR(VLOOKUP($A305,PLANI_LLOGARIVE!$A:$I,2,FALSE()),"⚠ Nuk është te PLANI_LLOGARIVE"))</f>
        <v/>
      </c>
      <c r="C305" s="101" t="str">
        <f aca="false">IF($A305="","",IFERROR(VLOOKUP($A305,PLANI_LLOGARIVE!$A:$I,9,FALSE()),""))</f>
        <v/>
      </c>
      <c r="D305" s="101" t="str">
        <f aca="false">IF($A305="","",COUNTIF(DITARI!$D:$D,$A305))</f>
        <v/>
      </c>
      <c r="E305" s="101" t="str">
        <f aca="false">IF($A305="","",SUMIFS(DITARI!$F:$F,DITARI!$D:$D,$A305))</f>
        <v/>
      </c>
      <c r="F305" s="101" t="str">
        <f aca="false">IF($A305="","",SUMIFS(DITARI!$G:$G,DITARI!$D:$D,$A305))</f>
        <v/>
      </c>
      <c r="G305" s="101" t="str">
        <f aca="false">IF($A305="","",$E305-$F305)</f>
        <v/>
      </c>
    </row>
    <row r="306" customFormat="false" ht="15" hidden="false" customHeight="true" outlineLevel="0" collapsed="false">
      <c r="A306" s="101" t="str">
        <f aca="false">IFERROR(INDEX(DITARI!$D$6:$D$550,MATCH(0,COUNTIF($A$1:A305,DITARI!$D$6:$D$550)+(DITARI!$D$6:$D$550=""),0)),"")</f>
        <v/>
      </c>
      <c r="B306" s="101" t="str">
        <f aca="false">IF($A306="","",IFERROR(VLOOKUP($A306,PLANI_LLOGARIVE!$A:$I,2,FALSE()),"⚠ Nuk është te PLANI_LLOGARIVE"))</f>
        <v/>
      </c>
      <c r="C306" s="101" t="str">
        <f aca="false">IF($A306="","",IFERROR(VLOOKUP($A306,PLANI_LLOGARIVE!$A:$I,9,FALSE()),""))</f>
        <v/>
      </c>
      <c r="D306" s="101" t="str">
        <f aca="false">IF($A306="","",COUNTIF(DITARI!$D:$D,$A306))</f>
        <v/>
      </c>
      <c r="E306" s="101" t="str">
        <f aca="false">IF($A306="","",SUMIFS(DITARI!$F:$F,DITARI!$D:$D,$A306))</f>
        <v/>
      </c>
      <c r="F306" s="101" t="str">
        <f aca="false">IF($A306="","",SUMIFS(DITARI!$G:$G,DITARI!$D:$D,$A306))</f>
        <v/>
      </c>
      <c r="G306" s="101" t="str">
        <f aca="false">IF($A306="","",$E306-$F306)</f>
        <v/>
      </c>
    </row>
    <row r="307" customFormat="false" ht="15" hidden="false" customHeight="true" outlineLevel="0" collapsed="false">
      <c r="A307" s="101" t="str">
        <f aca="false">IFERROR(INDEX(DITARI!$D$6:$D$550,MATCH(0,COUNTIF($A$1:A306,DITARI!$D$6:$D$550)+(DITARI!$D$6:$D$550=""),0)),"")</f>
        <v/>
      </c>
      <c r="B307" s="101" t="str">
        <f aca="false">IF($A307="","",IFERROR(VLOOKUP($A307,PLANI_LLOGARIVE!$A:$I,2,FALSE()),"⚠ Nuk është te PLANI_LLOGARIVE"))</f>
        <v/>
      </c>
      <c r="C307" s="101" t="str">
        <f aca="false">IF($A307="","",IFERROR(VLOOKUP($A307,PLANI_LLOGARIVE!$A:$I,9,FALSE()),""))</f>
        <v/>
      </c>
      <c r="D307" s="101" t="str">
        <f aca="false">IF($A307="","",COUNTIF(DITARI!$D:$D,$A307))</f>
        <v/>
      </c>
      <c r="E307" s="101" t="str">
        <f aca="false">IF($A307="","",SUMIFS(DITARI!$F:$F,DITARI!$D:$D,$A307))</f>
        <v/>
      </c>
      <c r="F307" s="101" t="str">
        <f aca="false">IF($A307="","",SUMIFS(DITARI!$G:$G,DITARI!$D:$D,$A307))</f>
        <v/>
      </c>
      <c r="G307" s="101" t="str">
        <f aca="false">IF($A307="","",$E307-$F307)</f>
        <v/>
      </c>
    </row>
    <row r="308" customFormat="false" ht="15" hidden="false" customHeight="true" outlineLevel="0" collapsed="false">
      <c r="A308" s="101" t="str">
        <f aca="false">IFERROR(INDEX(DITARI!$D$6:$D$550,MATCH(0,COUNTIF($A$1:A307,DITARI!$D$6:$D$550)+(DITARI!$D$6:$D$550=""),0)),"")</f>
        <v/>
      </c>
      <c r="B308" s="101" t="str">
        <f aca="false">IF($A308="","",IFERROR(VLOOKUP($A308,PLANI_LLOGARIVE!$A:$I,2,FALSE()),"⚠ Nuk është te PLANI_LLOGARIVE"))</f>
        <v/>
      </c>
      <c r="C308" s="101" t="str">
        <f aca="false">IF($A308="","",IFERROR(VLOOKUP($A308,PLANI_LLOGARIVE!$A:$I,9,FALSE()),""))</f>
        <v/>
      </c>
      <c r="D308" s="101" t="str">
        <f aca="false">IF($A308="","",COUNTIF(DITARI!$D:$D,$A308))</f>
        <v/>
      </c>
      <c r="E308" s="101" t="str">
        <f aca="false">IF($A308="","",SUMIFS(DITARI!$F:$F,DITARI!$D:$D,$A308))</f>
        <v/>
      </c>
      <c r="F308" s="101" t="str">
        <f aca="false">IF($A308="","",SUMIFS(DITARI!$G:$G,DITARI!$D:$D,$A308))</f>
        <v/>
      </c>
      <c r="G308" s="101" t="str">
        <f aca="false">IF($A308="","",$E308-$F308)</f>
        <v/>
      </c>
    </row>
    <row r="309" customFormat="false" ht="15" hidden="false" customHeight="true" outlineLevel="0" collapsed="false">
      <c r="A309" s="101" t="str">
        <f aca="false">IFERROR(INDEX(DITARI!$D$6:$D$550,MATCH(0,COUNTIF($A$1:A308,DITARI!$D$6:$D$550)+(DITARI!$D$6:$D$550=""),0)),"")</f>
        <v/>
      </c>
      <c r="B309" s="101" t="str">
        <f aca="false">IF($A309="","",IFERROR(VLOOKUP($A309,PLANI_LLOGARIVE!$A:$I,2,FALSE()),"⚠ Nuk është te PLANI_LLOGARIVE"))</f>
        <v/>
      </c>
      <c r="C309" s="101" t="str">
        <f aca="false">IF($A309="","",IFERROR(VLOOKUP($A309,PLANI_LLOGARIVE!$A:$I,9,FALSE()),""))</f>
        <v/>
      </c>
      <c r="D309" s="101" t="str">
        <f aca="false">IF($A309="","",COUNTIF(DITARI!$D:$D,$A309))</f>
        <v/>
      </c>
      <c r="E309" s="101" t="str">
        <f aca="false">IF($A309="","",SUMIFS(DITARI!$F:$F,DITARI!$D:$D,$A309))</f>
        <v/>
      </c>
      <c r="F309" s="101" t="str">
        <f aca="false">IF($A309="","",SUMIFS(DITARI!$G:$G,DITARI!$D:$D,$A309))</f>
        <v/>
      </c>
      <c r="G309" s="101" t="str">
        <f aca="false">IF($A309="","",$E309-$F309)</f>
        <v/>
      </c>
    </row>
    <row r="310" customFormat="false" ht="15" hidden="false" customHeight="true" outlineLevel="0" collapsed="false">
      <c r="A310" s="101" t="str">
        <f aca="false">IFERROR(INDEX(DITARI!$D$6:$D$550,MATCH(0,COUNTIF($A$1:A309,DITARI!$D$6:$D$550)+(DITARI!$D$6:$D$550=""),0)),"")</f>
        <v/>
      </c>
      <c r="B310" s="101" t="str">
        <f aca="false">IF($A310="","",IFERROR(VLOOKUP($A310,PLANI_LLOGARIVE!$A:$I,2,FALSE()),"⚠ Nuk është te PLANI_LLOGARIVE"))</f>
        <v/>
      </c>
      <c r="C310" s="101" t="str">
        <f aca="false">IF($A310="","",IFERROR(VLOOKUP($A310,PLANI_LLOGARIVE!$A:$I,9,FALSE()),""))</f>
        <v/>
      </c>
      <c r="D310" s="101" t="str">
        <f aca="false">IF($A310="","",COUNTIF(DITARI!$D:$D,$A310))</f>
        <v/>
      </c>
      <c r="E310" s="101" t="str">
        <f aca="false">IF($A310="","",SUMIFS(DITARI!$F:$F,DITARI!$D:$D,$A310))</f>
        <v/>
      </c>
      <c r="F310" s="101" t="str">
        <f aca="false">IF($A310="","",SUMIFS(DITARI!$G:$G,DITARI!$D:$D,$A310))</f>
        <v/>
      </c>
      <c r="G310" s="101" t="str">
        <f aca="false">IF($A310="","",$E310-$F310)</f>
        <v/>
      </c>
    </row>
    <row r="311" customFormat="false" ht="15" hidden="false" customHeight="true" outlineLevel="0" collapsed="false">
      <c r="A311" s="101" t="str">
        <f aca="false">IFERROR(INDEX(DITARI!$D$6:$D$550,MATCH(0,COUNTIF($A$1:A310,DITARI!$D$6:$D$550)+(DITARI!$D$6:$D$550=""),0)),"")</f>
        <v/>
      </c>
      <c r="B311" s="101" t="str">
        <f aca="false">IF($A311="","",IFERROR(VLOOKUP($A311,PLANI_LLOGARIVE!$A:$I,2,FALSE()),"⚠ Nuk është te PLANI_LLOGARIVE"))</f>
        <v/>
      </c>
      <c r="C311" s="101" t="str">
        <f aca="false">IF($A311="","",IFERROR(VLOOKUP($A311,PLANI_LLOGARIVE!$A:$I,9,FALSE()),""))</f>
        <v/>
      </c>
      <c r="D311" s="101" t="str">
        <f aca="false">IF($A311="","",COUNTIF(DITARI!$D:$D,$A311))</f>
        <v/>
      </c>
      <c r="E311" s="101" t="str">
        <f aca="false">IF($A311="","",SUMIFS(DITARI!$F:$F,DITARI!$D:$D,$A311))</f>
        <v/>
      </c>
      <c r="F311" s="101" t="str">
        <f aca="false">IF($A311="","",SUMIFS(DITARI!$G:$G,DITARI!$D:$D,$A311))</f>
        <v/>
      </c>
      <c r="G311" s="101" t="str">
        <f aca="false">IF($A311="","",$E311-$F311)</f>
        <v/>
      </c>
    </row>
    <row r="312" customFormat="false" ht="15" hidden="false" customHeight="true" outlineLevel="0" collapsed="false">
      <c r="A312" s="101" t="str">
        <f aca="false">IFERROR(INDEX(DITARI!$D$6:$D$550,MATCH(0,COUNTIF($A$1:A311,DITARI!$D$6:$D$550)+(DITARI!$D$6:$D$550=""),0)),"")</f>
        <v/>
      </c>
      <c r="B312" s="101" t="str">
        <f aca="false">IF($A312="","",IFERROR(VLOOKUP($A312,PLANI_LLOGARIVE!$A:$I,2,FALSE()),"⚠ Nuk është te PLANI_LLOGARIVE"))</f>
        <v/>
      </c>
      <c r="C312" s="101" t="str">
        <f aca="false">IF($A312="","",IFERROR(VLOOKUP($A312,PLANI_LLOGARIVE!$A:$I,9,FALSE()),""))</f>
        <v/>
      </c>
      <c r="D312" s="101" t="str">
        <f aca="false">IF($A312="","",COUNTIF(DITARI!$D:$D,$A312))</f>
        <v/>
      </c>
      <c r="E312" s="101" t="str">
        <f aca="false">IF($A312="","",SUMIFS(DITARI!$F:$F,DITARI!$D:$D,$A312))</f>
        <v/>
      </c>
      <c r="F312" s="101" t="str">
        <f aca="false">IF($A312="","",SUMIFS(DITARI!$G:$G,DITARI!$D:$D,$A312))</f>
        <v/>
      </c>
      <c r="G312" s="101" t="str">
        <f aca="false">IF($A312="","",$E312-$F312)</f>
        <v/>
      </c>
    </row>
    <row r="313" customFormat="false" ht="15" hidden="false" customHeight="true" outlineLevel="0" collapsed="false">
      <c r="A313" s="101" t="str">
        <f aca="false">IFERROR(INDEX(DITARI!$D$6:$D$550,MATCH(0,COUNTIF($A$1:A312,DITARI!$D$6:$D$550)+(DITARI!$D$6:$D$550=""),0)),"")</f>
        <v/>
      </c>
      <c r="B313" s="101" t="str">
        <f aca="false">IF($A313="","",IFERROR(VLOOKUP($A313,PLANI_LLOGARIVE!$A:$I,2,FALSE()),"⚠ Nuk është te PLANI_LLOGARIVE"))</f>
        <v/>
      </c>
      <c r="C313" s="101" t="str">
        <f aca="false">IF($A313="","",IFERROR(VLOOKUP($A313,PLANI_LLOGARIVE!$A:$I,9,FALSE()),""))</f>
        <v/>
      </c>
      <c r="D313" s="101" t="str">
        <f aca="false">IF($A313="","",COUNTIF(DITARI!$D:$D,$A313))</f>
        <v/>
      </c>
      <c r="E313" s="101" t="str">
        <f aca="false">IF($A313="","",SUMIFS(DITARI!$F:$F,DITARI!$D:$D,$A313))</f>
        <v/>
      </c>
      <c r="F313" s="101" t="str">
        <f aca="false">IF($A313="","",SUMIFS(DITARI!$G:$G,DITARI!$D:$D,$A313))</f>
        <v/>
      </c>
      <c r="G313" s="101" t="str">
        <f aca="false">IF($A313="","",$E313-$F313)</f>
        <v/>
      </c>
    </row>
    <row r="314" customFormat="false" ht="15" hidden="false" customHeight="true" outlineLevel="0" collapsed="false">
      <c r="A314" s="101" t="str">
        <f aca="false">IFERROR(INDEX(DITARI!$D$6:$D$550,MATCH(0,COUNTIF($A$1:A313,DITARI!$D$6:$D$550)+(DITARI!$D$6:$D$550=""),0)),"")</f>
        <v/>
      </c>
      <c r="B314" s="101" t="str">
        <f aca="false">IF($A314="","",IFERROR(VLOOKUP($A314,PLANI_LLOGARIVE!$A:$I,2,FALSE()),"⚠ Nuk është te PLANI_LLOGARIVE"))</f>
        <v/>
      </c>
      <c r="C314" s="101" t="str">
        <f aca="false">IF($A314="","",IFERROR(VLOOKUP($A314,PLANI_LLOGARIVE!$A:$I,9,FALSE()),""))</f>
        <v/>
      </c>
      <c r="D314" s="101" t="str">
        <f aca="false">IF($A314="","",COUNTIF(DITARI!$D:$D,$A314))</f>
        <v/>
      </c>
      <c r="E314" s="101" t="str">
        <f aca="false">IF($A314="","",SUMIFS(DITARI!$F:$F,DITARI!$D:$D,$A314))</f>
        <v/>
      </c>
      <c r="F314" s="101" t="str">
        <f aca="false">IF($A314="","",SUMIFS(DITARI!$G:$G,DITARI!$D:$D,$A314))</f>
        <v/>
      </c>
      <c r="G314" s="101" t="str">
        <f aca="false">IF($A314="","",$E314-$F314)</f>
        <v/>
      </c>
    </row>
    <row r="315" customFormat="false" ht="15" hidden="false" customHeight="true" outlineLevel="0" collapsed="false">
      <c r="A315" s="101" t="str">
        <f aca="false">IFERROR(INDEX(DITARI!$D$6:$D$550,MATCH(0,COUNTIF($A$1:A314,DITARI!$D$6:$D$550)+(DITARI!$D$6:$D$550=""),0)),"")</f>
        <v/>
      </c>
      <c r="B315" s="101" t="str">
        <f aca="false">IF($A315="","",IFERROR(VLOOKUP($A315,PLANI_LLOGARIVE!$A:$I,2,FALSE()),"⚠ Nuk është te PLANI_LLOGARIVE"))</f>
        <v/>
      </c>
      <c r="C315" s="101" t="str">
        <f aca="false">IF($A315="","",IFERROR(VLOOKUP($A315,PLANI_LLOGARIVE!$A:$I,9,FALSE()),""))</f>
        <v/>
      </c>
      <c r="D315" s="101" t="str">
        <f aca="false">IF($A315="","",COUNTIF(DITARI!$D:$D,$A315))</f>
        <v/>
      </c>
      <c r="E315" s="101" t="str">
        <f aca="false">IF($A315="","",SUMIFS(DITARI!$F:$F,DITARI!$D:$D,$A315))</f>
        <v/>
      </c>
      <c r="F315" s="101" t="str">
        <f aca="false">IF($A315="","",SUMIFS(DITARI!$G:$G,DITARI!$D:$D,$A315))</f>
        <v/>
      </c>
      <c r="G315" s="101" t="str">
        <f aca="false">IF($A315="","",$E315-$F315)</f>
        <v/>
      </c>
    </row>
    <row r="316" customFormat="false" ht="15" hidden="false" customHeight="true" outlineLevel="0" collapsed="false">
      <c r="A316" s="101" t="str">
        <f aca="false">IFERROR(INDEX(DITARI!$D$6:$D$550,MATCH(0,COUNTIF($A$1:A315,DITARI!$D$6:$D$550)+(DITARI!$D$6:$D$550=""),0)),"")</f>
        <v/>
      </c>
      <c r="B316" s="101" t="str">
        <f aca="false">IF($A316="","",IFERROR(VLOOKUP($A316,PLANI_LLOGARIVE!$A:$I,2,FALSE()),"⚠ Nuk është te PLANI_LLOGARIVE"))</f>
        <v/>
      </c>
      <c r="C316" s="101" t="str">
        <f aca="false">IF($A316="","",IFERROR(VLOOKUP($A316,PLANI_LLOGARIVE!$A:$I,9,FALSE()),""))</f>
        <v/>
      </c>
      <c r="D316" s="101" t="str">
        <f aca="false">IF($A316="","",COUNTIF(DITARI!$D:$D,$A316))</f>
        <v/>
      </c>
      <c r="E316" s="101" t="str">
        <f aca="false">IF($A316="","",SUMIFS(DITARI!$F:$F,DITARI!$D:$D,$A316))</f>
        <v/>
      </c>
      <c r="F316" s="101" t="str">
        <f aca="false">IF($A316="","",SUMIFS(DITARI!$G:$G,DITARI!$D:$D,$A316))</f>
        <v/>
      </c>
      <c r="G316" s="101" t="str">
        <f aca="false">IF($A316="","",$E316-$F316)</f>
        <v/>
      </c>
    </row>
    <row r="317" customFormat="false" ht="15" hidden="false" customHeight="true" outlineLevel="0" collapsed="false">
      <c r="A317" s="101" t="str">
        <f aca="false">IFERROR(INDEX(DITARI!$D$6:$D$550,MATCH(0,COUNTIF($A$1:A316,DITARI!$D$6:$D$550)+(DITARI!$D$6:$D$550=""),0)),"")</f>
        <v/>
      </c>
      <c r="B317" s="101" t="str">
        <f aca="false">IF($A317="","",IFERROR(VLOOKUP($A317,PLANI_LLOGARIVE!$A:$I,2,FALSE()),"⚠ Nuk është te PLANI_LLOGARIVE"))</f>
        <v/>
      </c>
      <c r="C317" s="101" t="str">
        <f aca="false">IF($A317="","",IFERROR(VLOOKUP($A317,PLANI_LLOGARIVE!$A:$I,9,FALSE()),""))</f>
        <v/>
      </c>
      <c r="D317" s="101" t="str">
        <f aca="false">IF($A317="","",COUNTIF(DITARI!$D:$D,$A317))</f>
        <v/>
      </c>
      <c r="E317" s="101" t="str">
        <f aca="false">IF($A317="","",SUMIFS(DITARI!$F:$F,DITARI!$D:$D,$A317))</f>
        <v/>
      </c>
      <c r="F317" s="101" t="str">
        <f aca="false">IF($A317="","",SUMIFS(DITARI!$G:$G,DITARI!$D:$D,$A317))</f>
        <v/>
      </c>
      <c r="G317" s="101" t="str">
        <f aca="false">IF($A317="","",$E317-$F317)</f>
        <v/>
      </c>
    </row>
    <row r="318" customFormat="false" ht="15" hidden="false" customHeight="true" outlineLevel="0" collapsed="false">
      <c r="A318" s="101" t="str">
        <f aca="false">IFERROR(INDEX(DITARI!$D$6:$D$550,MATCH(0,COUNTIF($A$1:A317,DITARI!$D$6:$D$550)+(DITARI!$D$6:$D$550=""),0)),"")</f>
        <v/>
      </c>
      <c r="B318" s="101" t="str">
        <f aca="false">IF($A318="","",IFERROR(VLOOKUP($A318,PLANI_LLOGARIVE!$A:$I,2,FALSE()),"⚠ Nuk është te PLANI_LLOGARIVE"))</f>
        <v/>
      </c>
      <c r="C318" s="101" t="str">
        <f aca="false">IF($A318="","",IFERROR(VLOOKUP($A318,PLANI_LLOGARIVE!$A:$I,9,FALSE()),""))</f>
        <v/>
      </c>
      <c r="D318" s="101" t="str">
        <f aca="false">IF($A318="","",COUNTIF(DITARI!$D:$D,$A318))</f>
        <v/>
      </c>
      <c r="E318" s="101" t="str">
        <f aca="false">IF($A318="","",SUMIFS(DITARI!$F:$F,DITARI!$D:$D,$A318))</f>
        <v/>
      </c>
      <c r="F318" s="101" t="str">
        <f aca="false">IF($A318="","",SUMIFS(DITARI!$G:$G,DITARI!$D:$D,$A318))</f>
        <v/>
      </c>
      <c r="G318" s="101" t="str">
        <f aca="false">IF($A318="","",$E318-$F318)</f>
        <v/>
      </c>
    </row>
    <row r="319" customFormat="false" ht="15" hidden="false" customHeight="true" outlineLevel="0" collapsed="false">
      <c r="A319" s="101" t="str">
        <f aca="false">IFERROR(INDEX(DITARI!$D$6:$D$550,MATCH(0,COUNTIF($A$1:A318,DITARI!$D$6:$D$550)+(DITARI!$D$6:$D$550=""),0)),"")</f>
        <v/>
      </c>
      <c r="B319" s="101" t="str">
        <f aca="false">IF($A319="","",IFERROR(VLOOKUP($A319,PLANI_LLOGARIVE!$A:$I,2,FALSE()),"⚠ Nuk është te PLANI_LLOGARIVE"))</f>
        <v/>
      </c>
      <c r="C319" s="101" t="str">
        <f aca="false">IF($A319="","",IFERROR(VLOOKUP($A319,PLANI_LLOGARIVE!$A:$I,9,FALSE()),""))</f>
        <v/>
      </c>
      <c r="D319" s="101" t="str">
        <f aca="false">IF($A319="","",COUNTIF(DITARI!$D:$D,$A319))</f>
        <v/>
      </c>
      <c r="E319" s="101" t="str">
        <f aca="false">IF($A319="","",SUMIFS(DITARI!$F:$F,DITARI!$D:$D,$A319))</f>
        <v/>
      </c>
      <c r="F319" s="101" t="str">
        <f aca="false">IF($A319="","",SUMIFS(DITARI!$G:$G,DITARI!$D:$D,$A319))</f>
        <v/>
      </c>
      <c r="G319" s="101" t="str">
        <f aca="false">IF($A319="","",$E319-$F319)</f>
        <v/>
      </c>
    </row>
    <row r="320" customFormat="false" ht="15" hidden="false" customHeight="true" outlineLevel="0" collapsed="false">
      <c r="A320" s="101" t="str">
        <f aca="false">IFERROR(INDEX(DITARI!$D$6:$D$550,MATCH(0,COUNTIF($A$1:A319,DITARI!$D$6:$D$550)+(DITARI!$D$6:$D$550=""),0)),"")</f>
        <v/>
      </c>
      <c r="B320" s="101" t="str">
        <f aca="false">IF($A320="","",IFERROR(VLOOKUP($A320,PLANI_LLOGARIVE!$A:$I,2,FALSE()),"⚠ Nuk është te PLANI_LLOGARIVE"))</f>
        <v/>
      </c>
      <c r="C320" s="101" t="str">
        <f aca="false">IF($A320="","",IFERROR(VLOOKUP($A320,PLANI_LLOGARIVE!$A:$I,9,FALSE()),""))</f>
        <v/>
      </c>
      <c r="D320" s="101" t="str">
        <f aca="false">IF($A320="","",COUNTIF(DITARI!$D:$D,$A320))</f>
        <v/>
      </c>
      <c r="E320" s="101" t="str">
        <f aca="false">IF($A320="","",SUMIFS(DITARI!$F:$F,DITARI!$D:$D,$A320))</f>
        <v/>
      </c>
      <c r="F320" s="101" t="str">
        <f aca="false">IF($A320="","",SUMIFS(DITARI!$G:$G,DITARI!$D:$D,$A320))</f>
        <v/>
      </c>
      <c r="G320" s="101" t="str">
        <f aca="false">IF($A320="","",$E320-$F320)</f>
        <v/>
      </c>
    </row>
    <row r="321" customFormat="false" ht="15" hidden="false" customHeight="true" outlineLevel="0" collapsed="false">
      <c r="A321" s="101" t="str">
        <f aca="false">IFERROR(INDEX(DITARI!$D$6:$D$550,MATCH(0,COUNTIF($A$1:A320,DITARI!$D$6:$D$550)+(DITARI!$D$6:$D$550=""),0)),"")</f>
        <v/>
      </c>
      <c r="B321" s="101" t="str">
        <f aca="false">IF($A321="","",IFERROR(VLOOKUP($A321,PLANI_LLOGARIVE!$A:$I,2,FALSE()),"⚠ Nuk është te PLANI_LLOGARIVE"))</f>
        <v/>
      </c>
      <c r="C321" s="101" t="str">
        <f aca="false">IF($A321="","",IFERROR(VLOOKUP($A321,PLANI_LLOGARIVE!$A:$I,9,FALSE()),""))</f>
        <v/>
      </c>
      <c r="D321" s="101" t="str">
        <f aca="false">IF($A321="","",COUNTIF(DITARI!$D:$D,$A321))</f>
        <v/>
      </c>
      <c r="E321" s="101" t="str">
        <f aca="false">IF($A321="","",SUMIFS(DITARI!$F:$F,DITARI!$D:$D,$A321))</f>
        <v/>
      </c>
      <c r="F321" s="101" t="str">
        <f aca="false">IF($A321="","",SUMIFS(DITARI!$G:$G,DITARI!$D:$D,$A321))</f>
        <v/>
      </c>
      <c r="G321" s="101" t="str">
        <f aca="false">IF($A321="","",$E321-$F321)</f>
        <v/>
      </c>
    </row>
    <row r="322" customFormat="false" ht="15" hidden="false" customHeight="true" outlineLevel="0" collapsed="false">
      <c r="A322" s="101" t="str">
        <f aca="false">IFERROR(INDEX(DITARI!$D$6:$D$550,MATCH(0,COUNTIF($A$1:A321,DITARI!$D$6:$D$550)+(DITARI!$D$6:$D$550=""),0)),"")</f>
        <v/>
      </c>
      <c r="B322" s="101" t="str">
        <f aca="false">IF($A322="","",IFERROR(VLOOKUP($A322,PLANI_LLOGARIVE!$A:$I,2,FALSE()),"⚠ Nuk është te PLANI_LLOGARIVE"))</f>
        <v/>
      </c>
      <c r="C322" s="101" t="str">
        <f aca="false">IF($A322="","",IFERROR(VLOOKUP($A322,PLANI_LLOGARIVE!$A:$I,9,FALSE()),""))</f>
        <v/>
      </c>
      <c r="D322" s="101" t="str">
        <f aca="false">IF($A322="","",COUNTIF(DITARI!$D:$D,$A322))</f>
        <v/>
      </c>
      <c r="E322" s="101" t="str">
        <f aca="false">IF($A322="","",SUMIFS(DITARI!$F:$F,DITARI!$D:$D,$A322))</f>
        <v/>
      </c>
      <c r="F322" s="101" t="str">
        <f aca="false">IF($A322="","",SUMIFS(DITARI!$G:$G,DITARI!$D:$D,$A322))</f>
        <v/>
      </c>
      <c r="G322" s="101" t="str">
        <f aca="false">IF($A322="","",$E322-$F322)</f>
        <v/>
      </c>
    </row>
    <row r="323" customFormat="false" ht="15" hidden="false" customHeight="true" outlineLevel="0" collapsed="false">
      <c r="A323" s="101" t="str">
        <f aca="false">IFERROR(INDEX(DITARI!$D$6:$D$550,MATCH(0,COUNTIF($A$1:A322,DITARI!$D$6:$D$550)+(DITARI!$D$6:$D$550=""),0)),"")</f>
        <v/>
      </c>
      <c r="B323" s="101" t="str">
        <f aca="false">IF($A323="","",IFERROR(VLOOKUP($A323,PLANI_LLOGARIVE!$A:$I,2,FALSE()),"⚠ Nuk është te PLANI_LLOGARIVE"))</f>
        <v/>
      </c>
      <c r="C323" s="101" t="str">
        <f aca="false">IF($A323="","",IFERROR(VLOOKUP($A323,PLANI_LLOGARIVE!$A:$I,9,FALSE()),""))</f>
        <v/>
      </c>
      <c r="D323" s="101" t="str">
        <f aca="false">IF($A323="","",COUNTIF(DITARI!$D:$D,$A323))</f>
        <v/>
      </c>
      <c r="E323" s="101" t="str">
        <f aca="false">IF($A323="","",SUMIFS(DITARI!$F:$F,DITARI!$D:$D,$A323))</f>
        <v/>
      </c>
      <c r="F323" s="101" t="str">
        <f aca="false">IF($A323="","",SUMIFS(DITARI!$G:$G,DITARI!$D:$D,$A323))</f>
        <v/>
      </c>
      <c r="G323" s="101" t="str">
        <f aca="false">IF($A323="","",$E323-$F323)</f>
        <v/>
      </c>
    </row>
    <row r="324" customFormat="false" ht="15" hidden="false" customHeight="true" outlineLevel="0" collapsed="false">
      <c r="A324" s="101" t="str">
        <f aca="false">IFERROR(INDEX(DITARI!$D$6:$D$550,MATCH(0,COUNTIF($A$1:A323,DITARI!$D$6:$D$550)+(DITARI!$D$6:$D$550=""),0)),"")</f>
        <v/>
      </c>
      <c r="B324" s="101" t="str">
        <f aca="false">IF($A324="","",IFERROR(VLOOKUP($A324,PLANI_LLOGARIVE!$A:$I,2,FALSE()),"⚠ Nuk është te PLANI_LLOGARIVE"))</f>
        <v/>
      </c>
      <c r="C324" s="101" t="str">
        <f aca="false">IF($A324="","",IFERROR(VLOOKUP($A324,PLANI_LLOGARIVE!$A:$I,9,FALSE()),""))</f>
        <v/>
      </c>
      <c r="D324" s="101" t="str">
        <f aca="false">IF($A324="","",COUNTIF(DITARI!$D:$D,$A324))</f>
        <v/>
      </c>
      <c r="E324" s="101" t="str">
        <f aca="false">IF($A324="","",SUMIFS(DITARI!$F:$F,DITARI!$D:$D,$A324))</f>
        <v/>
      </c>
      <c r="F324" s="101" t="str">
        <f aca="false">IF($A324="","",SUMIFS(DITARI!$G:$G,DITARI!$D:$D,$A324))</f>
        <v/>
      </c>
      <c r="G324" s="101" t="str">
        <f aca="false">IF($A324="","",$E324-$F324)</f>
        <v/>
      </c>
    </row>
    <row r="325" customFormat="false" ht="15" hidden="false" customHeight="true" outlineLevel="0" collapsed="false">
      <c r="A325" s="101" t="str">
        <f aca="false">IFERROR(INDEX(DITARI!$D$6:$D$550,MATCH(0,COUNTIF($A$1:A324,DITARI!$D$6:$D$550)+(DITARI!$D$6:$D$550=""),0)),"")</f>
        <v/>
      </c>
      <c r="B325" s="101" t="str">
        <f aca="false">IF($A325="","",IFERROR(VLOOKUP($A325,PLANI_LLOGARIVE!$A:$I,2,FALSE()),"⚠ Nuk është te PLANI_LLOGARIVE"))</f>
        <v/>
      </c>
      <c r="C325" s="101" t="str">
        <f aca="false">IF($A325="","",IFERROR(VLOOKUP($A325,PLANI_LLOGARIVE!$A:$I,9,FALSE()),""))</f>
        <v/>
      </c>
      <c r="D325" s="101" t="str">
        <f aca="false">IF($A325="","",COUNTIF(DITARI!$D:$D,$A325))</f>
        <v/>
      </c>
      <c r="E325" s="101" t="str">
        <f aca="false">IF($A325="","",SUMIFS(DITARI!$F:$F,DITARI!$D:$D,$A325))</f>
        <v/>
      </c>
      <c r="F325" s="101" t="str">
        <f aca="false">IF($A325="","",SUMIFS(DITARI!$G:$G,DITARI!$D:$D,$A325))</f>
        <v/>
      </c>
      <c r="G325" s="101" t="str">
        <f aca="false">IF($A325="","",$E325-$F325)</f>
        <v/>
      </c>
    </row>
    <row r="326" customFormat="false" ht="15" hidden="false" customHeight="true" outlineLevel="0" collapsed="false">
      <c r="A326" s="101" t="str">
        <f aca="false">IFERROR(INDEX(DITARI!$D$6:$D$550,MATCH(0,COUNTIF($A$1:A325,DITARI!$D$6:$D$550)+(DITARI!$D$6:$D$550=""),0)),"")</f>
        <v/>
      </c>
      <c r="B326" s="101" t="str">
        <f aca="false">IF($A326="","",IFERROR(VLOOKUP($A326,PLANI_LLOGARIVE!$A:$I,2,FALSE()),"⚠ Nuk është te PLANI_LLOGARIVE"))</f>
        <v/>
      </c>
      <c r="C326" s="101" t="str">
        <f aca="false">IF($A326="","",IFERROR(VLOOKUP($A326,PLANI_LLOGARIVE!$A:$I,9,FALSE()),""))</f>
        <v/>
      </c>
      <c r="D326" s="101" t="str">
        <f aca="false">IF($A326="","",COUNTIF(DITARI!$D:$D,$A326))</f>
        <v/>
      </c>
      <c r="E326" s="101" t="str">
        <f aca="false">IF($A326="","",SUMIFS(DITARI!$F:$F,DITARI!$D:$D,$A326))</f>
        <v/>
      </c>
      <c r="F326" s="101" t="str">
        <f aca="false">IF($A326="","",SUMIFS(DITARI!$G:$G,DITARI!$D:$D,$A326))</f>
        <v/>
      </c>
      <c r="G326" s="101" t="str">
        <f aca="false">IF($A326="","",$E326-$F326)</f>
        <v/>
      </c>
    </row>
    <row r="327" customFormat="false" ht="15" hidden="false" customHeight="true" outlineLevel="0" collapsed="false">
      <c r="A327" s="101" t="str">
        <f aca="false">IFERROR(INDEX(DITARI!$D$6:$D$550,MATCH(0,COUNTIF($A$1:A326,DITARI!$D$6:$D$550)+(DITARI!$D$6:$D$550=""),0)),"")</f>
        <v/>
      </c>
      <c r="B327" s="101" t="str">
        <f aca="false">IF($A327="","",IFERROR(VLOOKUP($A327,PLANI_LLOGARIVE!$A:$I,2,FALSE()),"⚠ Nuk është te PLANI_LLOGARIVE"))</f>
        <v/>
      </c>
      <c r="C327" s="101" t="str">
        <f aca="false">IF($A327="","",IFERROR(VLOOKUP($A327,PLANI_LLOGARIVE!$A:$I,9,FALSE()),""))</f>
        <v/>
      </c>
      <c r="D327" s="101" t="str">
        <f aca="false">IF($A327="","",COUNTIF(DITARI!$D:$D,$A327))</f>
        <v/>
      </c>
      <c r="E327" s="101" t="str">
        <f aca="false">IF($A327="","",SUMIFS(DITARI!$F:$F,DITARI!$D:$D,$A327))</f>
        <v/>
      </c>
      <c r="F327" s="101" t="str">
        <f aca="false">IF($A327="","",SUMIFS(DITARI!$G:$G,DITARI!$D:$D,$A327))</f>
        <v/>
      </c>
      <c r="G327" s="101" t="str">
        <f aca="false">IF($A327="","",$E327-$F327)</f>
        <v/>
      </c>
    </row>
    <row r="328" customFormat="false" ht="15" hidden="false" customHeight="true" outlineLevel="0" collapsed="false">
      <c r="A328" s="101" t="str">
        <f aca="false">IFERROR(INDEX(DITARI!$D$6:$D$550,MATCH(0,COUNTIF($A$1:A327,DITARI!$D$6:$D$550)+(DITARI!$D$6:$D$550=""),0)),"")</f>
        <v/>
      </c>
      <c r="B328" s="101" t="str">
        <f aca="false">IF($A328="","",IFERROR(VLOOKUP($A328,PLANI_LLOGARIVE!$A:$I,2,FALSE()),"⚠ Nuk është te PLANI_LLOGARIVE"))</f>
        <v/>
      </c>
      <c r="C328" s="101" t="str">
        <f aca="false">IF($A328="","",IFERROR(VLOOKUP($A328,PLANI_LLOGARIVE!$A:$I,9,FALSE()),""))</f>
        <v/>
      </c>
      <c r="D328" s="101" t="str">
        <f aca="false">IF($A328="","",COUNTIF(DITARI!$D:$D,$A328))</f>
        <v/>
      </c>
      <c r="E328" s="101" t="str">
        <f aca="false">IF($A328="","",SUMIFS(DITARI!$F:$F,DITARI!$D:$D,$A328))</f>
        <v/>
      </c>
      <c r="F328" s="101" t="str">
        <f aca="false">IF($A328="","",SUMIFS(DITARI!$G:$G,DITARI!$D:$D,$A328))</f>
        <v/>
      </c>
      <c r="G328" s="101" t="str">
        <f aca="false">IF($A328="","",$E328-$F328)</f>
        <v/>
      </c>
    </row>
    <row r="329" customFormat="false" ht="15" hidden="false" customHeight="true" outlineLevel="0" collapsed="false">
      <c r="A329" s="101" t="str">
        <f aca="false">IFERROR(INDEX(DITARI!$D$6:$D$550,MATCH(0,COUNTIF($A$1:A328,DITARI!$D$6:$D$550)+(DITARI!$D$6:$D$550=""),0)),"")</f>
        <v/>
      </c>
      <c r="B329" s="101" t="str">
        <f aca="false">IF($A329="","",IFERROR(VLOOKUP($A329,PLANI_LLOGARIVE!$A:$I,2,FALSE()),"⚠ Nuk është te PLANI_LLOGARIVE"))</f>
        <v/>
      </c>
      <c r="C329" s="101" t="str">
        <f aca="false">IF($A329="","",IFERROR(VLOOKUP($A329,PLANI_LLOGARIVE!$A:$I,9,FALSE()),""))</f>
        <v/>
      </c>
      <c r="D329" s="101" t="str">
        <f aca="false">IF($A329="","",COUNTIF(DITARI!$D:$D,$A329))</f>
        <v/>
      </c>
      <c r="E329" s="101" t="str">
        <f aca="false">IF($A329="","",SUMIFS(DITARI!$F:$F,DITARI!$D:$D,$A329))</f>
        <v/>
      </c>
      <c r="F329" s="101" t="str">
        <f aca="false">IF($A329="","",SUMIFS(DITARI!$G:$G,DITARI!$D:$D,$A329))</f>
        <v/>
      </c>
      <c r="G329" s="101" t="str">
        <f aca="false">IF($A329="","",$E329-$F329)</f>
        <v/>
      </c>
    </row>
    <row r="330" customFormat="false" ht="15" hidden="false" customHeight="true" outlineLevel="0" collapsed="false">
      <c r="A330" s="101" t="str">
        <f aca="false">IFERROR(INDEX(DITARI!$D$6:$D$550,MATCH(0,COUNTIF($A$1:A329,DITARI!$D$6:$D$550)+(DITARI!$D$6:$D$550=""),0)),"")</f>
        <v/>
      </c>
      <c r="B330" s="101" t="str">
        <f aca="false">IF($A330="","",IFERROR(VLOOKUP($A330,PLANI_LLOGARIVE!$A:$I,2,FALSE()),"⚠ Nuk është te PLANI_LLOGARIVE"))</f>
        <v/>
      </c>
      <c r="C330" s="101" t="str">
        <f aca="false">IF($A330="","",IFERROR(VLOOKUP($A330,PLANI_LLOGARIVE!$A:$I,9,FALSE()),""))</f>
        <v/>
      </c>
      <c r="D330" s="101" t="str">
        <f aca="false">IF($A330="","",COUNTIF(DITARI!$D:$D,$A330))</f>
        <v/>
      </c>
      <c r="E330" s="101" t="str">
        <f aca="false">IF($A330="","",SUMIFS(DITARI!$F:$F,DITARI!$D:$D,$A330))</f>
        <v/>
      </c>
      <c r="F330" s="101" t="str">
        <f aca="false">IF($A330="","",SUMIFS(DITARI!$G:$G,DITARI!$D:$D,$A330))</f>
        <v/>
      </c>
      <c r="G330" s="101" t="str">
        <f aca="false">IF($A330="","",$E330-$F330)</f>
        <v/>
      </c>
    </row>
    <row r="331" customFormat="false" ht="15" hidden="false" customHeight="true" outlineLevel="0" collapsed="false">
      <c r="A331" s="101" t="str">
        <f aca="false">IFERROR(INDEX(DITARI!$D$6:$D$550,MATCH(0,COUNTIF($A$1:A330,DITARI!$D$6:$D$550)+(DITARI!$D$6:$D$550=""),0)),"")</f>
        <v/>
      </c>
      <c r="B331" s="101" t="str">
        <f aca="false">IF($A331="","",IFERROR(VLOOKUP($A331,PLANI_LLOGARIVE!$A:$I,2,FALSE()),"⚠ Nuk është te PLANI_LLOGARIVE"))</f>
        <v/>
      </c>
      <c r="C331" s="101" t="str">
        <f aca="false">IF($A331="","",IFERROR(VLOOKUP($A331,PLANI_LLOGARIVE!$A:$I,9,FALSE()),""))</f>
        <v/>
      </c>
      <c r="D331" s="101" t="str">
        <f aca="false">IF($A331="","",COUNTIF(DITARI!$D:$D,$A331))</f>
        <v/>
      </c>
      <c r="E331" s="101" t="str">
        <f aca="false">IF($A331="","",SUMIFS(DITARI!$F:$F,DITARI!$D:$D,$A331))</f>
        <v/>
      </c>
      <c r="F331" s="101" t="str">
        <f aca="false">IF($A331="","",SUMIFS(DITARI!$G:$G,DITARI!$D:$D,$A331))</f>
        <v/>
      </c>
      <c r="G331" s="101" t="str">
        <f aca="false">IF($A331="","",$E331-$F331)</f>
        <v/>
      </c>
    </row>
    <row r="332" customFormat="false" ht="15" hidden="false" customHeight="true" outlineLevel="0" collapsed="false">
      <c r="A332" s="101" t="str">
        <f aca="false">IFERROR(INDEX(DITARI!$D$6:$D$550,MATCH(0,COUNTIF($A$1:A331,DITARI!$D$6:$D$550)+(DITARI!$D$6:$D$550=""),0)),"")</f>
        <v/>
      </c>
      <c r="B332" s="101" t="str">
        <f aca="false">IF($A332="","",IFERROR(VLOOKUP($A332,PLANI_LLOGARIVE!$A:$I,2,FALSE()),"⚠ Nuk është te PLANI_LLOGARIVE"))</f>
        <v/>
      </c>
      <c r="C332" s="101" t="str">
        <f aca="false">IF($A332="","",IFERROR(VLOOKUP($A332,PLANI_LLOGARIVE!$A:$I,9,FALSE()),""))</f>
        <v/>
      </c>
      <c r="D332" s="101" t="str">
        <f aca="false">IF($A332="","",COUNTIF(DITARI!$D:$D,$A332))</f>
        <v/>
      </c>
      <c r="E332" s="101" t="str">
        <f aca="false">IF($A332="","",SUMIFS(DITARI!$F:$F,DITARI!$D:$D,$A332))</f>
        <v/>
      </c>
      <c r="F332" s="101" t="str">
        <f aca="false">IF($A332="","",SUMIFS(DITARI!$G:$G,DITARI!$D:$D,$A332))</f>
        <v/>
      </c>
      <c r="G332" s="101" t="str">
        <f aca="false">IF($A332="","",$E332-$F332)</f>
        <v/>
      </c>
    </row>
    <row r="333" customFormat="false" ht="15" hidden="false" customHeight="true" outlineLevel="0" collapsed="false">
      <c r="A333" s="101" t="str">
        <f aca="false">IFERROR(INDEX(DITARI!$D$6:$D$550,MATCH(0,COUNTIF($A$1:A332,DITARI!$D$6:$D$550)+(DITARI!$D$6:$D$550=""),0)),"")</f>
        <v/>
      </c>
      <c r="B333" s="101" t="str">
        <f aca="false">IF($A333="","",IFERROR(VLOOKUP($A333,PLANI_LLOGARIVE!$A:$I,2,FALSE()),"⚠ Nuk është te PLANI_LLOGARIVE"))</f>
        <v/>
      </c>
      <c r="C333" s="101" t="str">
        <f aca="false">IF($A333="","",IFERROR(VLOOKUP($A333,PLANI_LLOGARIVE!$A:$I,9,FALSE()),""))</f>
        <v/>
      </c>
      <c r="D333" s="101" t="str">
        <f aca="false">IF($A333="","",COUNTIF(DITARI!$D:$D,$A333))</f>
        <v/>
      </c>
      <c r="E333" s="101" t="str">
        <f aca="false">IF($A333="","",SUMIFS(DITARI!$F:$F,DITARI!$D:$D,$A333))</f>
        <v/>
      </c>
      <c r="F333" s="101" t="str">
        <f aca="false">IF($A333="","",SUMIFS(DITARI!$G:$G,DITARI!$D:$D,$A333))</f>
        <v/>
      </c>
      <c r="G333" s="101" t="str">
        <f aca="false">IF($A333="","",$E333-$F333)</f>
        <v/>
      </c>
    </row>
    <row r="334" customFormat="false" ht="15" hidden="false" customHeight="true" outlineLevel="0" collapsed="false">
      <c r="A334" s="101" t="str">
        <f aca="false">IFERROR(INDEX(DITARI!$D$6:$D$550,MATCH(0,COUNTIF($A$1:A333,DITARI!$D$6:$D$550)+(DITARI!$D$6:$D$550=""),0)),"")</f>
        <v/>
      </c>
      <c r="B334" s="101" t="str">
        <f aca="false">IF($A334="","",IFERROR(VLOOKUP($A334,PLANI_LLOGARIVE!$A:$I,2,FALSE()),"⚠ Nuk është te PLANI_LLOGARIVE"))</f>
        <v/>
      </c>
      <c r="C334" s="101" t="str">
        <f aca="false">IF($A334="","",IFERROR(VLOOKUP($A334,PLANI_LLOGARIVE!$A:$I,9,FALSE()),""))</f>
        <v/>
      </c>
      <c r="D334" s="101" t="str">
        <f aca="false">IF($A334="","",COUNTIF(DITARI!$D:$D,$A334))</f>
        <v/>
      </c>
      <c r="E334" s="101" t="str">
        <f aca="false">IF($A334="","",SUMIFS(DITARI!$F:$F,DITARI!$D:$D,$A334))</f>
        <v/>
      </c>
      <c r="F334" s="101" t="str">
        <f aca="false">IF($A334="","",SUMIFS(DITARI!$G:$G,DITARI!$D:$D,$A334))</f>
        <v/>
      </c>
      <c r="G334" s="101" t="str">
        <f aca="false">IF($A334="","",$E334-$F334)</f>
        <v/>
      </c>
    </row>
    <row r="335" customFormat="false" ht="15" hidden="false" customHeight="true" outlineLevel="0" collapsed="false">
      <c r="A335" s="101" t="str">
        <f aca="false">IFERROR(INDEX(DITARI!$D$6:$D$550,MATCH(0,COUNTIF($A$1:A334,DITARI!$D$6:$D$550)+(DITARI!$D$6:$D$550=""),0)),"")</f>
        <v/>
      </c>
      <c r="B335" s="101" t="str">
        <f aca="false">IF($A335="","",IFERROR(VLOOKUP($A335,PLANI_LLOGARIVE!$A:$I,2,FALSE()),"⚠ Nuk është te PLANI_LLOGARIVE"))</f>
        <v/>
      </c>
      <c r="C335" s="101" t="str">
        <f aca="false">IF($A335="","",IFERROR(VLOOKUP($A335,PLANI_LLOGARIVE!$A:$I,9,FALSE()),""))</f>
        <v/>
      </c>
      <c r="D335" s="101" t="str">
        <f aca="false">IF($A335="","",COUNTIF(DITARI!$D:$D,$A335))</f>
        <v/>
      </c>
      <c r="E335" s="101" t="str">
        <f aca="false">IF($A335="","",SUMIFS(DITARI!$F:$F,DITARI!$D:$D,$A335))</f>
        <v/>
      </c>
      <c r="F335" s="101" t="str">
        <f aca="false">IF($A335="","",SUMIFS(DITARI!$G:$G,DITARI!$D:$D,$A335))</f>
        <v/>
      </c>
      <c r="G335" s="101" t="str">
        <f aca="false">IF($A335="","",$E335-$F335)</f>
        <v/>
      </c>
    </row>
    <row r="336" customFormat="false" ht="15" hidden="false" customHeight="true" outlineLevel="0" collapsed="false">
      <c r="A336" s="101" t="str">
        <f aca="false">IFERROR(INDEX(DITARI!$D$6:$D$550,MATCH(0,COUNTIF($A$1:A335,DITARI!$D$6:$D$550)+(DITARI!$D$6:$D$550=""),0)),"")</f>
        <v/>
      </c>
      <c r="B336" s="101" t="str">
        <f aca="false">IF($A336="","",IFERROR(VLOOKUP($A336,PLANI_LLOGARIVE!$A:$I,2,FALSE()),"⚠ Nuk është te PLANI_LLOGARIVE"))</f>
        <v/>
      </c>
      <c r="C336" s="101" t="str">
        <f aca="false">IF($A336="","",IFERROR(VLOOKUP($A336,PLANI_LLOGARIVE!$A:$I,9,FALSE()),""))</f>
        <v/>
      </c>
      <c r="D336" s="101" t="str">
        <f aca="false">IF($A336="","",COUNTIF(DITARI!$D:$D,$A336))</f>
        <v/>
      </c>
      <c r="E336" s="101" t="str">
        <f aca="false">IF($A336="","",SUMIFS(DITARI!$F:$F,DITARI!$D:$D,$A336))</f>
        <v/>
      </c>
      <c r="F336" s="101" t="str">
        <f aca="false">IF($A336="","",SUMIFS(DITARI!$G:$G,DITARI!$D:$D,$A336))</f>
        <v/>
      </c>
      <c r="G336" s="101" t="str">
        <f aca="false">IF($A336="","",$E336-$F336)</f>
        <v/>
      </c>
    </row>
    <row r="337" customFormat="false" ht="15" hidden="false" customHeight="true" outlineLevel="0" collapsed="false">
      <c r="A337" s="101" t="str">
        <f aca="false">IFERROR(INDEX(DITARI!$D$6:$D$550,MATCH(0,COUNTIF($A$1:A336,DITARI!$D$6:$D$550)+(DITARI!$D$6:$D$550=""),0)),"")</f>
        <v/>
      </c>
      <c r="B337" s="101" t="str">
        <f aca="false">IF($A337="","",IFERROR(VLOOKUP($A337,PLANI_LLOGARIVE!$A:$I,2,FALSE()),"⚠ Nuk është te PLANI_LLOGARIVE"))</f>
        <v/>
      </c>
      <c r="C337" s="101" t="str">
        <f aca="false">IF($A337="","",IFERROR(VLOOKUP($A337,PLANI_LLOGARIVE!$A:$I,9,FALSE()),""))</f>
        <v/>
      </c>
      <c r="D337" s="101" t="str">
        <f aca="false">IF($A337="","",COUNTIF(DITARI!$D:$D,$A337))</f>
        <v/>
      </c>
      <c r="E337" s="101" t="str">
        <f aca="false">IF($A337="","",SUMIFS(DITARI!$F:$F,DITARI!$D:$D,$A337))</f>
        <v/>
      </c>
      <c r="F337" s="101" t="str">
        <f aca="false">IF($A337="","",SUMIFS(DITARI!$G:$G,DITARI!$D:$D,$A337))</f>
        <v/>
      </c>
      <c r="G337" s="101" t="str">
        <f aca="false">IF($A337="","",$E337-$F337)</f>
        <v/>
      </c>
    </row>
    <row r="338" customFormat="false" ht="15" hidden="false" customHeight="true" outlineLevel="0" collapsed="false">
      <c r="A338" s="101" t="str">
        <f aca="false">IFERROR(INDEX(DITARI!$D$6:$D$550,MATCH(0,COUNTIF($A$1:A337,DITARI!$D$6:$D$550)+(DITARI!$D$6:$D$550=""),0)),"")</f>
        <v/>
      </c>
      <c r="B338" s="101" t="str">
        <f aca="false">IF($A338="","",IFERROR(VLOOKUP($A338,PLANI_LLOGARIVE!$A:$I,2,FALSE()),"⚠ Nuk është te PLANI_LLOGARIVE"))</f>
        <v/>
      </c>
      <c r="C338" s="101" t="str">
        <f aca="false">IF($A338="","",IFERROR(VLOOKUP($A338,PLANI_LLOGARIVE!$A:$I,9,FALSE()),""))</f>
        <v/>
      </c>
      <c r="D338" s="101" t="str">
        <f aca="false">IF($A338="","",COUNTIF(DITARI!$D:$D,$A338))</f>
        <v/>
      </c>
      <c r="E338" s="101" t="str">
        <f aca="false">IF($A338="","",SUMIFS(DITARI!$F:$F,DITARI!$D:$D,$A338))</f>
        <v/>
      </c>
      <c r="F338" s="101" t="str">
        <f aca="false">IF($A338="","",SUMIFS(DITARI!$G:$G,DITARI!$D:$D,$A338))</f>
        <v/>
      </c>
      <c r="G338" s="101" t="str">
        <f aca="false">IF($A338="","",$E338-$F338)</f>
        <v/>
      </c>
    </row>
    <row r="339" customFormat="false" ht="15" hidden="false" customHeight="true" outlineLevel="0" collapsed="false">
      <c r="A339" s="101" t="str">
        <f aca="false">IFERROR(INDEX(DITARI!$D$6:$D$550,MATCH(0,COUNTIF($A$1:A338,DITARI!$D$6:$D$550)+(DITARI!$D$6:$D$550=""),0)),"")</f>
        <v/>
      </c>
      <c r="B339" s="101" t="str">
        <f aca="false">IF($A339="","",IFERROR(VLOOKUP($A339,PLANI_LLOGARIVE!$A:$I,2,FALSE()),"⚠ Nuk është te PLANI_LLOGARIVE"))</f>
        <v/>
      </c>
      <c r="C339" s="101" t="str">
        <f aca="false">IF($A339="","",IFERROR(VLOOKUP($A339,PLANI_LLOGARIVE!$A:$I,9,FALSE()),""))</f>
        <v/>
      </c>
      <c r="D339" s="101" t="str">
        <f aca="false">IF($A339="","",COUNTIF(DITARI!$D:$D,$A339))</f>
        <v/>
      </c>
      <c r="E339" s="101" t="str">
        <f aca="false">IF($A339="","",SUMIFS(DITARI!$F:$F,DITARI!$D:$D,$A339))</f>
        <v/>
      </c>
      <c r="F339" s="101" t="str">
        <f aca="false">IF($A339="","",SUMIFS(DITARI!$G:$G,DITARI!$D:$D,$A339))</f>
        <v/>
      </c>
      <c r="G339" s="101" t="str">
        <f aca="false">IF($A339="","",$E339-$F339)</f>
        <v/>
      </c>
    </row>
    <row r="340" customFormat="false" ht="15" hidden="false" customHeight="true" outlineLevel="0" collapsed="false">
      <c r="A340" s="101" t="str">
        <f aca="false">IFERROR(INDEX(DITARI!$D$6:$D$550,MATCH(0,COUNTIF($A$1:A339,DITARI!$D$6:$D$550)+(DITARI!$D$6:$D$550=""),0)),"")</f>
        <v/>
      </c>
      <c r="B340" s="101" t="str">
        <f aca="false">IF($A340="","",IFERROR(VLOOKUP($A340,PLANI_LLOGARIVE!$A:$I,2,FALSE()),"⚠ Nuk është te PLANI_LLOGARIVE"))</f>
        <v/>
      </c>
      <c r="C340" s="101" t="str">
        <f aca="false">IF($A340="","",IFERROR(VLOOKUP($A340,PLANI_LLOGARIVE!$A:$I,9,FALSE()),""))</f>
        <v/>
      </c>
      <c r="D340" s="101" t="str">
        <f aca="false">IF($A340="","",COUNTIF(DITARI!$D:$D,$A340))</f>
        <v/>
      </c>
      <c r="E340" s="101" t="str">
        <f aca="false">IF($A340="","",SUMIFS(DITARI!$F:$F,DITARI!$D:$D,$A340))</f>
        <v/>
      </c>
      <c r="F340" s="101" t="str">
        <f aca="false">IF($A340="","",SUMIFS(DITARI!$G:$G,DITARI!$D:$D,$A340))</f>
        <v/>
      </c>
      <c r="G340" s="101" t="str">
        <f aca="false">IF($A340="","",$E340-$F340)</f>
        <v/>
      </c>
    </row>
    <row r="341" customFormat="false" ht="15" hidden="false" customHeight="true" outlineLevel="0" collapsed="false">
      <c r="A341" s="101" t="str">
        <f aca="false">IFERROR(INDEX(DITARI!$D$6:$D$550,MATCH(0,COUNTIF($A$1:A340,DITARI!$D$6:$D$550)+(DITARI!$D$6:$D$550=""),0)),"")</f>
        <v/>
      </c>
      <c r="B341" s="101" t="str">
        <f aca="false">IF($A341="","",IFERROR(VLOOKUP($A341,PLANI_LLOGARIVE!$A:$I,2,FALSE()),"⚠ Nuk është te PLANI_LLOGARIVE"))</f>
        <v/>
      </c>
      <c r="C341" s="101" t="str">
        <f aca="false">IF($A341="","",IFERROR(VLOOKUP($A341,PLANI_LLOGARIVE!$A:$I,9,FALSE()),""))</f>
        <v/>
      </c>
      <c r="D341" s="101" t="str">
        <f aca="false">IF($A341="","",COUNTIF(DITARI!$D:$D,$A341))</f>
        <v/>
      </c>
      <c r="E341" s="101" t="str">
        <f aca="false">IF($A341="","",SUMIFS(DITARI!$F:$F,DITARI!$D:$D,$A341))</f>
        <v/>
      </c>
      <c r="F341" s="101" t="str">
        <f aca="false">IF($A341="","",SUMIFS(DITARI!$G:$G,DITARI!$D:$D,$A341))</f>
        <v/>
      </c>
      <c r="G341" s="101" t="str">
        <f aca="false">IF($A341="","",$E341-$F341)</f>
        <v/>
      </c>
    </row>
    <row r="342" customFormat="false" ht="15" hidden="false" customHeight="true" outlineLevel="0" collapsed="false">
      <c r="A342" s="101" t="str">
        <f aca="false">IFERROR(INDEX(DITARI!$D$6:$D$550,MATCH(0,COUNTIF($A$1:A341,DITARI!$D$6:$D$550)+(DITARI!$D$6:$D$550=""),0)),"")</f>
        <v/>
      </c>
      <c r="B342" s="101" t="str">
        <f aca="false">IF($A342="","",IFERROR(VLOOKUP($A342,PLANI_LLOGARIVE!$A:$I,2,FALSE()),"⚠ Nuk është te PLANI_LLOGARIVE"))</f>
        <v/>
      </c>
      <c r="C342" s="101" t="str">
        <f aca="false">IF($A342="","",IFERROR(VLOOKUP($A342,PLANI_LLOGARIVE!$A:$I,9,FALSE()),""))</f>
        <v/>
      </c>
      <c r="D342" s="101" t="str">
        <f aca="false">IF($A342="","",COUNTIF(DITARI!$D:$D,$A342))</f>
        <v/>
      </c>
      <c r="E342" s="101" t="str">
        <f aca="false">IF($A342="","",SUMIFS(DITARI!$F:$F,DITARI!$D:$D,$A342))</f>
        <v/>
      </c>
      <c r="F342" s="101" t="str">
        <f aca="false">IF($A342="","",SUMIFS(DITARI!$G:$G,DITARI!$D:$D,$A342))</f>
        <v/>
      </c>
      <c r="G342" s="101" t="str">
        <f aca="false">IF($A342="","",$E342-$F342)</f>
        <v/>
      </c>
    </row>
    <row r="343" customFormat="false" ht="15" hidden="false" customHeight="true" outlineLevel="0" collapsed="false">
      <c r="A343" s="101" t="str">
        <f aca="false">IFERROR(INDEX(DITARI!$D$6:$D$550,MATCH(0,COUNTIF($A$1:A342,DITARI!$D$6:$D$550)+(DITARI!$D$6:$D$550=""),0)),"")</f>
        <v/>
      </c>
      <c r="B343" s="101" t="str">
        <f aca="false">IF($A343="","",IFERROR(VLOOKUP($A343,PLANI_LLOGARIVE!$A:$I,2,FALSE()),"⚠ Nuk është te PLANI_LLOGARIVE"))</f>
        <v/>
      </c>
      <c r="C343" s="101" t="str">
        <f aca="false">IF($A343="","",IFERROR(VLOOKUP($A343,PLANI_LLOGARIVE!$A:$I,9,FALSE()),""))</f>
        <v/>
      </c>
      <c r="D343" s="101" t="str">
        <f aca="false">IF($A343="","",COUNTIF(DITARI!$D:$D,$A343))</f>
        <v/>
      </c>
      <c r="E343" s="101" t="str">
        <f aca="false">IF($A343="","",SUMIFS(DITARI!$F:$F,DITARI!$D:$D,$A343))</f>
        <v/>
      </c>
      <c r="F343" s="101" t="str">
        <f aca="false">IF($A343="","",SUMIFS(DITARI!$G:$G,DITARI!$D:$D,$A343))</f>
        <v/>
      </c>
      <c r="G343" s="101" t="str">
        <f aca="false">IF($A343="","",$E343-$F343)</f>
        <v/>
      </c>
    </row>
    <row r="344" customFormat="false" ht="15" hidden="false" customHeight="true" outlineLevel="0" collapsed="false">
      <c r="A344" s="101" t="str">
        <f aca="false">IFERROR(INDEX(DITARI!$D$6:$D$550,MATCH(0,COUNTIF($A$1:A343,DITARI!$D$6:$D$550)+(DITARI!$D$6:$D$550=""),0)),"")</f>
        <v/>
      </c>
      <c r="B344" s="101" t="str">
        <f aca="false">IF($A344="","",IFERROR(VLOOKUP($A344,PLANI_LLOGARIVE!$A:$I,2,FALSE()),"⚠ Nuk është te PLANI_LLOGARIVE"))</f>
        <v/>
      </c>
      <c r="C344" s="101" t="str">
        <f aca="false">IF($A344="","",IFERROR(VLOOKUP($A344,PLANI_LLOGARIVE!$A:$I,9,FALSE()),""))</f>
        <v/>
      </c>
      <c r="D344" s="101" t="str">
        <f aca="false">IF($A344="","",COUNTIF(DITARI!$D:$D,$A344))</f>
        <v/>
      </c>
      <c r="E344" s="101" t="str">
        <f aca="false">IF($A344="","",SUMIFS(DITARI!$F:$F,DITARI!$D:$D,$A344))</f>
        <v/>
      </c>
      <c r="F344" s="101" t="str">
        <f aca="false">IF($A344="","",SUMIFS(DITARI!$G:$G,DITARI!$D:$D,$A344))</f>
        <v/>
      </c>
      <c r="G344" s="101" t="str">
        <f aca="false">IF($A344="","",$E344-$F344)</f>
        <v/>
      </c>
    </row>
    <row r="345" customFormat="false" ht="15" hidden="false" customHeight="true" outlineLevel="0" collapsed="false">
      <c r="A345" s="101" t="str">
        <f aca="false">IFERROR(INDEX(DITARI!$D$6:$D$550,MATCH(0,COUNTIF($A$1:A344,DITARI!$D$6:$D$550)+(DITARI!$D$6:$D$550=""),0)),"")</f>
        <v/>
      </c>
      <c r="B345" s="101" t="str">
        <f aca="false">IF($A345="","",IFERROR(VLOOKUP($A345,PLANI_LLOGARIVE!$A:$I,2,FALSE()),"⚠ Nuk është te PLANI_LLOGARIVE"))</f>
        <v/>
      </c>
      <c r="C345" s="101" t="str">
        <f aca="false">IF($A345="","",IFERROR(VLOOKUP($A345,PLANI_LLOGARIVE!$A:$I,9,FALSE()),""))</f>
        <v/>
      </c>
      <c r="D345" s="101" t="str">
        <f aca="false">IF($A345="","",COUNTIF(DITARI!$D:$D,$A345))</f>
        <v/>
      </c>
      <c r="E345" s="101" t="str">
        <f aca="false">IF($A345="","",SUMIFS(DITARI!$F:$F,DITARI!$D:$D,$A345))</f>
        <v/>
      </c>
      <c r="F345" s="101" t="str">
        <f aca="false">IF($A345="","",SUMIFS(DITARI!$G:$G,DITARI!$D:$D,$A345))</f>
        <v/>
      </c>
      <c r="G345" s="101" t="str">
        <f aca="false">IF($A345="","",$E345-$F345)</f>
        <v/>
      </c>
    </row>
    <row r="346" customFormat="false" ht="15" hidden="false" customHeight="true" outlineLevel="0" collapsed="false">
      <c r="A346" s="101" t="str">
        <f aca="false">IFERROR(INDEX(DITARI!$D$6:$D$550,MATCH(0,COUNTIF($A$1:A345,DITARI!$D$6:$D$550)+(DITARI!$D$6:$D$550=""),0)),"")</f>
        <v/>
      </c>
      <c r="B346" s="101" t="str">
        <f aca="false">IF($A346="","",IFERROR(VLOOKUP($A346,PLANI_LLOGARIVE!$A:$I,2,FALSE()),"⚠ Nuk është te PLANI_LLOGARIVE"))</f>
        <v/>
      </c>
      <c r="C346" s="101" t="str">
        <f aca="false">IF($A346="","",IFERROR(VLOOKUP($A346,PLANI_LLOGARIVE!$A:$I,9,FALSE()),""))</f>
        <v/>
      </c>
      <c r="D346" s="101" t="str">
        <f aca="false">IF($A346="","",COUNTIF(DITARI!$D:$D,$A346))</f>
        <v/>
      </c>
      <c r="E346" s="101" t="str">
        <f aca="false">IF($A346="","",SUMIFS(DITARI!$F:$F,DITARI!$D:$D,$A346))</f>
        <v/>
      </c>
      <c r="F346" s="101" t="str">
        <f aca="false">IF($A346="","",SUMIFS(DITARI!$G:$G,DITARI!$D:$D,$A346))</f>
        <v/>
      </c>
      <c r="G346" s="101" t="str">
        <f aca="false">IF($A346="","",$E346-$F346)</f>
        <v/>
      </c>
    </row>
    <row r="347" customFormat="false" ht="15" hidden="false" customHeight="true" outlineLevel="0" collapsed="false">
      <c r="A347" s="101" t="str">
        <f aca="false">IFERROR(INDEX(DITARI!$D$6:$D$550,MATCH(0,COUNTIF($A$1:A346,DITARI!$D$6:$D$550)+(DITARI!$D$6:$D$550=""),0)),"")</f>
        <v/>
      </c>
      <c r="B347" s="101" t="str">
        <f aca="false">IF($A347="","",IFERROR(VLOOKUP($A347,PLANI_LLOGARIVE!$A:$I,2,FALSE()),"⚠ Nuk është te PLANI_LLOGARIVE"))</f>
        <v/>
      </c>
      <c r="C347" s="101" t="str">
        <f aca="false">IF($A347="","",IFERROR(VLOOKUP($A347,PLANI_LLOGARIVE!$A:$I,9,FALSE()),""))</f>
        <v/>
      </c>
      <c r="D347" s="101" t="str">
        <f aca="false">IF($A347="","",COUNTIF(DITARI!$D:$D,$A347))</f>
        <v/>
      </c>
      <c r="E347" s="101" t="str">
        <f aca="false">IF($A347="","",SUMIFS(DITARI!$F:$F,DITARI!$D:$D,$A347))</f>
        <v/>
      </c>
      <c r="F347" s="101" t="str">
        <f aca="false">IF($A347="","",SUMIFS(DITARI!$G:$G,DITARI!$D:$D,$A347))</f>
        <v/>
      </c>
      <c r="G347" s="101" t="str">
        <f aca="false">IF($A347="","",$E347-$F347)</f>
        <v/>
      </c>
    </row>
    <row r="348" customFormat="false" ht="15" hidden="false" customHeight="true" outlineLevel="0" collapsed="false">
      <c r="A348" s="101" t="str">
        <f aca="false">IFERROR(INDEX(DITARI!$D$6:$D$550,MATCH(0,COUNTIF($A$1:A347,DITARI!$D$6:$D$550)+(DITARI!$D$6:$D$550=""),0)),"")</f>
        <v/>
      </c>
      <c r="B348" s="101" t="str">
        <f aca="false">IF($A348="","",IFERROR(VLOOKUP($A348,PLANI_LLOGARIVE!$A:$I,2,FALSE()),"⚠ Nuk është te PLANI_LLOGARIVE"))</f>
        <v/>
      </c>
      <c r="C348" s="101" t="str">
        <f aca="false">IF($A348="","",IFERROR(VLOOKUP($A348,PLANI_LLOGARIVE!$A:$I,9,FALSE()),""))</f>
        <v/>
      </c>
      <c r="D348" s="101" t="str">
        <f aca="false">IF($A348="","",COUNTIF(DITARI!$D:$D,$A348))</f>
        <v/>
      </c>
      <c r="E348" s="101" t="str">
        <f aca="false">IF($A348="","",SUMIFS(DITARI!$F:$F,DITARI!$D:$D,$A348))</f>
        <v/>
      </c>
      <c r="F348" s="101" t="str">
        <f aca="false">IF($A348="","",SUMIFS(DITARI!$G:$G,DITARI!$D:$D,$A348))</f>
        <v/>
      </c>
      <c r="G348" s="101" t="str">
        <f aca="false">IF($A348="","",$E348-$F348)</f>
        <v/>
      </c>
    </row>
    <row r="349" customFormat="false" ht="15" hidden="false" customHeight="true" outlineLevel="0" collapsed="false">
      <c r="A349" s="101" t="str">
        <f aca="false">IFERROR(INDEX(DITARI!$D$6:$D$550,MATCH(0,COUNTIF($A$1:A348,DITARI!$D$6:$D$550)+(DITARI!$D$6:$D$550=""),0)),"")</f>
        <v/>
      </c>
      <c r="B349" s="101" t="str">
        <f aca="false">IF($A349="","",IFERROR(VLOOKUP($A349,PLANI_LLOGARIVE!$A:$I,2,FALSE()),"⚠ Nuk është te PLANI_LLOGARIVE"))</f>
        <v/>
      </c>
      <c r="C349" s="101" t="str">
        <f aca="false">IF($A349="","",IFERROR(VLOOKUP($A349,PLANI_LLOGARIVE!$A:$I,9,FALSE()),""))</f>
        <v/>
      </c>
      <c r="D349" s="101" t="str">
        <f aca="false">IF($A349="","",COUNTIF(DITARI!$D:$D,$A349))</f>
        <v/>
      </c>
      <c r="E349" s="101" t="str">
        <f aca="false">IF($A349="","",SUMIFS(DITARI!$F:$F,DITARI!$D:$D,$A349))</f>
        <v/>
      </c>
      <c r="F349" s="101" t="str">
        <f aca="false">IF($A349="","",SUMIFS(DITARI!$G:$G,DITARI!$D:$D,$A349))</f>
        <v/>
      </c>
      <c r="G349" s="101" t="str">
        <f aca="false">IF($A349="","",$E349-$F349)</f>
        <v/>
      </c>
    </row>
    <row r="350" customFormat="false" ht="15" hidden="false" customHeight="true" outlineLevel="0" collapsed="false">
      <c r="A350" s="101" t="str">
        <f aca="false">IFERROR(INDEX(DITARI!$D$6:$D$550,MATCH(0,COUNTIF($A$1:A349,DITARI!$D$6:$D$550)+(DITARI!$D$6:$D$550=""),0)),"")</f>
        <v/>
      </c>
      <c r="B350" s="101" t="str">
        <f aca="false">IF($A350="","",IFERROR(VLOOKUP($A350,PLANI_LLOGARIVE!$A:$I,2,FALSE()),"⚠ Nuk është te PLANI_LLOGARIVE"))</f>
        <v/>
      </c>
      <c r="C350" s="101" t="str">
        <f aca="false">IF($A350="","",IFERROR(VLOOKUP($A350,PLANI_LLOGARIVE!$A:$I,9,FALSE()),""))</f>
        <v/>
      </c>
      <c r="D350" s="101" t="str">
        <f aca="false">IF($A350="","",COUNTIF(DITARI!$D:$D,$A350))</f>
        <v/>
      </c>
      <c r="E350" s="101" t="str">
        <f aca="false">IF($A350="","",SUMIFS(DITARI!$F:$F,DITARI!$D:$D,$A350))</f>
        <v/>
      </c>
      <c r="F350" s="101" t="str">
        <f aca="false">IF($A350="","",SUMIFS(DITARI!$G:$G,DITARI!$D:$D,$A350))</f>
        <v/>
      </c>
      <c r="G350" s="101" t="str">
        <f aca="false">IF($A350="","",$E350-$F350)</f>
        <v/>
      </c>
    </row>
    <row r="351" customFormat="false" ht="15" hidden="false" customHeight="true" outlineLevel="0" collapsed="false">
      <c r="A351" s="101" t="str">
        <f aca="false">IFERROR(INDEX(DITARI!$D$6:$D$550,MATCH(0,COUNTIF($A$1:A350,DITARI!$D$6:$D$550)+(DITARI!$D$6:$D$550=""),0)),"")</f>
        <v/>
      </c>
      <c r="B351" s="101" t="str">
        <f aca="false">IF($A351="","",IFERROR(VLOOKUP($A351,PLANI_LLOGARIVE!$A:$I,2,FALSE()),"⚠ Nuk është te PLANI_LLOGARIVE"))</f>
        <v/>
      </c>
      <c r="C351" s="101" t="str">
        <f aca="false">IF($A351="","",IFERROR(VLOOKUP($A351,PLANI_LLOGARIVE!$A:$I,9,FALSE()),""))</f>
        <v/>
      </c>
      <c r="D351" s="101" t="str">
        <f aca="false">IF($A351="","",COUNTIF(DITARI!$D:$D,$A351))</f>
        <v/>
      </c>
      <c r="E351" s="101" t="str">
        <f aca="false">IF($A351="","",SUMIFS(DITARI!$F:$F,DITARI!$D:$D,$A351))</f>
        <v/>
      </c>
      <c r="F351" s="101" t="str">
        <f aca="false">IF($A351="","",SUMIFS(DITARI!$G:$G,DITARI!$D:$D,$A351))</f>
        <v/>
      </c>
      <c r="G351" s="101" t="str">
        <f aca="false">IF($A351="","",$E351-$F351)</f>
        <v/>
      </c>
    </row>
    <row r="352" customFormat="false" ht="15" hidden="false" customHeight="true" outlineLevel="0" collapsed="false">
      <c r="A352" s="101" t="str">
        <f aca="false">IFERROR(INDEX(DITARI!$D$6:$D$550,MATCH(0,COUNTIF($A$1:A351,DITARI!$D$6:$D$550)+(DITARI!$D$6:$D$550=""),0)),"")</f>
        <v/>
      </c>
      <c r="B352" s="101" t="str">
        <f aca="false">IF($A352="","",IFERROR(VLOOKUP($A352,PLANI_LLOGARIVE!$A:$I,2,FALSE()),"⚠ Nuk është te PLANI_LLOGARIVE"))</f>
        <v/>
      </c>
      <c r="C352" s="101" t="str">
        <f aca="false">IF($A352="","",IFERROR(VLOOKUP($A352,PLANI_LLOGARIVE!$A:$I,9,FALSE()),""))</f>
        <v/>
      </c>
      <c r="D352" s="101" t="str">
        <f aca="false">IF($A352="","",COUNTIF(DITARI!$D:$D,$A352))</f>
        <v/>
      </c>
      <c r="E352" s="101" t="str">
        <f aca="false">IF($A352="","",SUMIFS(DITARI!$F:$F,DITARI!$D:$D,$A352))</f>
        <v/>
      </c>
      <c r="F352" s="101" t="str">
        <f aca="false">IF($A352="","",SUMIFS(DITARI!$G:$G,DITARI!$D:$D,$A352))</f>
        <v/>
      </c>
      <c r="G352" s="101" t="str">
        <f aca="false">IF($A352="","",$E352-$F352)</f>
        <v/>
      </c>
    </row>
    <row r="353" customFormat="false" ht="15" hidden="false" customHeight="true" outlineLevel="0" collapsed="false">
      <c r="A353" s="101" t="str">
        <f aca="false">IFERROR(INDEX(DITARI!$D$6:$D$550,MATCH(0,COUNTIF($A$1:A352,DITARI!$D$6:$D$550)+(DITARI!$D$6:$D$550=""),0)),"")</f>
        <v/>
      </c>
      <c r="B353" s="101" t="str">
        <f aca="false">IF($A353="","",IFERROR(VLOOKUP($A353,PLANI_LLOGARIVE!$A:$I,2,FALSE()),"⚠ Nuk është te PLANI_LLOGARIVE"))</f>
        <v/>
      </c>
      <c r="C353" s="101" t="str">
        <f aca="false">IF($A353="","",IFERROR(VLOOKUP($A353,PLANI_LLOGARIVE!$A:$I,9,FALSE()),""))</f>
        <v/>
      </c>
      <c r="D353" s="101" t="str">
        <f aca="false">IF($A353="","",COUNTIF(DITARI!$D:$D,$A353))</f>
        <v/>
      </c>
      <c r="E353" s="101" t="str">
        <f aca="false">IF($A353="","",SUMIFS(DITARI!$F:$F,DITARI!$D:$D,$A353))</f>
        <v/>
      </c>
      <c r="F353" s="101" t="str">
        <f aca="false">IF($A353="","",SUMIFS(DITARI!$G:$G,DITARI!$D:$D,$A353))</f>
        <v/>
      </c>
      <c r="G353" s="101" t="str">
        <f aca="false">IF($A353="","",$E353-$F353)</f>
        <v/>
      </c>
    </row>
    <row r="354" customFormat="false" ht="15" hidden="false" customHeight="true" outlineLevel="0" collapsed="false">
      <c r="A354" s="101" t="str">
        <f aca="false">IFERROR(INDEX(DITARI!$D$6:$D$550,MATCH(0,COUNTIF($A$1:A353,DITARI!$D$6:$D$550)+(DITARI!$D$6:$D$550=""),0)),"")</f>
        <v/>
      </c>
      <c r="B354" s="101" t="str">
        <f aca="false">IF($A354="","",IFERROR(VLOOKUP($A354,PLANI_LLOGARIVE!$A:$I,2,FALSE()),"⚠ Nuk është te PLANI_LLOGARIVE"))</f>
        <v/>
      </c>
      <c r="C354" s="101" t="str">
        <f aca="false">IF($A354="","",IFERROR(VLOOKUP($A354,PLANI_LLOGARIVE!$A:$I,9,FALSE()),""))</f>
        <v/>
      </c>
      <c r="D354" s="101" t="str">
        <f aca="false">IF($A354="","",COUNTIF(DITARI!$D:$D,$A354))</f>
        <v/>
      </c>
      <c r="E354" s="101" t="str">
        <f aca="false">IF($A354="","",SUMIFS(DITARI!$F:$F,DITARI!$D:$D,$A354))</f>
        <v/>
      </c>
      <c r="F354" s="101" t="str">
        <f aca="false">IF($A354="","",SUMIFS(DITARI!$G:$G,DITARI!$D:$D,$A354))</f>
        <v/>
      </c>
      <c r="G354" s="101" t="str">
        <f aca="false">IF($A354="","",$E354-$F354)</f>
        <v/>
      </c>
    </row>
    <row r="355" customFormat="false" ht="15" hidden="false" customHeight="true" outlineLevel="0" collapsed="false">
      <c r="A355" s="101" t="str">
        <f aca="false">IFERROR(INDEX(DITARI!$D$6:$D$550,MATCH(0,COUNTIF($A$1:A354,DITARI!$D$6:$D$550)+(DITARI!$D$6:$D$550=""),0)),"")</f>
        <v/>
      </c>
      <c r="B355" s="101" t="str">
        <f aca="false">IF($A355="","",IFERROR(VLOOKUP($A355,PLANI_LLOGARIVE!$A:$I,2,FALSE()),"⚠ Nuk është te PLANI_LLOGARIVE"))</f>
        <v/>
      </c>
      <c r="C355" s="101" t="str">
        <f aca="false">IF($A355="","",IFERROR(VLOOKUP($A355,PLANI_LLOGARIVE!$A:$I,9,FALSE()),""))</f>
        <v/>
      </c>
      <c r="D355" s="101" t="str">
        <f aca="false">IF($A355="","",COUNTIF(DITARI!$D:$D,$A355))</f>
        <v/>
      </c>
      <c r="E355" s="101" t="str">
        <f aca="false">IF($A355="","",SUMIFS(DITARI!$F:$F,DITARI!$D:$D,$A355))</f>
        <v/>
      </c>
      <c r="F355" s="101" t="str">
        <f aca="false">IF($A355="","",SUMIFS(DITARI!$G:$G,DITARI!$D:$D,$A355))</f>
        <v/>
      </c>
      <c r="G355" s="101" t="str">
        <f aca="false">IF($A355="","",$E355-$F355)</f>
        <v/>
      </c>
    </row>
    <row r="356" customFormat="false" ht="15" hidden="false" customHeight="true" outlineLevel="0" collapsed="false">
      <c r="A356" s="101" t="str">
        <f aca="false">IFERROR(INDEX(DITARI!$D$6:$D$550,MATCH(0,COUNTIF($A$1:A355,DITARI!$D$6:$D$550)+(DITARI!$D$6:$D$550=""),0)),"")</f>
        <v/>
      </c>
      <c r="B356" s="101" t="str">
        <f aca="false">IF($A356="","",IFERROR(VLOOKUP($A356,PLANI_LLOGARIVE!$A:$I,2,FALSE()),"⚠ Nuk është te PLANI_LLOGARIVE"))</f>
        <v/>
      </c>
      <c r="C356" s="101" t="str">
        <f aca="false">IF($A356="","",IFERROR(VLOOKUP($A356,PLANI_LLOGARIVE!$A:$I,9,FALSE()),""))</f>
        <v/>
      </c>
      <c r="D356" s="101" t="str">
        <f aca="false">IF($A356="","",COUNTIF(DITARI!$D:$D,$A356))</f>
        <v/>
      </c>
      <c r="E356" s="101" t="str">
        <f aca="false">IF($A356="","",SUMIFS(DITARI!$F:$F,DITARI!$D:$D,$A356))</f>
        <v/>
      </c>
      <c r="F356" s="101" t="str">
        <f aca="false">IF($A356="","",SUMIFS(DITARI!$G:$G,DITARI!$D:$D,$A356))</f>
        <v/>
      </c>
      <c r="G356" s="101" t="str">
        <f aca="false">IF($A356="","",$E356-$F356)</f>
        <v/>
      </c>
    </row>
    <row r="357" customFormat="false" ht="15" hidden="false" customHeight="true" outlineLevel="0" collapsed="false">
      <c r="A357" s="101" t="str">
        <f aca="false">IFERROR(INDEX(DITARI!$D$6:$D$550,MATCH(0,COUNTIF($A$1:A356,DITARI!$D$6:$D$550)+(DITARI!$D$6:$D$550=""),0)),"")</f>
        <v/>
      </c>
      <c r="B357" s="101" t="str">
        <f aca="false">IF($A357="","",IFERROR(VLOOKUP($A357,PLANI_LLOGARIVE!$A:$I,2,FALSE()),"⚠ Nuk është te PLANI_LLOGARIVE"))</f>
        <v/>
      </c>
      <c r="C357" s="101" t="str">
        <f aca="false">IF($A357="","",IFERROR(VLOOKUP($A357,PLANI_LLOGARIVE!$A:$I,9,FALSE()),""))</f>
        <v/>
      </c>
      <c r="D357" s="101" t="str">
        <f aca="false">IF($A357="","",COUNTIF(DITARI!$D:$D,$A357))</f>
        <v/>
      </c>
      <c r="E357" s="101" t="str">
        <f aca="false">IF($A357="","",SUMIFS(DITARI!$F:$F,DITARI!$D:$D,$A357))</f>
        <v/>
      </c>
      <c r="F357" s="101" t="str">
        <f aca="false">IF($A357="","",SUMIFS(DITARI!$G:$G,DITARI!$D:$D,$A357))</f>
        <v/>
      </c>
      <c r="G357" s="101" t="str">
        <f aca="false">IF($A357="","",$E357-$F357)</f>
        <v/>
      </c>
    </row>
    <row r="358" customFormat="false" ht="15" hidden="false" customHeight="true" outlineLevel="0" collapsed="false">
      <c r="A358" s="101" t="str">
        <f aca="false">IFERROR(INDEX(DITARI!$D$6:$D$550,MATCH(0,COUNTIF($A$1:A357,DITARI!$D$6:$D$550)+(DITARI!$D$6:$D$550=""),0)),"")</f>
        <v/>
      </c>
      <c r="B358" s="101" t="str">
        <f aca="false">IF($A358="","",IFERROR(VLOOKUP($A358,PLANI_LLOGARIVE!$A:$I,2,FALSE()),"⚠ Nuk është te PLANI_LLOGARIVE"))</f>
        <v/>
      </c>
      <c r="C358" s="101" t="str">
        <f aca="false">IF($A358="","",IFERROR(VLOOKUP($A358,PLANI_LLOGARIVE!$A:$I,9,FALSE()),""))</f>
        <v/>
      </c>
      <c r="D358" s="101" t="str">
        <f aca="false">IF($A358="","",COUNTIF(DITARI!$D:$D,$A358))</f>
        <v/>
      </c>
      <c r="E358" s="101" t="str">
        <f aca="false">IF($A358="","",SUMIFS(DITARI!$F:$F,DITARI!$D:$D,$A358))</f>
        <v/>
      </c>
      <c r="F358" s="101" t="str">
        <f aca="false">IF($A358="","",SUMIFS(DITARI!$G:$G,DITARI!$D:$D,$A358))</f>
        <v/>
      </c>
      <c r="G358" s="101" t="str">
        <f aca="false">IF($A358="","",$E358-$F358)</f>
        <v/>
      </c>
    </row>
    <row r="359" customFormat="false" ht="15" hidden="false" customHeight="true" outlineLevel="0" collapsed="false">
      <c r="A359" s="101" t="str">
        <f aca="false">IFERROR(INDEX(DITARI!$D$6:$D$550,MATCH(0,COUNTIF($A$1:A358,DITARI!$D$6:$D$550)+(DITARI!$D$6:$D$550=""),0)),"")</f>
        <v/>
      </c>
      <c r="B359" s="101" t="str">
        <f aca="false">IF($A359="","",IFERROR(VLOOKUP($A359,PLANI_LLOGARIVE!$A:$I,2,FALSE()),"⚠ Nuk është te PLANI_LLOGARIVE"))</f>
        <v/>
      </c>
      <c r="C359" s="101" t="str">
        <f aca="false">IF($A359="","",IFERROR(VLOOKUP($A359,PLANI_LLOGARIVE!$A:$I,9,FALSE()),""))</f>
        <v/>
      </c>
      <c r="D359" s="101" t="str">
        <f aca="false">IF($A359="","",COUNTIF(DITARI!$D:$D,$A359))</f>
        <v/>
      </c>
      <c r="E359" s="101" t="str">
        <f aca="false">IF($A359="","",SUMIFS(DITARI!$F:$F,DITARI!$D:$D,$A359))</f>
        <v/>
      </c>
      <c r="F359" s="101" t="str">
        <f aca="false">IF($A359="","",SUMIFS(DITARI!$G:$G,DITARI!$D:$D,$A359))</f>
        <v/>
      </c>
      <c r="G359" s="101" t="str">
        <f aca="false">IF($A359="","",$E359-$F359)</f>
        <v/>
      </c>
    </row>
    <row r="360" customFormat="false" ht="15" hidden="false" customHeight="true" outlineLevel="0" collapsed="false">
      <c r="A360" s="101" t="str">
        <f aca="false">IFERROR(INDEX(DITARI!$D$6:$D$550,MATCH(0,COUNTIF($A$1:A359,DITARI!$D$6:$D$550)+(DITARI!$D$6:$D$550=""),0)),"")</f>
        <v/>
      </c>
      <c r="B360" s="101" t="str">
        <f aca="false">IF($A360="","",IFERROR(VLOOKUP($A360,PLANI_LLOGARIVE!$A:$I,2,FALSE()),"⚠ Nuk është te PLANI_LLOGARIVE"))</f>
        <v/>
      </c>
      <c r="C360" s="101" t="str">
        <f aca="false">IF($A360="","",IFERROR(VLOOKUP($A360,PLANI_LLOGARIVE!$A:$I,9,FALSE()),""))</f>
        <v/>
      </c>
      <c r="D360" s="101" t="str">
        <f aca="false">IF($A360="","",COUNTIF(DITARI!$D:$D,$A360))</f>
        <v/>
      </c>
      <c r="E360" s="101" t="str">
        <f aca="false">IF($A360="","",SUMIFS(DITARI!$F:$F,DITARI!$D:$D,$A360))</f>
        <v/>
      </c>
      <c r="F360" s="101" t="str">
        <f aca="false">IF($A360="","",SUMIFS(DITARI!$G:$G,DITARI!$D:$D,$A360))</f>
        <v/>
      </c>
      <c r="G360" s="101" t="str">
        <f aca="false">IF($A360="","",$E360-$F360)</f>
        <v/>
      </c>
    </row>
    <row r="361" customFormat="false" ht="15" hidden="false" customHeight="true" outlineLevel="0" collapsed="false">
      <c r="A361" s="101" t="str">
        <f aca="false">IFERROR(INDEX(DITARI!$D$6:$D$550,MATCH(0,COUNTIF($A$1:A360,DITARI!$D$6:$D$550)+(DITARI!$D$6:$D$550=""),0)),"")</f>
        <v/>
      </c>
      <c r="B361" s="101" t="str">
        <f aca="false">IF($A361="","",IFERROR(VLOOKUP($A361,PLANI_LLOGARIVE!$A:$I,2,FALSE()),"⚠ Nuk është te PLANI_LLOGARIVE"))</f>
        <v/>
      </c>
      <c r="C361" s="101" t="str">
        <f aca="false">IF($A361="","",IFERROR(VLOOKUP($A361,PLANI_LLOGARIVE!$A:$I,9,FALSE()),""))</f>
        <v/>
      </c>
      <c r="D361" s="101" t="str">
        <f aca="false">IF($A361="","",COUNTIF(DITARI!$D:$D,$A361))</f>
        <v/>
      </c>
      <c r="E361" s="101" t="str">
        <f aca="false">IF($A361="","",SUMIFS(DITARI!$F:$F,DITARI!$D:$D,$A361))</f>
        <v/>
      </c>
      <c r="F361" s="101" t="str">
        <f aca="false">IF($A361="","",SUMIFS(DITARI!$G:$G,DITARI!$D:$D,$A361))</f>
        <v/>
      </c>
      <c r="G361" s="101" t="str">
        <f aca="false">IF($A361="","",$E361-$F361)</f>
        <v/>
      </c>
    </row>
    <row r="362" customFormat="false" ht="15" hidden="false" customHeight="true" outlineLevel="0" collapsed="false">
      <c r="A362" s="101" t="str">
        <f aca="false">IFERROR(INDEX(DITARI!$D$6:$D$550,MATCH(0,COUNTIF($A$1:A361,DITARI!$D$6:$D$550)+(DITARI!$D$6:$D$550=""),0)),"")</f>
        <v/>
      </c>
      <c r="B362" s="101" t="str">
        <f aca="false">IF($A362="","",IFERROR(VLOOKUP($A362,PLANI_LLOGARIVE!$A:$I,2,FALSE()),"⚠ Nuk është te PLANI_LLOGARIVE"))</f>
        <v/>
      </c>
      <c r="C362" s="101" t="str">
        <f aca="false">IF($A362="","",IFERROR(VLOOKUP($A362,PLANI_LLOGARIVE!$A:$I,9,FALSE()),""))</f>
        <v/>
      </c>
      <c r="D362" s="101" t="str">
        <f aca="false">IF($A362="","",COUNTIF(DITARI!$D:$D,$A362))</f>
        <v/>
      </c>
      <c r="E362" s="101" t="str">
        <f aca="false">IF($A362="","",SUMIFS(DITARI!$F:$F,DITARI!$D:$D,$A362))</f>
        <v/>
      </c>
      <c r="F362" s="101" t="str">
        <f aca="false">IF($A362="","",SUMIFS(DITARI!$G:$G,DITARI!$D:$D,$A362))</f>
        <v/>
      </c>
      <c r="G362" s="101" t="str">
        <f aca="false">IF($A362="","",$E362-$F362)</f>
        <v/>
      </c>
    </row>
    <row r="363" customFormat="false" ht="15" hidden="false" customHeight="true" outlineLevel="0" collapsed="false">
      <c r="A363" s="101" t="str">
        <f aca="false">IFERROR(INDEX(DITARI!$D$6:$D$550,MATCH(0,COUNTIF($A$1:A362,DITARI!$D$6:$D$550)+(DITARI!$D$6:$D$550=""),0)),"")</f>
        <v/>
      </c>
      <c r="B363" s="101" t="str">
        <f aca="false">IF($A363="","",IFERROR(VLOOKUP($A363,PLANI_LLOGARIVE!$A:$I,2,FALSE()),"⚠ Nuk është te PLANI_LLOGARIVE"))</f>
        <v/>
      </c>
      <c r="C363" s="101" t="str">
        <f aca="false">IF($A363="","",IFERROR(VLOOKUP($A363,PLANI_LLOGARIVE!$A:$I,9,FALSE()),""))</f>
        <v/>
      </c>
      <c r="D363" s="101" t="str">
        <f aca="false">IF($A363="","",COUNTIF(DITARI!$D:$D,$A363))</f>
        <v/>
      </c>
      <c r="E363" s="101" t="str">
        <f aca="false">IF($A363="","",SUMIFS(DITARI!$F:$F,DITARI!$D:$D,$A363))</f>
        <v/>
      </c>
      <c r="F363" s="101" t="str">
        <f aca="false">IF($A363="","",SUMIFS(DITARI!$G:$G,DITARI!$D:$D,$A363))</f>
        <v/>
      </c>
      <c r="G363" s="101" t="str">
        <f aca="false">IF($A363="","",$E363-$F363)</f>
        <v/>
      </c>
    </row>
    <row r="364" customFormat="false" ht="15" hidden="false" customHeight="true" outlineLevel="0" collapsed="false">
      <c r="A364" s="101" t="str">
        <f aca="false">IFERROR(INDEX(DITARI!$D$6:$D$550,MATCH(0,COUNTIF($A$1:A363,DITARI!$D$6:$D$550)+(DITARI!$D$6:$D$550=""),0)),"")</f>
        <v/>
      </c>
      <c r="B364" s="101" t="str">
        <f aca="false">IF($A364="","",IFERROR(VLOOKUP($A364,PLANI_LLOGARIVE!$A:$I,2,FALSE()),"⚠ Nuk është te PLANI_LLOGARIVE"))</f>
        <v/>
      </c>
      <c r="C364" s="101" t="str">
        <f aca="false">IF($A364="","",IFERROR(VLOOKUP($A364,PLANI_LLOGARIVE!$A:$I,9,FALSE()),""))</f>
        <v/>
      </c>
      <c r="D364" s="101" t="str">
        <f aca="false">IF($A364="","",COUNTIF(DITARI!$D:$D,$A364))</f>
        <v/>
      </c>
      <c r="E364" s="101" t="str">
        <f aca="false">IF($A364="","",SUMIFS(DITARI!$F:$F,DITARI!$D:$D,$A364))</f>
        <v/>
      </c>
      <c r="F364" s="101" t="str">
        <f aca="false">IF($A364="","",SUMIFS(DITARI!$G:$G,DITARI!$D:$D,$A364))</f>
        <v/>
      </c>
      <c r="G364" s="101" t="str">
        <f aca="false">IF($A364="","",$E364-$F364)</f>
        <v/>
      </c>
    </row>
    <row r="365" customFormat="false" ht="15" hidden="false" customHeight="true" outlineLevel="0" collapsed="false">
      <c r="A365" s="101" t="str">
        <f aca="false">IFERROR(INDEX(DITARI!$D$6:$D$550,MATCH(0,COUNTIF($A$1:A364,DITARI!$D$6:$D$550)+(DITARI!$D$6:$D$550=""),0)),"")</f>
        <v/>
      </c>
      <c r="B365" s="101" t="str">
        <f aca="false">IF($A365="","",IFERROR(VLOOKUP($A365,PLANI_LLOGARIVE!$A:$I,2,FALSE()),"⚠ Nuk është te PLANI_LLOGARIVE"))</f>
        <v/>
      </c>
      <c r="C365" s="101" t="str">
        <f aca="false">IF($A365="","",IFERROR(VLOOKUP($A365,PLANI_LLOGARIVE!$A:$I,9,FALSE()),""))</f>
        <v/>
      </c>
      <c r="D365" s="101" t="str">
        <f aca="false">IF($A365="","",COUNTIF(DITARI!$D:$D,$A365))</f>
        <v/>
      </c>
      <c r="E365" s="101" t="str">
        <f aca="false">IF($A365="","",SUMIFS(DITARI!$F:$F,DITARI!$D:$D,$A365))</f>
        <v/>
      </c>
      <c r="F365" s="101" t="str">
        <f aca="false">IF($A365="","",SUMIFS(DITARI!$G:$G,DITARI!$D:$D,$A365))</f>
        <v/>
      </c>
      <c r="G365" s="101" t="str">
        <f aca="false">IF($A365="","",$E365-$F365)</f>
        <v/>
      </c>
    </row>
    <row r="366" customFormat="false" ht="15" hidden="false" customHeight="true" outlineLevel="0" collapsed="false">
      <c r="A366" s="101" t="str">
        <f aca="false">IFERROR(INDEX(DITARI!$D$6:$D$550,MATCH(0,COUNTIF($A$1:A365,DITARI!$D$6:$D$550)+(DITARI!$D$6:$D$550=""),0)),"")</f>
        <v/>
      </c>
      <c r="B366" s="101" t="str">
        <f aca="false">IF($A366="","",IFERROR(VLOOKUP($A366,PLANI_LLOGARIVE!$A:$I,2,FALSE()),"⚠ Nuk është te PLANI_LLOGARIVE"))</f>
        <v/>
      </c>
      <c r="C366" s="101" t="str">
        <f aca="false">IF($A366="","",IFERROR(VLOOKUP($A366,PLANI_LLOGARIVE!$A:$I,9,FALSE()),""))</f>
        <v/>
      </c>
      <c r="D366" s="101" t="str">
        <f aca="false">IF($A366="","",COUNTIF(DITARI!$D:$D,$A366))</f>
        <v/>
      </c>
      <c r="E366" s="101" t="str">
        <f aca="false">IF($A366="","",SUMIFS(DITARI!$F:$F,DITARI!$D:$D,$A366))</f>
        <v/>
      </c>
      <c r="F366" s="101" t="str">
        <f aca="false">IF($A366="","",SUMIFS(DITARI!$G:$G,DITARI!$D:$D,$A366))</f>
        <v/>
      </c>
      <c r="G366" s="101" t="str">
        <f aca="false">IF($A366="","",$E366-$F366)</f>
        <v/>
      </c>
    </row>
    <row r="367" customFormat="false" ht="15" hidden="false" customHeight="true" outlineLevel="0" collapsed="false">
      <c r="A367" s="101" t="str">
        <f aca="false">IFERROR(INDEX(DITARI!$D$6:$D$550,MATCH(0,COUNTIF($A$1:A366,DITARI!$D$6:$D$550)+(DITARI!$D$6:$D$550=""),0)),"")</f>
        <v/>
      </c>
      <c r="B367" s="101" t="str">
        <f aca="false">IF($A367="","",IFERROR(VLOOKUP($A367,PLANI_LLOGARIVE!$A:$I,2,FALSE()),"⚠ Nuk është te PLANI_LLOGARIVE"))</f>
        <v/>
      </c>
      <c r="C367" s="101" t="str">
        <f aca="false">IF($A367="","",IFERROR(VLOOKUP($A367,PLANI_LLOGARIVE!$A:$I,9,FALSE()),""))</f>
        <v/>
      </c>
      <c r="D367" s="101" t="str">
        <f aca="false">IF($A367="","",COUNTIF(DITARI!$D:$D,$A367))</f>
        <v/>
      </c>
      <c r="E367" s="101" t="str">
        <f aca="false">IF($A367="","",SUMIFS(DITARI!$F:$F,DITARI!$D:$D,$A367))</f>
        <v/>
      </c>
      <c r="F367" s="101" t="str">
        <f aca="false">IF($A367="","",SUMIFS(DITARI!$G:$G,DITARI!$D:$D,$A367))</f>
        <v/>
      </c>
      <c r="G367" s="101" t="str">
        <f aca="false">IF($A367="","",$E367-$F367)</f>
        <v/>
      </c>
    </row>
    <row r="368" customFormat="false" ht="15" hidden="false" customHeight="true" outlineLevel="0" collapsed="false">
      <c r="A368" s="101" t="str">
        <f aca="false">IFERROR(INDEX(DITARI!$D$6:$D$550,MATCH(0,COUNTIF($A$1:A367,DITARI!$D$6:$D$550)+(DITARI!$D$6:$D$550=""),0)),"")</f>
        <v/>
      </c>
      <c r="B368" s="101" t="str">
        <f aca="false">IF($A368="","",IFERROR(VLOOKUP($A368,PLANI_LLOGARIVE!$A:$I,2,FALSE()),"⚠ Nuk është te PLANI_LLOGARIVE"))</f>
        <v/>
      </c>
      <c r="C368" s="101" t="str">
        <f aca="false">IF($A368="","",IFERROR(VLOOKUP($A368,PLANI_LLOGARIVE!$A:$I,9,FALSE()),""))</f>
        <v/>
      </c>
      <c r="D368" s="101" t="str">
        <f aca="false">IF($A368="","",COUNTIF(DITARI!$D:$D,$A368))</f>
        <v/>
      </c>
      <c r="E368" s="101" t="str">
        <f aca="false">IF($A368="","",SUMIFS(DITARI!$F:$F,DITARI!$D:$D,$A368))</f>
        <v/>
      </c>
      <c r="F368" s="101" t="str">
        <f aca="false">IF($A368="","",SUMIFS(DITARI!$G:$G,DITARI!$D:$D,$A368))</f>
        <v/>
      </c>
      <c r="G368" s="101" t="str">
        <f aca="false">IF($A368="","",$E368-$F368)</f>
        <v/>
      </c>
    </row>
    <row r="369" customFormat="false" ht="15" hidden="false" customHeight="true" outlineLevel="0" collapsed="false">
      <c r="A369" s="101" t="str">
        <f aca="false">IFERROR(INDEX(DITARI!$D$6:$D$550,MATCH(0,COUNTIF($A$1:A368,DITARI!$D$6:$D$550)+(DITARI!$D$6:$D$550=""),0)),"")</f>
        <v/>
      </c>
      <c r="B369" s="101" t="str">
        <f aca="false">IF($A369="","",IFERROR(VLOOKUP($A369,PLANI_LLOGARIVE!$A:$I,2,FALSE()),"⚠ Nuk është te PLANI_LLOGARIVE"))</f>
        <v/>
      </c>
      <c r="C369" s="101" t="str">
        <f aca="false">IF($A369="","",IFERROR(VLOOKUP($A369,PLANI_LLOGARIVE!$A:$I,9,FALSE()),""))</f>
        <v/>
      </c>
      <c r="D369" s="101" t="str">
        <f aca="false">IF($A369="","",COUNTIF(DITARI!$D:$D,$A369))</f>
        <v/>
      </c>
      <c r="E369" s="101" t="str">
        <f aca="false">IF($A369="","",SUMIFS(DITARI!$F:$F,DITARI!$D:$D,$A369))</f>
        <v/>
      </c>
      <c r="F369" s="101" t="str">
        <f aca="false">IF($A369="","",SUMIFS(DITARI!$G:$G,DITARI!$D:$D,$A369))</f>
        <v/>
      </c>
      <c r="G369" s="101" t="str">
        <f aca="false">IF($A369="","",$E369-$F369)</f>
        <v/>
      </c>
    </row>
    <row r="370" customFormat="false" ht="15" hidden="false" customHeight="true" outlineLevel="0" collapsed="false">
      <c r="A370" s="101" t="str">
        <f aca="false">IFERROR(INDEX(DITARI!$D$6:$D$550,MATCH(0,COUNTIF($A$1:A369,DITARI!$D$6:$D$550)+(DITARI!$D$6:$D$550=""),0)),"")</f>
        <v/>
      </c>
      <c r="B370" s="101" t="str">
        <f aca="false">IF($A370="","",IFERROR(VLOOKUP($A370,PLANI_LLOGARIVE!$A:$I,2,FALSE()),"⚠ Nuk është te PLANI_LLOGARIVE"))</f>
        <v/>
      </c>
      <c r="C370" s="101" t="str">
        <f aca="false">IF($A370="","",IFERROR(VLOOKUP($A370,PLANI_LLOGARIVE!$A:$I,9,FALSE()),""))</f>
        <v/>
      </c>
      <c r="D370" s="101" t="str">
        <f aca="false">IF($A370="","",COUNTIF(DITARI!$D:$D,$A370))</f>
        <v/>
      </c>
      <c r="E370" s="101" t="str">
        <f aca="false">IF($A370="","",SUMIFS(DITARI!$F:$F,DITARI!$D:$D,$A370))</f>
        <v/>
      </c>
      <c r="F370" s="101" t="str">
        <f aca="false">IF($A370="","",SUMIFS(DITARI!$G:$G,DITARI!$D:$D,$A370))</f>
        <v/>
      </c>
      <c r="G370" s="101" t="str">
        <f aca="false">IF($A370="","",$E370-$F370)</f>
        <v/>
      </c>
    </row>
    <row r="371" customFormat="false" ht="15" hidden="false" customHeight="true" outlineLevel="0" collapsed="false">
      <c r="A371" s="101" t="str">
        <f aca="false">IFERROR(INDEX(DITARI!$D$6:$D$550,MATCH(0,COUNTIF($A$1:A370,DITARI!$D$6:$D$550)+(DITARI!$D$6:$D$550=""),0)),"")</f>
        <v/>
      </c>
      <c r="B371" s="101" t="str">
        <f aca="false">IF($A371="","",IFERROR(VLOOKUP($A371,PLANI_LLOGARIVE!$A:$I,2,FALSE()),"⚠ Nuk është te PLANI_LLOGARIVE"))</f>
        <v/>
      </c>
      <c r="C371" s="101" t="str">
        <f aca="false">IF($A371="","",IFERROR(VLOOKUP($A371,PLANI_LLOGARIVE!$A:$I,9,FALSE()),""))</f>
        <v/>
      </c>
      <c r="D371" s="101" t="str">
        <f aca="false">IF($A371="","",COUNTIF(DITARI!$D:$D,$A371))</f>
        <v/>
      </c>
      <c r="E371" s="101" t="str">
        <f aca="false">IF($A371="","",SUMIFS(DITARI!$F:$F,DITARI!$D:$D,$A371))</f>
        <v/>
      </c>
      <c r="F371" s="101" t="str">
        <f aca="false">IF($A371="","",SUMIFS(DITARI!$G:$G,DITARI!$D:$D,$A371))</f>
        <v/>
      </c>
      <c r="G371" s="101" t="str">
        <f aca="false">IF($A371="","",$E371-$F371)</f>
        <v/>
      </c>
    </row>
    <row r="372" customFormat="false" ht="15" hidden="false" customHeight="true" outlineLevel="0" collapsed="false">
      <c r="A372" s="101" t="str">
        <f aca="false">IFERROR(INDEX(DITARI!$D$6:$D$550,MATCH(0,COUNTIF($A$1:A371,DITARI!$D$6:$D$550)+(DITARI!$D$6:$D$550=""),0)),"")</f>
        <v/>
      </c>
      <c r="B372" s="101" t="str">
        <f aca="false">IF($A372="","",IFERROR(VLOOKUP($A372,PLANI_LLOGARIVE!$A:$I,2,FALSE()),"⚠ Nuk është te PLANI_LLOGARIVE"))</f>
        <v/>
      </c>
      <c r="C372" s="101" t="str">
        <f aca="false">IF($A372="","",IFERROR(VLOOKUP($A372,PLANI_LLOGARIVE!$A:$I,9,FALSE()),""))</f>
        <v/>
      </c>
      <c r="D372" s="101" t="str">
        <f aca="false">IF($A372="","",COUNTIF(DITARI!$D:$D,$A372))</f>
        <v/>
      </c>
      <c r="E372" s="101" t="str">
        <f aca="false">IF($A372="","",SUMIFS(DITARI!$F:$F,DITARI!$D:$D,$A372))</f>
        <v/>
      </c>
      <c r="F372" s="101" t="str">
        <f aca="false">IF($A372="","",SUMIFS(DITARI!$G:$G,DITARI!$D:$D,$A372))</f>
        <v/>
      </c>
      <c r="G372" s="101" t="str">
        <f aca="false">IF($A372="","",$E372-$F372)</f>
        <v/>
      </c>
    </row>
    <row r="373" customFormat="false" ht="15" hidden="false" customHeight="true" outlineLevel="0" collapsed="false">
      <c r="A373" s="101" t="str">
        <f aca="false">IFERROR(INDEX(DITARI!$D$6:$D$550,MATCH(0,COUNTIF($A$1:A372,DITARI!$D$6:$D$550)+(DITARI!$D$6:$D$550=""),0)),"")</f>
        <v/>
      </c>
      <c r="B373" s="101" t="str">
        <f aca="false">IF($A373="","",IFERROR(VLOOKUP($A373,PLANI_LLOGARIVE!$A:$I,2,FALSE()),"⚠ Nuk është te PLANI_LLOGARIVE"))</f>
        <v/>
      </c>
      <c r="C373" s="101" t="str">
        <f aca="false">IF($A373="","",IFERROR(VLOOKUP($A373,PLANI_LLOGARIVE!$A:$I,9,FALSE()),""))</f>
        <v/>
      </c>
      <c r="D373" s="101" t="str">
        <f aca="false">IF($A373="","",COUNTIF(DITARI!$D:$D,$A373))</f>
        <v/>
      </c>
      <c r="E373" s="101" t="str">
        <f aca="false">IF($A373="","",SUMIFS(DITARI!$F:$F,DITARI!$D:$D,$A373))</f>
        <v/>
      </c>
      <c r="F373" s="101" t="str">
        <f aca="false">IF($A373="","",SUMIFS(DITARI!$G:$G,DITARI!$D:$D,$A373))</f>
        <v/>
      </c>
      <c r="G373" s="101" t="str">
        <f aca="false">IF($A373="","",$E373-$F373)</f>
        <v/>
      </c>
    </row>
    <row r="374" customFormat="false" ht="15" hidden="false" customHeight="true" outlineLevel="0" collapsed="false">
      <c r="A374" s="101" t="str">
        <f aca="false">IFERROR(INDEX(DITARI!$D$6:$D$550,MATCH(0,COUNTIF($A$1:A373,DITARI!$D$6:$D$550)+(DITARI!$D$6:$D$550=""),0)),"")</f>
        <v/>
      </c>
      <c r="B374" s="101" t="str">
        <f aca="false">IF($A374="","",IFERROR(VLOOKUP($A374,PLANI_LLOGARIVE!$A:$I,2,FALSE()),"⚠ Nuk është te PLANI_LLOGARIVE"))</f>
        <v/>
      </c>
      <c r="C374" s="101" t="str">
        <f aca="false">IF($A374="","",IFERROR(VLOOKUP($A374,PLANI_LLOGARIVE!$A:$I,9,FALSE()),""))</f>
        <v/>
      </c>
      <c r="D374" s="101" t="str">
        <f aca="false">IF($A374="","",COUNTIF(DITARI!$D:$D,$A374))</f>
        <v/>
      </c>
      <c r="E374" s="101" t="str">
        <f aca="false">IF($A374="","",SUMIFS(DITARI!$F:$F,DITARI!$D:$D,$A374))</f>
        <v/>
      </c>
      <c r="F374" s="101" t="str">
        <f aca="false">IF($A374="","",SUMIFS(DITARI!$G:$G,DITARI!$D:$D,$A374))</f>
        <v/>
      </c>
      <c r="G374" s="101" t="str">
        <f aca="false">IF($A374="","",$E374-$F374)</f>
        <v/>
      </c>
    </row>
    <row r="375" customFormat="false" ht="15" hidden="false" customHeight="true" outlineLevel="0" collapsed="false">
      <c r="A375" s="101" t="str">
        <f aca="false">IFERROR(INDEX(DITARI!$D$6:$D$550,MATCH(0,COUNTIF($A$1:A374,DITARI!$D$6:$D$550)+(DITARI!$D$6:$D$550=""),0)),"")</f>
        <v/>
      </c>
      <c r="B375" s="101" t="str">
        <f aca="false">IF($A375="","",IFERROR(VLOOKUP($A375,PLANI_LLOGARIVE!$A:$I,2,FALSE()),"⚠ Nuk është te PLANI_LLOGARIVE"))</f>
        <v/>
      </c>
      <c r="C375" s="101" t="str">
        <f aca="false">IF($A375="","",IFERROR(VLOOKUP($A375,PLANI_LLOGARIVE!$A:$I,9,FALSE()),""))</f>
        <v/>
      </c>
      <c r="D375" s="101" t="str">
        <f aca="false">IF($A375="","",COUNTIF(DITARI!$D:$D,$A375))</f>
        <v/>
      </c>
      <c r="E375" s="101" t="str">
        <f aca="false">IF($A375="","",SUMIFS(DITARI!$F:$F,DITARI!$D:$D,$A375))</f>
        <v/>
      </c>
      <c r="F375" s="101" t="str">
        <f aca="false">IF($A375="","",SUMIFS(DITARI!$G:$G,DITARI!$D:$D,$A375))</f>
        <v/>
      </c>
      <c r="G375" s="101" t="str">
        <f aca="false">IF($A375="","",$E375-$F375)</f>
        <v/>
      </c>
    </row>
    <row r="376" customFormat="false" ht="15" hidden="false" customHeight="true" outlineLevel="0" collapsed="false">
      <c r="A376" s="101" t="str">
        <f aca="false">IFERROR(INDEX(DITARI!$D$6:$D$550,MATCH(0,COUNTIF($A$1:A375,DITARI!$D$6:$D$550)+(DITARI!$D$6:$D$550=""),0)),"")</f>
        <v/>
      </c>
      <c r="B376" s="101" t="str">
        <f aca="false">IF($A376="","",IFERROR(VLOOKUP($A376,PLANI_LLOGARIVE!$A:$I,2,FALSE()),"⚠ Nuk është te PLANI_LLOGARIVE"))</f>
        <v/>
      </c>
      <c r="C376" s="101" t="str">
        <f aca="false">IF($A376="","",IFERROR(VLOOKUP($A376,PLANI_LLOGARIVE!$A:$I,9,FALSE()),""))</f>
        <v/>
      </c>
      <c r="D376" s="101" t="str">
        <f aca="false">IF($A376="","",COUNTIF(DITARI!$D:$D,$A376))</f>
        <v/>
      </c>
      <c r="E376" s="101" t="str">
        <f aca="false">IF($A376="","",SUMIFS(DITARI!$F:$F,DITARI!$D:$D,$A376))</f>
        <v/>
      </c>
      <c r="F376" s="101" t="str">
        <f aca="false">IF($A376="","",SUMIFS(DITARI!$G:$G,DITARI!$D:$D,$A376))</f>
        <v/>
      </c>
      <c r="G376" s="101" t="str">
        <f aca="false">IF($A376="","",$E376-$F376)</f>
        <v/>
      </c>
    </row>
    <row r="377" customFormat="false" ht="15" hidden="false" customHeight="true" outlineLevel="0" collapsed="false">
      <c r="A377" s="101" t="str">
        <f aca="false">IFERROR(INDEX(DITARI!$D$6:$D$550,MATCH(0,COUNTIF($A$1:A376,DITARI!$D$6:$D$550)+(DITARI!$D$6:$D$550=""),0)),"")</f>
        <v/>
      </c>
      <c r="B377" s="101" t="str">
        <f aca="false">IF($A377="","",IFERROR(VLOOKUP($A377,PLANI_LLOGARIVE!$A:$I,2,FALSE()),"⚠ Nuk është te PLANI_LLOGARIVE"))</f>
        <v/>
      </c>
      <c r="C377" s="101" t="str">
        <f aca="false">IF($A377="","",IFERROR(VLOOKUP($A377,PLANI_LLOGARIVE!$A:$I,9,FALSE()),""))</f>
        <v/>
      </c>
      <c r="D377" s="101" t="str">
        <f aca="false">IF($A377="","",COUNTIF(DITARI!$D:$D,$A377))</f>
        <v/>
      </c>
      <c r="E377" s="101" t="str">
        <f aca="false">IF($A377="","",SUMIFS(DITARI!$F:$F,DITARI!$D:$D,$A377))</f>
        <v/>
      </c>
      <c r="F377" s="101" t="str">
        <f aca="false">IF($A377="","",SUMIFS(DITARI!$G:$G,DITARI!$D:$D,$A377))</f>
        <v/>
      </c>
      <c r="G377" s="101" t="str">
        <f aca="false">IF($A377="","",$E377-$F377)</f>
        <v/>
      </c>
    </row>
    <row r="378" customFormat="false" ht="15" hidden="false" customHeight="true" outlineLevel="0" collapsed="false">
      <c r="A378" s="101" t="str">
        <f aca="false">IFERROR(INDEX(DITARI!$D$6:$D$550,MATCH(0,COUNTIF($A$1:A377,DITARI!$D$6:$D$550)+(DITARI!$D$6:$D$550=""),0)),"")</f>
        <v/>
      </c>
      <c r="B378" s="101" t="str">
        <f aca="false">IF($A378="","",IFERROR(VLOOKUP($A378,PLANI_LLOGARIVE!$A:$I,2,FALSE()),"⚠ Nuk është te PLANI_LLOGARIVE"))</f>
        <v/>
      </c>
      <c r="C378" s="101" t="str">
        <f aca="false">IF($A378="","",IFERROR(VLOOKUP($A378,PLANI_LLOGARIVE!$A:$I,9,FALSE()),""))</f>
        <v/>
      </c>
      <c r="D378" s="101" t="str">
        <f aca="false">IF($A378="","",COUNTIF(DITARI!$D:$D,$A378))</f>
        <v/>
      </c>
      <c r="E378" s="101" t="str">
        <f aca="false">IF($A378="","",SUMIFS(DITARI!$F:$F,DITARI!$D:$D,$A378))</f>
        <v/>
      </c>
      <c r="F378" s="101" t="str">
        <f aca="false">IF($A378="","",SUMIFS(DITARI!$G:$G,DITARI!$D:$D,$A378))</f>
        <v/>
      </c>
      <c r="G378" s="101" t="str">
        <f aca="false">IF($A378="","",$E378-$F378)</f>
        <v/>
      </c>
    </row>
    <row r="379" customFormat="false" ht="15" hidden="false" customHeight="true" outlineLevel="0" collapsed="false">
      <c r="A379" s="101" t="str">
        <f aca="false">IFERROR(INDEX(DITARI!$D$6:$D$550,MATCH(0,COUNTIF($A$1:A378,DITARI!$D$6:$D$550)+(DITARI!$D$6:$D$550=""),0)),"")</f>
        <v/>
      </c>
      <c r="B379" s="101" t="str">
        <f aca="false">IF($A379="","",IFERROR(VLOOKUP($A379,PLANI_LLOGARIVE!$A:$I,2,FALSE()),"⚠ Nuk është te PLANI_LLOGARIVE"))</f>
        <v/>
      </c>
      <c r="C379" s="101" t="str">
        <f aca="false">IF($A379="","",IFERROR(VLOOKUP($A379,PLANI_LLOGARIVE!$A:$I,9,FALSE()),""))</f>
        <v/>
      </c>
      <c r="D379" s="101" t="str">
        <f aca="false">IF($A379="","",COUNTIF(DITARI!$D:$D,$A379))</f>
        <v/>
      </c>
      <c r="E379" s="101" t="str">
        <f aca="false">IF($A379="","",SUMIFS(DITARI!$F:$F,DITARI!$D:$D,$A379))</f>
        <v/>
      </c>
      <c r="F379" s="101" t="str">
        <f aca="false">IF($A379="","",SUMIFS(DITARI!$G:$G,DITARI!$D:$D,$A379))</f>
        <v/>
      </c>
      <c r="G379" s="101" t="str">
        <f aca="false">IF($A379="","",$E379-$F379)</f>
        <v/>
      </c>
    </row>
    <row r="380" customFormat="false" ht="15" hidden="false" customHeight="true" outlineLevel="0" collapsed="false">
      <c r="A380" s="101" t="str">
        <f aca="false">IFERROR(INDEX(DITARI!$D$6:$D$550,MATCH(0,COUNTIF($A$1:A379,DITARI!$D$6:$D$550)+(DITARI!$D$6:$D$550=""),0)),"")</f>
        <v/>
      </c>
      <c r="B380" s="101" t="str">
        <f aca="false">IF($A380="","",IFERROR(VLOOKUP($A380,PLANI_LLOGARIVE!$A:$I,2,FALSE()),"⚠ Nuk është te PLANI_LLOGARIVE"))</f>
        <v/>
      </c>
      <c r="C380" s="101" t="str">
        <f aca="false">IF($A380="","",IFERROR(VLOOKUP($A380,PLANI_LLOGARIVE!$A:$I,9,FALSE()),""))</f>
        <v/>
      </c>
      <c r="D380" s="101" t="str">
        <f aca="false">IF($A380="","",COUNTIF(DITARI!$D:$D,$A380))</f>
        <v/>
      </c>
      <c r="E380" s="101" t="str">
        <f aca="false">IF($A380="","",SUMIFS(DITARI!$F:$F,DITARI!$D:$D,$A380))</f>
        <v/>
      </c>
      <c r="F380" s="101" t="str">
        <f aca="false">IF($A380="","",SUMIFS(DITARI!$G:$G,DITARI!$D:$D,$A380))</f>
        <v/>
      </c>
      <c r="G380" s="101" t="str">
        <f aca="false">IF($A380="","",$E380-$F380)</f>
        <v/>
      </c>
    </row>
    <row r="381" customFormat="false" ht="15" hidden="false" customHeight="true" outlineLevel="0" collapsed="false">
      <c r="A381" s="101" t="str">
        <f aca="false">IFERROR(INDEX(DITARI!$D$6:$D$550,MATCH(0,COUNTIF($A$1:A380,DITARI!$D$6:$D$550)+(DITARI!$D$6:$D$550=""),0)),"")</f>
        <v/>
      </c>
      <c r="B381" s="101" t="str">
        <f aca="false">IF($A381="","",IFERROR(VLOOKUP($A381,PLANI_LLOGARIVE!$A:$I,2,FALSE()),"⚠ Nuk është te PLANI_LLOGARIVE"))</f>
        <v/>
      </c>
      <c r="C381" s="101" t="str">
        <f aca="false">IF($A381="","",IFERROR(VLOOKUP($A381,PLANI_LLOGARIVE!$A:$I,9,FALSE()),""))</f>
        <v/>
      </c>
      <c r="D381" s="101" t="str">
        <f aca="false">IF($A381="","",COUNTIF(DITARI!$D:$D,$A381))</f>
        <v/>
      </c>
      <c r="E381" s="101" t="str">
        <f aca="false">IF($A381="","",SUMIFS(DITARI!$F:$F,DITARI!$D:$D,$A381))</f>
        <v/>
      </c>
      <c r="F381" s="101" t="str">
        <f aca="false">IF($A381="","",SUMIFS(DITARI!$G:$G,DITARI!$D:$D,$A381))</f>
        <v/>
      </c>
      <c r="G381" s="101" t="str">
        <f aca="false">IF($A381="","",$E381-$F381)</f>
        <v/>
      </c>
    </row>
    <row r="382" customFormat="false" ht="15" hidden="false" customHeight="true" outlineLevel="0" collapsed="false">
      <c r="A382" s="101" t="str">
        <f aca="false">IFERROR(INDEX(DITARI!$D$6:$D$550,MATCH(0,COUNTIF($A$1:A381,DITARI!$D$6:$D$550)+(DITARI!$D$6:$D$550=""),0)),"")</f>
        <v/>
      </c>
      <c r="B382" s="101" t="str">
        <f aca="false">IF($A382="","",IFERROR(VLOOKUP($A382,PLANI_LLOGARIVE!$A:$I,2,FALSE()),"⚠ Nuk është te PLANI_LLOGARIVE"))</f>
        <v/>
      </c>
      <c r="C382" s="101" t="str">
        <f aca="false">IF($A382="","",IFERROR(VLOOKUP($A382,PLANI_LLOGARIVE!$A:$I,9,FALSE()),""))</f>
        <v/>
      </c>
      <c r="D382" s="101" t="str">
        <f aca="false">IF($A382="","",COUNTIF(DITARI!$D:$D,$A382))</f>
        <v/>
      </c>
      <c r="E382" s="101" t="str">
        <f aca="false">IF($A382="","",SUMIFS(DITARI!$F:$F,DITARI!$D:$D,$A382))</f>
        <v/>
      </c>
      <c r="F382" s="101" t="str">
        <f aca="false">IF($A382="","",SUMIFS(DITARI!$G:$G,DITARI!$D:$D,$A382))</f>
        <v/>
      </c>
      <c r="G382" s="101" t="str">
        <f aca="false">IF($A382="","",$E382-$F382)</f>
        <v/>
      </c>
    </row>
    <row r="383" customFormat="false" ht="15" hidden="false" customHeight="true" outlineLevel="0" collapsed="false">
      <c r="A383" s="101" t="str">
        <f aca="false">IFERROR(INDEX(DITARI!$D$6:$D$550,MATCH(0,COUNTIF($A$1:A382,DITARI!$D$6:$D$550)+(DITARI!$D$6:$D$550=""),0)),"")</f>
        <v/>
      </c>
      <c r="B383" s="101" t="str">
        <f aca="false">IF($A383="","",IFERROR(VLOOKUP($A383,PLANI_LLOGARIVE!$A:$I,2,FALSE()),"⚠ Nuk është te PLANI_LLOGARIVE"))</f>
        <v/>
      </c>
      <c r="C383" s="101" t="str">
        <f aca="false">IF($A383="","",IFERROR(VLOOKUP($A383,PLANI_LLOGARIVE!$A:$I,9,FALSE()),""))</f>
        <v/>
      </c>
      <c r="D383" s="101" t="str">
        <f aca="false">IF($A383="","",COUNTIF(DITARI!$D:$D,$A383))</f>
        <v/>
      </c>
      <c r="E383" s="101" t="str">
        <f aca="false">IF($A383="","",SUMIFS(DITARI!$F:$F,DITARI!$D:$D,$A383))</f>
        <v/>
      </c>
      <c r="F383" s="101" t="str">
        <f aca="false">IF($A383="","",SUMIFS(DITARI!$G:$G,DITARI!$D:$D,$A383))</f>
        <v/>
      </c>
      <c r="G383" s="101" t="str">
        <f aca="false">IF($A383="","",$E383-$F383)</f>
        <v/>
      </c>
    </row>
    <row r="384" customFormat="false" ht="15" hidden="false" customHeight="true" outlineLevel="0" collapsed="false">
      <c r="A384" s="101" t="str">
        <f aca="false">IFERROR(INDEX(DITARI!$D$6:$D$550,MATCH(0,COUNTIF($A$1:A383,DITARI!$D$6:$D$550)+(DITARI!$D$6:$D$550=""),0)),"")</f>
        <v/>
      </c>
      <c r="B384" s="101" t="str">
        <f aca="false">IF($A384="","",IFERROR(VLOOKUP($A384,PLANI_LLOGARIVE!$A:$I,2,FALSE()),"⚠ Nuk është te PLANI_LLOGARIVE"))</f>
        <v/>
      </c>
      <c r="C384" s="101" t="str">
        <f aca="false">IF($A384="","",IFERROR(VLOOKUP($A384,PLANI_LLOGARIVE!$A:$I,9,FALSE()),""))</f>
        <v/>
      </c>
      <c r="D384" s="101" t="str">
        <f aca="false">IF($A384="","",COUNTIF(DITARI!$D:$D,$A384))</f>
        <v/>
      </c>
      <c r="E384" s="101" t="str">
        <f aca="false">IF($A384="","",SUMIFS(DITARI!$F:$F,DITARI!$D:$D,$A384))</f>
        <v/>
      </c>
      <c r="F384" s="101" t="str">
        <f aca="false">IF($A384="","",SUMIFS(DITARI!$G:$G,DITARI!$D:$D,$A384))</f>
        <v/>
      </c>
      <c r="G384" s="101" t="str">
        <f aca="false">IF($A384="","",$E384-$F384)</f>
        <v/>
      </c>
    </row>
    <row r="385" customFormat="false" ht="15" hidden="false" customHeight="true" outlineLevel="0" collapsed="false">
      <c r="A385" s="101" t="str">
        <f aca="false">IFERROR(INDEX(DITARI!$D$6:$D$550,MATCH(0,COUNTIF($A$1:A384,DITARI!$D$6:$D$550)+(DITARI!$D$6:$D$550=""),0)),"")</f>
        <v/>
      </c>
      <c r="B385" s="101" t="str">
        <f aca="false">IF($A385="","",IFERROR(VLOOKUP($A385,PLANI_LLOGARIVE!$A:$I,2,FALSE()),"⚠ Nuk është te PLANI_LLOGARIVE"))</f>
        <v/>
      </c>
      <c r="C385" s="101" t="str">
        <f aca="false">IF($A385="","",IFERROR(VLOOKUP($A385,PLANI_LLOGARIVE!$A:$I,9,FALSE()),""))</f>
        <v/>
      </c>
      <c r="D385" s="101" t="str">
        <f aca="false">IF($A385="","",COUNTIF(DITARI!$D:$D,$A385))</f>
        <v/>
      </c>
      <c r="E385" s="101" t="str">
        <f aca="false">IF($A385="","",SUMIFS(DITARI!$F:$F,DITARI!$D:$D,$A385))</f>
        <v/>
      </c>
      <c r="F385" s="101" t="str">
        <f aca="false">IF($A385="","",SUMIFS(DITARI!$G:$G,DITARI!$D:$D,$A385))</f>
        <v/>
      </c>
      <c r="G385" s="101" t="str">
        <f aca="false">IF($A385="","",$E385-$F385)</f>
        <v/>
      </c>
    </row>
    <row r="386" customFormat="false" ht="15" hidden="false" customHeight="true" outlineLevel="0" collapsed="false">
      <c r="A386" s="101" t="str">
        <f aca="false">IFERROR(INDEX(DITARI!$D$6:$D$550,MATCH(0,COUNTIF($A$1:A385,DITARI!$D$6:$D$550)+(DITARI!$D$6:$D$550=""),0)),"")</f>
        <v/>
      </c>
      <c r="B386" s="101" t="str">
        <f aca="false">IF($A386="","",IFERROR(VLOOKUP($A386,PLANI_LLOGARIVE!$A:$I,2,FALSE()),"⚠ Nuk është te PLANI_LLOGARIVE"))</f>
        <v/>
      </c>
      <c r="C386" s="101" t="str">
        <f aca="false">IF($A386="","",IFERROR(VLOOKUP($A386,PLANI_LLOGARIVE!$A:$I,9,FALSE()),""))</f>
        <v/>
      </c>
      <c r="D386" s="101" t="str">
        <f aca="false">IF($A386="","",COUNTIF(DITARI!$D:$D,$A386))</f>
        <v/>
      </c>
      <c r="E386" s="101" t="str">
        <f aca="false">IF($A386="","",SUMIFS(DITARI!$F:$F,DITARI!$D:$D,$A386))</f>
        <v/>
      </c>
      <c r="F386" s="101" t="str">
        <f aca="false">IF($A386="","",SUMIFS(DITARI!$G:$G,DITARI!$D:$D,$A386))</f>
        <v/>
      </c>
      <c r="G386" s="101" t="str">
        <f aca="false">IF($A386="","",$E386-$F386)</f>
        <v/>
      </c>
    </row>
    <row r="387" customFormat="false" ht="15" hidden="false" customHeight="true" outlineLevel="0" collapsed="false">
      <c r="A387" s="101" t="str">
        <f aca="false">IFERROR(INDEX(DITARI!$D$6:$D$550,MATCH(0,COUNTIF($A$1:A386,DITARI!$D$6:$D$550)+(DITARI!$D$6:$D$550=""),0)),"")</f>
        <v/>
      </c>
      <c r="B387" s="101" t="str">
        <f aca="false">IF($A387="","",IFERROR(VLOOKUP($A387,PLANI_LLOGARIVE!$A:$I,2,FALSE()),"⚠ Nuk është te PLANI_LLOGARIVE"))</f>
        <v/>
      </c>
      <c r="C387" s="101" t="str">
        <f aca="false">IF($A387="","",IFERROR(VLOOKUP($A387,PLANI_LLOGARIVE!$A:$I,9,FALSE()),""))</f>
        <v/>
      </c>
      <c r="D387" s="101" t="str">
        <f aca="false">IF($A387="","",COUNTIF(DITARI!$D:$D,$A387))</f>
        <v/>
      </c>
      <c r="E387" s="101" t="str">
        <f aca="false">IF($A387="","",SUMIFS(DITARI!$F:$F,DITARI!$D:$D,$A387))</f>
        <v/>
      </c>
      <c r="F387" s="101" t="str">
        <f aca="false">IF($A387="","",SUMIFS(DITARI!$G:$G,DITARI!$D:$D,$A387))</f>
        <v/>
      </c>
      <c r="G387" s="101" t="str">
        <f aca="false">IF($A387="","",$E387-$F387)</f>
        <v/>
      </c>
    </row>
    <row r="388" customFormat="false" ht="15" hidden="false" customHeight="true" outlineLevel="0" collapsed="false">
      <c r="A388" s="101" t="str">
        <f aca="false">IFERROR(INDEX(DITARI!$D$6:$D$550,MATCH(0,COUNTIF($A$1:A387,DITARI!$D$6:$D$550)+(DITARI!$D$6:$D$550=""),0)),"")</f>
        <v/>
      </c>
      <c r="B388" s="101" t="str">
        <f aca="false">IF($A388="","",IFERROR(VLOOKUP($A388,PLANI_LLOGARIVE!$A:$I,2,FALSE()),"⚠ Nuk është te PLANI_LLOGARIVE"))</f>
        <v/>
      </c>
      <c r="C388" s="101" t="str">
        <f aca="false">IF($A388="","",IFERROR(VLOOKUP($A388,PLANI_LLOGARIVE!$A:$I,9,FALSE()),""))</f>
        <v/>
      </c>
      <c r="D388" s="101" t="str">
        <f aca="false">IF($A388="","",COUNTIF(DITARI!$D:$D,$A388))</f>
        <v/>
      </c>
      <c r="E388" s="101" t="str">
        <f aca="false">IF($A388="","",SUMIFS(DITARI!$F:$F,DITARI!$D:$D,$A388))</f>
        <v/>
      </c>
      <c r="F388" s="101" t="str">
        <f aca="false">IF($A388="","",SUMIFS(DITARI!$G:$G,DITARI!$D:$D,$A388))</f>
        <v/>
      </c>
      <c r="G388" s="101" t="str">
        <f aca="false">IF($A388="","",$E388-$F388)</f>
        <v/>
      </c>
    </row>
    <row r="389" customFormat="false" ht="15" hidden="false" customHeight="true" outlineLevel="0" collapsed="false">
      <c r="A389" s="101" t="str">
        <f aca="false">IFERROR(INDEX(DITARI!$D$6:$D$550,MATCH(0,COUNTIF($A$1:A388,DITARI!$D$6:$D$550)+(DITARI!$D$6:$D$550=""),0)),"")</f>
        <v/>
      </c>
      <c r="B389" s="101" t="str">
        <f aca="false">IF($A389="","",IFERROR(VLOOKUP($A389,PLANI_LLOGARIVE!$A:$I,2,FALSE()),"⚠ Nuk është te PLANI_LLOGARIVE"))</f>
        <v/>
      </c>
      <c r="C389" s="101" t="str">
        <f aca="false">IF($A389="","",IFERROR(VLOOKUP($A389,PLANI_LLOGARIVE!$A:$I,9,FALSE()),""))</f>
        <v/>
      </c>
      <c r="D389" s="101" t="str">
        <f aca="false">IF($A389="","",COUNTIF(DITARI!$D:$D,$A389))</f>
        <v/>
      </c>
      <c r="E389" s="101" t="str">
        <f aca="false">IF($A389="","",SUMIFS(DITARI!$F:$F,DITARI!$D:$D,$A389))</f>
        <v/>
      </c>
      <c r="F389" s="101" t="str">
        <f aca="false">IF($A389="","",SUMIFS(DITARI!$G:$G,DITARI!$D:$D,$A389))</f>
        <v/>
      </c>
      <c r="G389" s="101" t="str">
        <f aca="false">IF($A389="","",$E389-$F389)</f>
        <v/>
      </c>
    </row>
    <row r="390" customFormat="false" ht="15" hidden="false" customHeight="true" outlineLevel="0" collapsed="false">
      <c r="A390" s="101" t="str">
        <f aca="false">IFERROR(INDEX(DITARI!$D$6:$D$550,MATCH(0,COUNTIF($A$1:A389,DITARI!$D$6:$D$550)+(DITARI!$D$6:$D$550=""),0)),"")</f>
        <v/>
      </c>
      <c r="B390" s="101" t="str">
        <f aca="false">IF($A390="","",IFERROR(VLOOKUP($A390,PLANI_LLOGARIVE!$A:$I,2,FALSE()),"⚠ Nuk është te PLANI_LLOGARIVE"))</f>
        <v/>
      </c>
      <c r="C390" s="101" t="str">
        <f aca="false">IF($A390="","",IFERROR(VLOOKUP($A390,PLANI_LLOGARIVE!$A:$I,9,FALSE()),""))</f>
        <v/>
      </c>
      <c r="D390" s="101" t="str">
        <f aca="false">IF($A390="","",COUNTIF(DITARI!$D:$D,$A390))</f>
        <v/>
      </c>
      <c r="E390" s="101" t="str">
        <f aca="false">IF($A390="","",SUMIFS(DITARI!$F:$F,DITARI!$D:$D,$A390))</f>
        <v/>
      </c>
      <c r="F390" s="101" t="str">
        <f aca="false">IF($A390="","",SUMIFS(DITARI!$G:$G,DITARI!$D:$D,$A390))</f>
        <v/>
      </c>
      <c r="G390" s="101" t="str">
        <f aca="false">IF($A390="","",$E390-$F390)</f>
        <v/>
      </c>
    </row>
    <row r="391" customFormat="false" ht="15" hidden="false" customHeight="true" outlineLevel="0" collapsed="false">
      <c r="A391" s="101" t="str">
        <f aca="false">IFERROR(INDEX(DITARI!$D$6:$D$550,MATCH(0,COUNTIF($A$1:A390,DITARI!$D$6:$D$550)+(DITARI!$D$6:$D$550=""),0)),"")</f>
        <v/>
      </c>
      <c r="B391" s="101" t="str">
        <f aca="false">IF($A391="","",IFERROR(VLOOKUP($A391,PLANI_LLOGARIVE!$A:$I,2,FALSE()),"⚠ Nuk është te PLANI_LLOGARIVE"))</f>
        <v/>
      </c>
      <c r="C391" s="101" t="str">
        <f aca="false">IF($A391="","",IFERROR(VLOOKUP($A391,PLANI_LLOGARIVE!$A:$I,9,FALSE()),""))</f>
        <v/>
      </c>
      <c r="D391" s="101" t="str">
        <f aca="false">IF($A391="","",COUNTIF(DITARI!$D:$D,$A391))</f>
        <v/>
      </c>
      <c r="E391" s="101" t="str">
        <f aca="false">IF($A391="","",SUMIFS(DITARI!$F:$F,DITARI!$D:$D,$A391))</f>
        <v/>
      </c>
      <c r="F391" s="101" t="str">
        <f aca="false">IF($A391="","",SUMIFS(DITARI!$G:$G,DITARI!$D:$D,$A391))</f>
        <v/>
      </c>
      <c r="G391" s="101" t="str">
        <f aca="false">IF($A391="","",$E391-$F391)</f>
        <v/>
      </c>
    </row>
    <row r="392" customFormat="false" ht="15" hidden="false" customHeight="true" outlineLevel="0" collapsed="false">
      <c r="A392" s="101" t="str">
        <f aca="false">IFERROR(INDEX(DITARI!$D$6:$D$550,MATCH(0,COUNTIF($A$1:A391,DITARI!$D$6:$D$550)+(DITARI!$D$6:$D$550=""),0)),"")</f>
        <v/>
      </c>
      <c r="B392" s="101" t="str">
        <f aca="false">IF($A392="","",IFERROR(VLOOKUP($A392,PLANI_LLOGARIVE!$A:$I,2,FALSE()),"⚠ Nuk është te PLANI_LLOGARIVE"))</f>
        <v/>
      </c>
      <c r="C392" s="101" t="str">
        <f aca="false">IF($A392="","",IFERROR(VLOOKUP($A392,PLANI_LLOGARIVE!$A:$I,9,FALSE()),""))</f>
        <v/>
      </c>
      <c r="D392" s="101" t="str">
        <f aca="false">IF($A392="","",COUNTIF(DITARI!$D:$D,$A392))</f>
        <v/>
      </c>
      <c r="E392" s="101" t="str">
        <f aca="false">IF($A392="","",SUMIFS(DITARI!$F:$F,DITARI!$D:$D,$A392))</f>
        <v/>
      </c>
      <c r="F392" s="101" t="str">
        <f aca="false">IF($A392="","",SUMIFS(DITARI!$G:$G,DITARI!$D:$D,$A392))</f>
        <v/>
      </c>
      <c r="G392" s="101" t="str">
        <f aca="false">IF($A392="","",$E392-$F392)</f>
        <v/>
      </c>
    </row>
    <row r="393" customFormat="false" ht="15" hidden="false" customHeight="true" outlineLevel="0" collapsed="false">
      <c r="A393" s="101" t="str">
        <f aca="false">IFERROR(INDEX(DITARI!$D$6:$D$550,MATCH(0,COUNTIF($A$1:A392,DITARI!$D$6:$D$550)+(DITARI!$D$6:$D$550=""),0)),"")</f>
        <v/>
      </c>
      <c r="B393" s="101" t="str">
        <f aca="false">IF($A393="","",IFERROR(VLOOKUP($A393,PLANI_LLOGARIVE!$A:$I,2,FALSE()),"⚠ Nuk është te PLANI_LLOGARIVE"))</f>
        <v/>
      </c>
      <c r="C393" s="101" t="str">
        <f aca="false">IF($A393="","",IFERROR(VLOOKUP($A393,PLANI_LLOGARIVE!$A:$I,9,FALSE()),""))</f>
        <v/>
      </c>
      <c r="D393" s="101" t="str">
        <f aca="false">IF($A393="","",COUNTIF(DITARI!$D:$D,$A393))</f>
        <v/>
      </c>
      <c r="E393" s="101" t="str">
        <f aca="false">IF($A393="","",SUMIFS(DITARI!$F:$F,DITARI!$D:$D,$A393))</f>
        <v/>
      </c>
      <c r="F393" s="101" t="str">
        <f aca="false">IF($A393="","",SUMIFS(DITARI!$G:$G,DITARI!$D:$D,$A393))</f>
        <v/>
      </c>
      <c r="G393" s="101" t="str">
        <f aca="false">IF($A393="","",$E393-$F393)</f>
        <v/>
      </c>
    </row>
    <row r="394" customFormat="false" ht="15" hidden="false" customHeight="true" outlineLevel="0" collapsed="false">
      <c r="A394" s="101" t="str">
        <f aca="false">IFERROR(INDEX(DITARI!$D$6:$D$550,MATCH(0,COUNTIF($A$1:A393,DITARI!$D$6:$D$550)+(DITARI!$D$6:$D$550=""),0)),"")</f>
        <v/>
      </c>
      <c r="B394" s="101" t="str">
        <f aca="false">IF($A394="","",IFERROR(VLOOKUP($A394,PLANI_LLOGARIVE!$A:$I,2,FALSE()),"⚠ Nuk është te PLANI_LLOGARIVE"))</f>
        <v/>
      </c>
      <c r="C394" s="101" t="str">
        <f aca="false">IF($A394="","",IFERROR(VLOOKUP($A394,PLANI_LLOGARIVE!$A:$I,9,FALSE()),""))</f>
        <v/>
      </c>
      <c r="D394" s="101" t="str">
        <f aca="false">IF($A394="","",COUNTIF(DITARI!$D:$D,$A394))</f>
        <v/>
      </c>
      <c r="E394" s="101" t="str">
        <f aca="false">IF($A394="","",SUMIFS(DITARI!$F:$F,DITARI!$D:$D,$A394))</f>
        <v/>
      </c>
      <c r="F394" s="101" t="str">
        <f aca="false">IF($A394="","",SUMIFS(DITARI!$G:$G,DITARI!$D:$D,$A394))</f>
        <v/>
      </c>
      <c r="G394" s="101" t="str">
        <f aca="false">IF($A394="","",$E394-$F394)</f>
        <v/>
      </c>
    </row>
    <row r="395" customFormat="false" ht="15" hidden="false" customHeight="true" outlineLevel="0" collapsed="false">
      <c r="A395" s="101" t="str">
        <f aca="false">IFERROR(INDEX(DITARI!$D$6:$D$550,MATCH(0,COUNTIF($A$1:A394,DITARI!$D$6:$D$550)+(DITARI!$D$6:$D$550=""),0)),"")</f>
        <v/>
      </c>
      <c r="B395" s="101" t="str">
        <f aca="false">IF($A395="","",IFERROR(VLOOKUP($A395,PLANI_LLOGARIVE!$A:$I,2,FALSE()),"⚠ Nuk është te PLANI_LLOGARIVE"))</f>
        <v/>
      </c>
      <c r="C395" s="101" t="str">
        <f aca="false">IF($A395="","",IFERROR(VLOOKUP($A395,PLANI_LLOGARIVE!$A:$I,9,FALSE()),""))</f>
        <v/>
      </c>
      <c r="D395" s="101" t="str">
        <f aca="false">IF($A395="","",COUNTIF(DITARI!$D:$D,$A395))</f>
        <v/>
      </c>
      <c r="E395" s="101" t="str">
        <f aca="false">IF($A395="","",SUMIFS(DITARI!$F:$F,DITARI!$D:$D,$A395))</f>
        <v/>
      </c>
      <c r="F395" s="101" t="str">
        <f aca="false">IF($A395="","",SUMIFS(DITARI!$G:$G,DITARI!$D:$D,$A395))</f>
        <v/>
      </c>
      <c r="G395" s="101" t="str">
        <f aca="false">IF($A395="","",$E395-$F395)</f>
        <v/>
      </c>
    </row>
    <row r="396" customFormat="false" ht="15" hidden="false" customHeight="true" outlineLevel="0" collapsed="false">
      <c r="A396" s="101" t="str">
        <f aca="false">IFERROR(INDEX(DITARI!$D$6:$D$550,MATCH(0,COUNTIF($A$1:A395,DITARI!$D$6:$D$550)+(DITARI!$D$6:$D$550=""),0)),"")</f>
        <v/>
      </c>
      <c r="B396" s="101" t="str">
        <f aca="false">IF($A396="","",IFERROR(VLOOKUP($A396,PLANI_LLOGARIVE!$A:$I,2,FALSE()),"⚠ Nuk është te PLANI_LLOGARIVE"))</f>
        <v/>
      </c>
      <c r="C396" s="101" t="str">
        <f aca="false">IF($A396="","",IFERROR(VLOOKUP($A396,PLANI_LLOGARIVE!$A:$I,9,FALSE()),""))</f>
        <v/>
      </c>
      <c r="D396" s="101" t="str">
        <f aca="false">IF($A396="","",COUNTIF(DITARI!$D:$D,$A396))</f>
        <v/>
      </c>
      <c r="E396" s="101" t="str">
        <f aca="false">IF($A396="","",SUMIFS(DITARI!$F:$F,DITARI!$D:$D,$A396))</f>
        <v/>
      </c>
      <c r="F396" s="101" t="str">
        <f aca="false">IF($A396="","",SUMIFS(DITARI!$G:$G,DITARI!$D:$D,$A396))</f>
        <v/>
      </c>
      <c r="G396" s="101" t="str">
        <f aca="false">IF($A396="","",$E396-$F396)</f>
        <v/>
      </c>
    </row>
    <row r="397" customFormat="false" ht="15" hidden="false" customHeight="true" outlineLevel="0" collapsed="false">
      <c r="A397" s="101" t="str">
        <f aca="false">IFERROR(INDEX(DITARI!$D$6:$D$550,MATCH(0,COUNTIF($A$1:A396,DITARI!$D$6:$D$550)+(DITARI!$D$6:$D$550=""),0)),"")</f>
        <v/>
      </c>
      <c r="B397" s="101" t="str">
        <f aca="false">IF($A397="","",IFERROR(VLOOKUP($A397,PLANI_LLOGARIVE!$A:$I,2,FALSE()),"⚠ Nuk është te PLANI_LLOGARIVE"))</f>
        <v/>
      </c>
      <c r="C397" s="101" t="str">
        <f aca="false">IF($A397="","",IFERROR(VLOOKUP($A397,PLANI_LLOGARIVE!$A:$I,9,FALSE()),""))</f>
        <v/>
      </c>
      <c r="D397" s="101" t="str">
        <f aca="false">IF($A397="","",COUNTIF(DITARI!$D:$D,$A397))</f>
        <v/>
      </c>
      <c r="E397" s="101" t="str">
        <f aca="false">IF($A397="","",SUMIFS(DITARI!$F:$F,DITARI!$D:$D,$A397))</f>
        <v/>
      </c>
      <c r="F397" s="101" t="str">
        <f aca="false">IF($A397="","",SUMIFS(DITARI!$G:$G,DITARI!$D:$D,$A397))</f>
        <v/>
      </c>
      <c r="G397" s="101" t="str">
        <f aca="false">IF($A397="","",$E397-$F397)</f>
        <v/>
      </c>
    </row>
    <row r="398" customFormat="false" ht="15" hidden="false" customHeight="true" outlineLevel="0" collapsed="false">
      <c r="A398" s="101" t="str">
        <f aca="false">IFERROR(INDEX(DITARI!$D$6:$D$550,MATCH(0,COUNTIF($A$1:A397,DITARI!$D$6:$D$550)+(DITARI!$D$6:$D$550=""),0)),"")</f>
        <v/>
      </c>
      <c r="B398" s="101" t="str">
        <f aca="false">IF($A398="","",IFERROR(VLOOKUP($A398,PLANI_LLOGARIVE!$A:$I,2,FALSE()),"⚠ Nuk është te PLANI_LLOGARIVE"))</f>
        <v/>
      </c>
      <c r="C398" s="101" t="str">
        <f aca="false">IF($A398="","",IFERROR(VLOOKUP($A398,PLANI_LLOGARIVE!$A:$I,9,FALSE()),""))</f>
        <v/>
      </c>
      <c r="D398" s="101" t="str">
        <f aca="false">IF($A398="","",COUNTIF(DITARI!$D:$D,$A398))</f>
        <v/>
      </c>
      <c r="E398" s="101" t="str">
        <f aca="false">IF($A398="","",SUMIFS(DITARI!$F:$F,DITARI!$D:$D,$A398))</f>
        <v/>
      </c>
      <c r="F398" s="101" t="str">
        <f aca="false">IF($A398="","",SUMIFS(DITARI!$G:$G,DITARI!$D:$D,$A398))</f>
        <v/>
      </c>
      <c r="G398" s="101" t="str">
        <f aca="false">IF($A398="","",$E398-$F398)</f>
        <v/>
      </c>
    </row>
    <row r="399" customFormat="false" ht="15" hidden="false" customHeight="true" outlineLevel="0" collapsed="false">
      <c r="A399" s="101" t="str">
        <f aca="false">IFERROR(INDEX(DITARI!$D$6:$D$550,MATCH(0,COUNTIF($A$1:A398,DITARI!$D$6:$D$550)+(DITARI!$D$6:$D$550=""),0)),"")</f>
        <v/>
      </c>
      <c r="B399" s="101" t="str">
        <f aca="false">IF($A399="","",IFERROR(VLOOKUP($A399,PLANI_LLOGARIVE!$A:$I,2,FALSE()),"⚠ Nuk është te PLANI_LLOGARIVE"))</f>
        <v/>
      </c>
      <c r="C399" s="101" t="str">
        <f aca="false">IF($A399="","",IFERROR(VLOOKUP($A399,PLANI_LLOGARIVE!$A:$I,9,FALSE()),""))</f>
        <v/>
      </c>
      <c r="D399" s="101" t="str">
        <f aca="false">IF($A399="","",COUNTIF(DITARI!$D:$D,$A399))</f>
        <v/>
      </c>
      <c r="E399" s="101" t="str">
        <f aca="false">IF($A399="","",SUMIFS(DITARI!$F:$F,DITARI!$D:$D,$A399))</f>
        <v/>
      </c>
      <c r="F399" s="101" t="str">
        <f aca="false">IF($A399="","",SUMIFS(DITARI!$G:$G,DITARI!$D:$D,$A399))</f>
        <v/>
      </c>
      <c r="G399" s="101" t="str">
        <f aca="false">IF($A399="","",$E399-$F399)</f>
        <v/>
      </c>
    </row>
    <row r="400" customFormat="false" ht="15" hidden="false" customHeight="true" outlineLevel="0" collapsed="false">
      <c r="A400" s="101" t="str">
        <f aca="false">IFERROR(INDEX(DITARI!$D$6:$D$550,MATCH(0,COUNTIF($A$1:A399,DITARI!$D$6:$D$550)+(DITARI!$D$6:$D$550=""),0)),"")</f>
        <v/>
      </c>
      <c r="B400" s="101" t="str">
        <f aca="false">IF($A400="","",IFERROR(VLOOKUP($A400,PLANI_LLOGARIVE!$A:$I,2,FALSE()),"⚠ Nuk është te PLANI_LLOGARIVE"))</f>
        <v/>
      </c>
      <c r="C400" s="101" t="str">
        <f aca="false">IF($A400="","",IFERROR(VLOOKUP($A400,PLANI_LLOGARIVE!$A:$I,9,FALSE()),""))</f>
        <v/>
      </c>
      <c r="D400" s="101" t="str">
        <f aca="false">IF($A400="","",COUNTIF(DITARI!$D:$D,$A400))</f>
        <v/>
      </c>
      <c r="E400" s="101" t="str">
        <f aca="false">IF($A400="","",SUMIFS(DITARI!$F:$F,DITARI!$D:$D,$A400))</f>
        <v/>
      </c>
      <c r="F400" s="101" t="str">
        <f aca="false">IF($A400="","",SUMIFS(DITARI!$G:$G,DITARI!$D:$D,$A400))</f>
        <v/>
      </c>
      <c r="G400" s="101" t="str">
        <f aca="false">IF($A400="","",$E400-$F400)</f>
        <v/>
      </c>
    </row>
    <row r="401" customFormat="false" ht="15" hidden="false" customHeight="true" outlineLevel="0" collapsed="false">
      <c r="A401" s="101" t="str">
        <f aca="false">IFERROR(INDEX(DITARI!$D$6:$D$550,MATCH(0,COUNTIF($A$1:A400,DITARI!$D$6:$D$550)+(DITARI!$D$6:$D$550=""),0)),"")</f>
        <v/>
      </c>
      <c r="B401" s="101" t="str">
        <f aca="false">IF($A401="","",IFERROR(VLOOKUP($A401,PLANI_LLOGARIVE!$A:$I,2,FALSE()),"⚠ Nuk është te PLANI_LLOGARIVE"))</f>
        <v/>
      </c>
      <c r="C401" s="101" t="str">
        <f aca="false">IF($A401="","",IFERROR(VLOOKUP($A401,PLANI_LLOGARIVE!$A:$I,9,FALSE()),""))</f>
        <v/>
      </c>
      <c r="D401" s="101" t="str">
        <f aca="false">IF($A401="","",COUNTIF(DITARI!$D:$D,$A401))</f>
        <v/>
      </c>
      <c r="E401" s="101" t="str">
        <f aca="false">IF($A401="","",SUMIFS(DITARI!$F:$F,DITARI!$D:$D,$A401))</f>
        <v/>
      </c>
      <c r="F401" s="101" t="str">
        <f aca="false">IF($A401="","",SUMIFS(DITARI!$G:$G,DITARI!$D:$D,$A401))</f>
        <v/>
      </c>
      <c r="G401" s="101" t="str">
        <f aca="false">IF($A401="","",$E401-$F401)</f>
        <v/>
      </c>
    </row>
    <row r="402" customFormat="false" ht="15" hidden="false" customHeight="true" outlineLevel="0" collapsed="false">
      <c r="A402" s="101" t="str">
        <f aca="false">IFERROR(INDEX(DITARI!$D$6:$D$550,MATCH(0,COUNTIF($A$1:A401,DITARI!$D$6:$D$550)+(DITARI!$D$6:$D$550=""),0)),"")</f>
        <v/>
      </c>
      <c r="B402" s="101" t="str">
        <f aca="false">IF($A402="","",IFERROR(VLOOKUP($A402,PLANI_LLOGARIVE!$A:$I,2,FALSE()),"⚠ Nuk është te PLANI_LLOGARIVE"))</f>
        <v/>
      </c>
      <c r="C402" s="101" t="str">
        <f aca="false">IF($A402="","",IFERROR(VLOOKUP($A402,PLANI_LLOGARIVE!$A:$I,9,FALSE()),""))</f>
        <v/>
      </c>
      <c r="D402" s="101" t="str">
        <f aca="false">IF($A402="","",COUNTIF(DITARI!$D:$D,$A402))</f>
        <v/>
      </c>
      <c r="E402" s="101" t="str">
        <f aca="false">IF($A402="","",SUMIFS(DITARI!$F:$F,DITARI!$D:$D,$A402))</f>
        <v/>
      </c>
      <c r="F402" s="101" t="str">
        <f aca="false">IF($A402="","",SUMIFS(DITARI!$G:$G,DITARI!$D:$D,$A402))</f>
        <v/>
      </c>
      <c r="G402" s="101" t="str">
        <f aca="false">IF($A402="","",$E402-$F402)</f>
        <v/>
      </c>
    </row>
    <row r="403" customFormat="false" ht="15" hidden="false" customHeight="true" outlineLevel="0" collapsed="false">
      <c r="A403" s="101" t="str">
        <f aca="false">IFERROR(INDEX(DITARI!$D$6:$D$550,MATCH(0,COUNTIF($A$1:A402,DITARI!$D$6:$D$550)+(DITARI!$D$6:$D$550=""),0)),"")</f>
        <v/>
      </c>
      <c r="B403" s="101" t="str">
        <f aca="false">IF($A403="","",IFERROR(VLOOKUP($A403,PLANI_LLOGARIVE!$A:$I,2,FALSE()),"⚠ Nuk është te PLANI_LLOGARIVE"))</f>
        <v/>
      </c>
      <c r="C403" s="101" t="str">
        <f aca="false">IF($A403="","",IFERROR(VLOOKUP($A403,PLANI_LLOGARIVE!$A:$I,9,FALSE()),""))</f>
        <v/>
      </c>
      <c r="D403" s="101" t="str">
        <f aca="false">IF($A403="","",COUNTIF(DITARI!$D:$D,$A403))</f>
        <v/>
      </c>
      <c r="E403" s="101" t="str">
        <f aca="false">IF($A403="","",SUMIFS(DITARI!$F:$F,DITARI!$D:$D,$A403))</f>
        <v/>
      </c>
      <c r="F403" s="101" t="str">
        <f aca="false">IF($A403="","",SUMIFS(DITARI!$G:$G,DITARI!$D:$D,$A403))</f>
        <v/>
      </c>
      <c r="G403" s="101" t="str">
        <f aca="false">IF($A403="","",$E403-$F403)</f>
        <v/>
      </c>
    </row>
    <row r="404" customFormat="false" ht="15" hidden="false" customHeight="true" outlineLevel="0" collapsed="false">
      <c r="A404" s="101" t="str">
        <f aca="false">IFERROR(INDEX(DITARI!$D$6:$D$550,MATCH(0,COUNTIF($A$1:A403,DITARI!$D$6:$D$550)+(DITARI!$D$6:$D$550=""),0)),"")</f>
        <v/>
      </c>
      <c r="B404" s="101" t="str">
        <f aca="false">IF($A404="","",IFERROR(VLOOKUP($A404,PLANI_LLOGARIVE!$A:$I,2,FALSE()),"⚠ Nuk është te PLANI_LLOGARIVE"))</f>
        <v/>
      </c>
      <c r="C404" s="101" t="str">
        <f aca="false">IF($A404="","",IFERROR(VLOOKUP($A404,PLANI_LLOGARIVE!$A:$I,9,FALSE()),""))</f>
        <v/>
      </c>
      <c r="D404" s="101" t="str">
        <f aca="false">IF($A404="","",COUNTIF(DITARI!$D:$D,$A404))</f>
        <v/>
      </c>
      <c r="E404" s="101" t="str">
        <f aca="false">IF($A404="","",SUMIFS(DITARI!$F:$F,DITARI!$D:$D,$A404))</f>
        <v/>
      </c>
      <c r="F404" s="101" t="str">
        <f aca="false">IF($A404="","",SUMIFS(DITARI!$G:$G,DITARI!$D:$D,$A404))</f>
        <v/>
      </c>
      <c r="G404" s="101" t="str">
        <f aca="false">IF($A404="","",$E404-$F404)</f>
        <v/>
      </c>
    </row>
    <row r="405" customFormat="false" ht="15" hidden="false" customHeight="true" outlineLevel="0" collapsed="false">
      <c r="A405" s="101" t="str">
        <f aca="false">IFERROR(INDEX(DITARI!$D$6:$D$550,MATCH(0,COUNTIF($A$1:A404,DITARI!$D$6:$D$550)+(DITARI!$D$6:$D$550=""),0)),"")</f>
        <v/>
      </c>
      <c r="B405" s="101" t="str">
        <f aca="false">IF($A405="","",IFERROR(VLOOKUP($A405,PLANI_LLOGARIVE!$A:$I,2,FALSE()),"⚠ Nuk është te PLANI_LLOGARIVE"))</f>
        <v/>
      </c>
      <c r="C405" s="101" t="str">
        <f aca="false">IF($A405="","",IFERROR(VLOOKUP($A405,PLANI_LLOGARIVE!$A:$I,9,FALSE()),""))</f>
        <v/>
      </c>
      <c r="D405" s="101" t="str">
        <f aca="false">IF($A405="","",COUNTIF(DITARI!$D:$D,$A405))</f>
        <v/>
      </c>
      <c r="E405" s="101" t="str">
        <f aca="false">IF($A405="","",SUMIFS(DITARI!$F:$F,DITARI!$D:$D,$A405))</f>
        <v/>
      </c>
      <c r="F405" s="101" t="str">
        <f aca="false">IF($A405="","",SUMIFS(DITARI!$G:$G,DITARI!$D:$D,$A405))</f>
        <v/>
      </c>
      <c r="G405" s="101" t="str">
        <f aca="false">IF($A405="","",$E405-$F405)</f>
        <v/>
      </c>
    </row>
    <row r="406" customFormat="false" ht="15" hidden="false" customHeight="true" outlineLevel="0" collapsed="false">
      <c r="A406" s="101" t="str">
        <f aca="false">IFERROR(INDEX(DITARI!$D$6:$D$550,MATCH(0,COUNTIF($A$1:A405,DITARI!$D$6:$D$550)+(DITARI!$D$6:$D$550=""),0)),"")</f>
        <v/>
      </c>
      <c r="B406" s="101" t="str">
        <f aca="false">IF($A406="","",IFERROR(VLOOKUP($A406,PLANI_LLOGARIVE!$A:$I,2,FALSE()),"⚠ Nuk është te PLANI_LLOGARIVE"))</f>
        <v/>
      </c>
      <c r="C406" s="101" t="str">
        <f aca="false">IF($A406="","",IFERROR(VLOOKUP($A406,PLANI_LLOGARIVE!$A:$I,9,FALSE()),""))</f>
        <v/>
      </c>
      <c r="D406" s="101" t="str">
        <f aca="false">IF($A406="","",COUNTIF(DITARI!$D:$D,$A406))</f>
        <v/>
      </c>
      <c r="E406" s="101" t="str">
        <f aca="false">IF($A406="","",SUMIFS(DITARI!$F:$F,DITARI!$D:$D,$A406))</f>
        <v/>
      </c>
      <c r="F406" s="101" t="str">
        <f aca="false">IF($A406="","",SUMIFS(DITARI!$G:$G,DITARI!$D:$D,$A406))</f>
        <v/>
      </c>
      <c r="G406" s="101" t="str">
        <f aca="false">IF($A406="","",$E406-$F406)</f>
        <v/>
      </c>
    </row>
    <row r="407" customFormat="false" ht="15" hidden="false" customHeight="true" outlineLevel="0" collapsed="false">
      <c r="A407" s="101" t="str">
        <f aca="false">IFERROR(INDEX(DITARI!$D$6:$D$550,MATCH(0,COUNTIF($A$1:A406,DITARI!$D$6:$D$550)+(DITARI!$D$6:$D$550=""),0)),"")</f>
        <v/>
      </c>
      <c r="B407" s="101" t="str">
        <f aca="false">IF($A407="","",IFERROR(VLOOKUP($A407,PLANI_LLOGARIVE!$A:$I,2,FALSE()),"⚠ Nuk është te PLANI_LLOGARIVE"))</f>
        <v/>
      </c>
      <c r="C407" s="101" t="str">
        <f aca="false">IF($A407="","",IFERROR(VLOOKUP($A407,PLANI_LLOGARIVE!$A:$I,9,FALSE()),""))</f>
        <v/>
      </c>
      <c r="D407" s="101" t="str">
        <f aca="false">IF($A407="","",COUNTIF(DITARI!$D:$D,$A407))</f>
        <v/>
      </c>
      <c r="E407" s="101" t="str">
        <f aca="false">IF($A407="","",SUMIFS(DITARI!$F:$F,DITARI!$D:$D,$A407))</f>
        <v/>
      </c>
      <c r="F407" s="101" t="str">
        <f aca="false">IF($A407="","",SUMIFS(DITARI!$G:$G,DITARI!$D:$D,$A407))</f>
        <v/>
      </c>
      <c r="G407" s="101" t="str">
        <f aca="false">IF($A407="","",$E407-$F407)</f>
        <v/>
      </c>
    </row>
    <row r="408" customFormat="false" ht="15" hidden="false" customHeight="true" outlineLevel="0" collapsed="false">
      <c r="A408" s="101" t="str">
        <f aca="false">IFERROR(INDEX(DITARI!$D$6:$D$550,MATCH(0,COUNTIF($A$1:A407,DITARI!$D$6:$D$550)+(DITARI!$D$6:$D$550=""),0)),"")</f>
        <v/>
      </c>
      <c r="B408" s="101" t="str">
        <f aca="false">IF($A408="","",IFERROR(VLOOKUP($A408,PLANI_LLOGARIVE!$A:$I,2,FALSE()),"⚠ Nuk është te PLANI_LLOGARIVE"))</f>
        <v/>
      </c>
      <c r="C408" s="101" t="str">
        <f aca="false">IF($A408="","",IFERROR(VLOOKUP($A408,PLANI_LLOGARIVE!$A:$I,9,FALSE()),""))</f>
        <v/>
      </c>
      <c r="D408" s="101" t="str">
        <f aca="false">IF($A408="","",COUNTIF(DITARI!$D:$D,$A408))</f>
        <v/>
      </c>
      <c r="E408" s="101" t="str">
        <f aca="false">IF($A408="","",SUMIFS(DITARI!$F:$F,DITARI!$D:$D,$A408))</f>
        <v/>
      </c>
      <c r="F408" s="101" t="str">
        <f aca="false">IF($A408="","",SUMIFS(DITARI!$G:$G,DITARI!$D:$D,$A408))</f>
        <v/>
      </c>
      <c r="G408" s="101" t="str">
        <f aca="false">IF($A408="","",$E408-$F408)</f>
        <v/>
      </c>
    </row>
    <row r="409" customFormat="false" ht="15" hidden="false" customHeight="true" outlineLevel="0" collapsed="false">
      <c r="A409" s="101" t="str">
        <f aca="false">IFERROR(INDEX(DITARI!$D$6:$D$550,MATCH(0,COUNTIF($A$1:A408,DITARI!$D$6:$D$550)+(DITARI!$D$6:$D$550=""),0)),"")</f>
        <v/>
      </c>
      <c r="B409" s="101" t="str">
        <f aca="false">IF($A409="","",IFERROR(VLOOKUP($A409,PLANI_LLOGARIVE!$A:$I,2,FALSE()),"⚠ Nuk është te PLANI_LLOGARIVE"))</f>
        <v/>
      </c>
      <c r="C409" s="101" t="str">
        <f aca="false">IF($A409="","",IFERROR(VLOOKUP($A409,PLANI_LLOGARIVE!$A:$I,9,FALSE()),""))</f>
        <v/>
      </c>
      <c r="D409" s="101" t="str">
        <f aca="false">IF($A409="","",COUNTIF(DITARI!$D:$D,$A409))</f>
        <v/>
      </c>
      <c r="E409" s="101" t="str">
        <f aca="false">IF($A409="","",SUMIFS(DITARI!$F:$F,DITARI!$D:$D,$A409))</f>
        <v/>
      </c>
      <c r="F409" s="101" t="str">
        <f aca="false">IF($A409="","",SUMIFS(DITARI!$G:$G,DITARI!$D:$D,$A409))</f>
        <v/>
      </c>
      <c r="G409" s="101" t="str">
        <f aca="false">IF($A409="","",$E409-$F409)</f>
        <v/>
      </c>
    </row>
    <row r="410" customFormat="false" ht="15" hidden="false" customHeight="true" outlineLevel="0" collapsed="false">
      <c r="A410" s="101" t="str">
        <f aca="false">IFERROR(INDEX(DITARI!$D$6:$D$550,MATCH(0,COUNTIF($A$1:A409,DITARI!$D$6:$D$550)+(DITARI!$D$6:$D$550=""),0)),"")</f>
        <v/>
      </c>
      <c r="B410" s="101" t="str">
        <f aca="false">IF($A410="","",IFERROR(VLOOKUP($A410,PLANI_LLOGARIVE!$A:$I,2,FALSE()),"⚠ Nuk është te PLANI_LLOGARIVE"))</f>
        <v/>
      </c>
      <c r="C410" s="101" t="str">
        <f aca="false">IF($A410="","",IFERROR(VLOOKUP($A410,PLANI_LLOGARIVE!$A:$I,9,FALSE()),""))</f>
        <v/>
      </c>
      <c r="D410" s="101" t="str">
        <f aca="false">IF($A410="","",COUNTIF(DITARI!$D:$D,$A410))</f>
        <v/>
      </c>
      <c r="E410" s="101" t="str">
        <f aca="false">IF($A410="","",SUMIFS(DITARI!$F:$F,DITARI!$D:$D,$A410))</f>
        <v/>
      </c>
      <c r="F410" s="101" t="str">
        <f aca="false">IF($A410="","",SUMIFS(DITARI!$G:$G,DITARI!$D:$D,$A410))</f>
        <v/>
      </c>
      <c r="G410" s="101" t="str">
        <f aca="false">IF($A410="","",$E410-$F410)</f>
        <v/>
      </c>
    </row>
    <row r="411" customFormat="false" ht="15" hidden="false" customHeight="true" outlineLevel="0" collapsed="false">
      <c r="A411" s="101" t="str">
        <f aca="false">IFERROR(INDEX(DITARI!$D$6:$D$550,MATCH(0,COUNTIF($A$1:A410,DITARI!$D$6:$D$550)+(DITARI!$D$6:$D$550=""),0)),"")</f>
        <v/>
      </c>
      <c r="B411" s="101" t="str">
        <f aca="false">IF($A411="","",IFERROR(VLOOKUP($A411,PLANI_LLOGARIVE!$A:$I,2,FALSE()),"⚠ Nuk është te PLANI_LLOGARIVE"))</f>
        <v/>
      </c>
      <c r="C411" s="101" t="str">
        <f aca="false">IF($A411="","",IFERROR(VLOOKUP($A411,PLANI_LLOGARIVE!$A:$I,9,FALSE()),""))</f>
        <v/>
      </c>
      <c r="D411" s="101" t="str">
        <f aca="false">IF($A411="","",COUNTIF(DITARI!$D:$D,$A411))</f>
        <v/>
      </c>
      <c r="E411" s="101" t="str">
        <f aca="false">IF($A411="","",SUMIFS(DITARI!$F:$F,DITARI!$D:$D,$A411))</f>
        <v/>
      </c>
      <c r="F411" s="101" t="str">
        <f aca="false">IF($A411="","",SUMIFS(DITARI!$G:$G,DITARI!$D:$D,$A411))</f>
        <v/>
      </c>
      <c r="G411" s="101" t="str">
        <f aca="false">IF($A411="","",$E411-$F411)</f>
        <v/>
      </c>
    </row>
    <row r="412" customFormat="false" ht="15" hidden="false" customHeight="true" outlineLevel="0" collapsed="false">
      <c r="A412" s="101" t="str">
        <f aca="false">IFERROR(INDEX(DITARI!$D$6:$D$550,MATCH(0,COUNTIF($A$1:A411,DITARI!$D$6:$D$550)+(DITARI!$D$6:$D$550=""),0)),"")</f>
        <v/>
      </c>
      <c r="B412" s="101" t="str">
        <f aca="false">IF($A412="","",IFERROR(VLOOKUP($A412,PLANI_LLOGARIVE!$A:$I,2,FALSE()),"⚠ Nuk është te PLANI_LLOGARIVE"))</f>
        <v/>
      </c>
      <c r="C412" s="101" t="str">
        <f aca="false">IF($A412="","",IFERROR(VLOOKUP($A412,PLANI_LLOGARIVE!$A:$I,9,FALSE()),""))</f>
        <v/>
      </c>
      <c r="D412" s="101" t="str">
        <f aca="false">IF($A412="","",COUNTIF(DITARI!$D:$D,$A412))</f>
        <v/>
      </c>
      <c r="E412" s="101" t="str">
        <f aca="false">IF($A412="","",SUMIFS(DITARI!$F:$F,DITARI!$D:$D,$A412))</f>
        <v/>
      </c>
      <c r="F412" s="101" t="str">
        <f aca="false">IF($A412="","",SUMIFS(DITARI!$G:$G,DITARI!$D:$D,$A412))</f>
        <v/>
      </c>
      <c r="G412" s="101" t="str">
        <f aca="false">IF($A412="","",$E412-$F412)</f>
        <v/>
      </c>
    </row>
    <row r="413" customFormat="false" ht="15" hidden="false" customHeight="true" outlineLevel="0" collapsed="false">
      <c r="A413" s="101" t="str">
        <f aca="false">IFERROR(INDEX(DITARI!$D$6:$D$550,MATCH(0,COUNTIF($A$1:A412,DITARI!$D$6:$D$550)+(DITARI!$D$6:$D$550=""),0)),"")</f>
        <v/>
      </c>
      <c r="B413" s="101" t="str">
        <f aca="false">IF($A413="","",IFERROR(VLOOKUP($A413,PLANI_LLOGARIVE!$A:$I,2,FALSE()),"⚠ Nuk është te PLANI_LLOGARIVE"))</f>
        <v/>
      </c>
      <c r="C413" s="101" t="str">
        <f aca="false">IF($A413="","",IFERROR(VLOOKUP($A413,PLANI_LLOGARIVE!$A:$I,9,FALSE()),""))</f>
        <v/>
      </c>
      <c r="D413" s="101" t="str">
        <f aca="false">IF($A413="","",COUNTIF(DITARI!$D:$D,$A413))</f>
        <v/>
      </c>
      <c r="E413" s="101" t="str">
        <f aca="false">IF($A413="","",SUMIFS(DITARI!$F:$F,DITARI!$D:$D,$A413))</f>
        <v/>
      </c>
      <c r="F413" s="101" t="str">
        <f aca="false">IF($A413="","",SUMIFS(DITARI!$G:$G,DITARI!$D:$D,$A413))</f>
        <v/>
      </c>
      <c r="G413" s="101" t="str">
        <f aca="false">IF($A413="","",$E413-$F413)</f>
        <v/>
      </c>
    </row>
    <row r="414" customFormat="false" ht="15" hidden="false" customHeight="true" outlineLevel="0" collapsed="false">
      <c r="A414" s="101" t="str">
        <f aca="false">IFERROR(INDEX(DITARI!$D$6:$D$550,MATCH(0,COUNTIF($A$1:A413,DITARI!$D$6:$D$550)+(DITARI!$D$6:$D$550=""),0)),"")</f>
        <v/>
      </c>
      <c r="B414" s="101" t="str">
        <f aca="false">IF($A414="","",IFERROR(VLOOKUP($A414,PLANI_LLOGARIVE!$A:$I,2,FALSE()),"⚠ Nuk është te PLANI_LLOGARIVE"))</f>
        <v/>
      </c>
      <c r="C414" s="101" t="str">
        <f aca="false">IF($A414="","",IFERROR(VLOOKUP($A414,PLANI_LLOGARIVE!$A:$I,9,FALSE()),""))</f>
        <v/>
      </c>
      <c r="D414" s="101" t="str">
        <f aca="false">IF($A414="","",COUNTIF(DITARI!$D:$D,$A414))</f>
        <v/>
      </c>
      <c r="E414" s="101" t="str">
        <f aca="false">IF($A414="","",SUMIFS(DITARI!$F:$F,DITARI!$D:$D,$A414))</f>
        <v/>
      </c>
      <c r="F414" s="101" t="str">
        <f aca="false">IF($A414="","",SUMIFS(DITARI!$G:$G,DITARI!$D:$D,$A414))</f>
        <v/>
      </c>
      <c r="G414" s="101" t="str">
        <f aca="false">IF($A414="","",$E414-$F414)</f>
        <v/>
      </c>
    </row>
    <row r="415" customFormat="false" ht="15" hidden="false" customHeight="true" outlineLevel="0" collapsed="false">
      <c r="A415" s="101" t="str">
        <f aca="false">IFERROR(INDEX(DITARI!$D$6:$D$550,MATCH(0,COUNTIF($A$1:A414,DITARI!$D$6:$D$550)+(DITARI!$D$6:$D$550=""),0)),"")</f>
        <v/>
      </c>
      <c r="B415" s="101" t="str">
        <f aca="false">IF($A415="","",IFERROR(VLOOKUP($A415,PLANI_LLOGARIVE!$A:$I,2,FALSE()),"⚠ Nuk është te PLANI_LLOGARIVE"))</f>
        <v/>
      </c>
      <c r="C415" s="101" t="str">
        <f aca="false">IF($A415="","",IFERROR(VLOOKUP($A415,PLANI_LLOGARIVE!$A:$I,9,FALSE()),""))</f>
        <v/>
      </c>
      <c r="D415" s="101" t="str">
        <f aca="false">IF($A415="","",COUNTIF(DITARI!$D:$D,$A415))</f>
        <v/>
      </c>
      <c r="E415" s="101" t="str">
        <f aca="false">IF($A415="","",SUMIFS(DITARI!$F:$F,DITARI!$D:$D,$A415))</f>
        <v/>
      </c>
      <c r="F415" s="101" t="str">
        <f aca="false">IF($A415="","",SUMIFS(DITARI!$G:$G,DITARI!$D:$D,$A415))</f>
        <v/>
      </c>
      <c r="G415" s="101" t="str">
        <f aca="false">IF($A415="","",$E415-$F415)</f>
        <v/>
      </c>
    </row>
    <row r="416" customFormat="false" ht="15" hidden="false" customHeight="true" outlineLevel="0" collapsed="false">
      <c r="A416" s="101" t="str">
        <f aca="false">IFERROR(INDEX(DITARI!$D$6:$D$550,MATCH(0,COUNTIF($A$1:A415,DITARI!$D$6:$D$550)+(DITARI!$D$6:$D$550=""),0)),"")</f>
        <v/>
      </c>
      <c r="B416" s="101" t="str">
        <f aca="false">IF($A416="","",IFERROR(VLOOKUP($A416,PLANI_LLOGARIVE!$A:$I,2,FALSE()),"⚠ Nuk është te PLANI_LLOGARIVE"))</f>
        <v/>
      </c>
      <c r="C416" s="101" t="str">
        <f aca="false">IF($A416="","",IFERROR(VLOOKUP($A416,PLANI_LLOGARIVE!$A:$I,9,FALSE()),""))</f>
        <v/>
      </c>
      <c r="D416" s="101" t="str">
        <f aca="false">IF($A416="","",COUNTIF(DITARI!$D:$D,$A416))</f>
        <v/>
      </c>
      <c r="E416" s="101" t="str">
        <f aca="false">IF($A416="","",SUMIFS(DITARI!$F:$F,DITARI!$D:$D,$A416))</f>
        <v/>
      </c>
      <c r="F416" s="101" t="str">
        <f aca="false">IF($A416="","",SUMIFS(DITARI!$G:$G,DITARI!$D:$D,$A416))</f>
        <v/>
      </c>
      <c r="G416" s="101" t="str">
        <f aca="false">IF($A416="","",$E416-$F416)</f>
        <v/>
      </c>
    </row>
    <row r="417" customFormat="false" ht="15" hidden="false" customHeight="true" outlineLevel="0" collapsed="false">
      <c r="A417" s="101" t="str">
        <f aca="false">IFERROR(INDEX(DITARI!$D$6:$D$550,MATCH(0,COUNTIF($A$1:A416,DITARI!$D$6:$D$550)+(DITARI!$D$6:$D$550=""),0)),"")</f>
        <v/>
      </c>
      <c r="B417" s="101" t="str">
        <f aca="false">IF($A417="","",IFERROR(VLOOKUP($A417,PLANI_LLOGARIVE!$A:$I,2,FALSE()),"⚠ Nuk është te PLANI_LLOGARIVE"))</f>
        <v/>
      </c>
      <c r="C417" s="101" t="str">
        <f aca="false">IF($A417="","",IFERROR(VLOOKUP($A417,PLANI_LLOGARIVE!$A:$I,9,FALSE()),""))</f>
        <v/>
      </c>
      <c r="D417" s="101" t="str">
        <f aca="false">IF($A417="","",COUNTIF(DITARI!$D:$D,$A417))</f>
        <v/>
      </c>
      <c r="E417" s="101" t="str">
        <f aca="false">IF($A417="","",SUMIFS(DITARI!$F:$F,DITARI!$D:$D,$A417))</f>
        <v/>
      </c>
      <c r="F417" s="101" t="str">
        <f aca="false">IF($A417="","",SUMIFS(DITARI!$G:$G,DITARI!$D:$D,$A417))</f>
        <v/>
      </c>
      <c r="G417" s="101" t="str">
        <f aca="false">IF($A417="","",$E417-$F417)</f>
        <v/>
      </c>
    </row>
    <row r="418" customFormat="false" ht="15" hidden="false" customHeight="true" outlineLevel="0" collapsed="false">
      <c r="A418" s="101" t="str">
        <f aca="false">IFERROR(INDEX(DITARI!$D$6:$D$550,MATCH(0,COUNTIF($A$1:A417,DITARI!$D$6:$D$550)+(DITARI!$D$6:$D$550=""),0)),"")</f>
        <v/>
      </c>
      <c r="B418" s="101" t="str">
        <f aca="false">IF($A418="","",IFERROR(VLOOKUP($A418,PLANI_LLOGARIVE!$A:$I,2,FALSE()),"⚠ Nuk është te PLANI_LLOGARIVE"))</f>
        <v/>
      </c>
      <c r="C418" s="101" t="str">
        <f aca="false">IF($A418="","",IFERROR(VLOOKUP($A418,PLANI_LLOGARIVE!$A:$I,9,FALSE()),""))</f>
        <v/>
      </c>
      <c r="D418" s="101" t="str">
        <f aca="false">IF($A418="","",COUNTIF(DITARI!$D:$D,$A418))</f>
        <v/>
      </c>
      <c r="E418" s="101" t="str">
        <f aca="false">IF($A418="","",SUMIFS(DITARI!$F:$F,DITARI!$D:$D,$A418))</f>
        <v/>
      </c>
      <c r="F418" s="101" t="str">
        <f aca="false">IF($A418="","",SUMIFS(DITARI!$G:$G,DITARI!$D:$D,$A418))</f>
        <v/>
      </c>
      <c r="G418" s="101" t="str">
        <f aca="false">IF($A418="","",$E418-$F418)</f>
        <v/>
      </c>
    </row>
    <row r="419" customFormat="false" ht="15" hidden="false" customHeight="true" outlineLevel="0" collapsed="false">
      <c r="A419" s="101" t="str">
        <f aca="false">IFERROR(INDEX(DITARI!$D$6:$D$550,MATCH(0,COUNTIF($A$1:A418,DITARI!$D$6:$D$550)+(DITARI!$D$6:$D$550=""),0)),"")</f>
        <v/>
      </c>
      <c r="B419" s="101" t="str">
        <f aca="false">IF($A419="","",IFERROR(VLOOKUP($A419,PLANI_LLOGARIVE!$A:$I,2,FALSE()),"⚠ Nuk është te PLANI_LLOGARIVE"))</f>
        <v/>
      </c>
      <c r="C419" s="101" t="str">
        <f aca="false">IF($A419="","",IFERROR(VLOOKUP($A419,PLANI_LLOGARIVE!$A:$I,9,FALSE()),""))</f>
        <v/>
      </c>
      <c r="D419" s="101" t="str">
        <f aca="false">IF($A419="","",COUNTIF(DITARI!$D:$D,$A419))</f>
        <v/>
      </c>
      <c r="E419" s="101" t="str">
        <f aca="false">IF($A419="","",SUMIFS(DITARI!$F:$F,DITARI!$D:$D,$A419))</f>
        <v/>
      </c>
      <c r="F419" s="101" t="str">
        <f aca="false">IF($A419="","",SUMIFS(DITARI!$G:$G,DITARI!$D:$D,$A419))</f>
        <v/>
      </c>
      <c r="G419" s="101" t="str">
        <f aca="false">IF($A419="","",$E419-$F419)</f>
        <v/>
      </c>
    </row>
    <row r="420" customFormat="false" ht="15" hidden="false" customHeight="true" outlineLevel="0" collapsed="false">
      <c r="A420" s="101" t="str">
        <f aca="false">IFERROR(INDEX(DITARI!$D$6:$D$550,MATCH(0,COUNTIF($A$1:A419,DITARI!$D$6:$D$550)+(DITARI!$D$6:$D$550=""),0)),"")</f>
        <v/>
      </c>
      <c r="B420" s="101" t="str">
        <f aca="false">IF($A420="","",IFERROR(VLOOKUP($A420,PLANI_LLOGARIVE!$A:$I,2,FALSE()),"⚠ Nuk është te PLANI_LLOGARIVE"))</f>
        <v/>
      </c>
      <c r="C420" s="101" t="str">
        <f aca="false">IF($A420="","",IFERROR(VLOOKUP($A420,PLANI_LLOGARIVE!$A:$I,9,FALSE()),""))</f>
        <v/>
      </c>
      <c r="D420" s="101" t="str">
        <f aca="false">IF($A420="","",COUNTIF(DITARI!$D:$D,$A420))</f>
        <v/>
      </c>
      <c r="E420" s="101" t="str">
        <f aca="false">IF($A420="","",SUMIFS(DITARI!$F:$F,DITARI!$D:$D,$A420))</f>
        <v/>
      </c>
      <c r="F420" s="101" t="str">
        <f aca="false">IF($A420="","",SUMIFS(DITARI!$G:$G,DITARI!$D:$D,$A420))</f>
        <v/>
      </c>
      <c r="G420" s="101" t="str">
        <f aca="false">IF($A420="","",$E420-$F420)</f>
        <v/>
      </c>
    </row>
    <row r="421" customFormat="false" ht="15" hidden="false" customHeight="true" outlineLevel="0" collapsed="false">
      <c r="A421" s="101" t="str">
        <f aca="false">IFERROR(INDEX(DITARI!$D$6:$D$550,MATCH(0,COUNTIF($A$1:A420,DITARI!$D$6:$D$550)+(DITARI!$D$6:$D$550=""),0)),"")</f>
        <v/>
      </c>
      <c r="B421" s="101" t="str">
        <f aca="false">IF($A421="","",IFERROR(VLOOKUP($A421,PLANI_LLOGARIVE!$A:$I,2,FALSE()),"⚠ Nuk është te PLANI_LLOGARIVE"))</f>
        <v/>
      </c>
      <c r="C421" s="101" t="str">
        <f aca="false">IF($A421="","",IFERROR(VLOOKUP($A421,PLANI_LLOGARIVE!$A:$I,9,FALSE()),""))</f>
        <v/>
      </c>
      <c r="D421" s="101" t="str">
        <f aca="false">IF($A421="","",COUNTIF(DITARI!$D:$D,$A421))</f>
        <v/>
      </c>
      <c r="E421" s="101" t="str">
        <f aca="false">IF($A421="","",SUMIFS(DITARI!$F:$F,DITARI!$D:$D,$A421))</f>
        <v/>
      </c>
      <c r="F421" s="101" t="str">
        <f aca="false">IF($A421="","",SUMIFS(DITARI!$G:$G,DITARI!$D:$D,$A421))</f>
        <v/>
      </c>
      <c r="G421" s="101" t="str">
        <f aca="false">IF($A421="","",$E421-$F421)</f>
        <v/>
      </c>
    </row>
    <row r="422" customFormat="false" ht="15" hidden="false" customHeight="true" outlineLevel="0" collapsed="false">
      <c r="A422" s="101" t="str">
        <f aca="false">IFERROR(INDEX(DITARI!$D$6:$D$550,MATCH(0,COUNTIF($A$1:A421,DITARI!$D$6:$D$550)+(DITARI!$D$6:$D$550=""),0)),"")</f>
        <v/>
      </c>
      <c r="B422" s="101" t="str">
        <f aca="false">IF($A422="","",IFERROR(VLOOKUP($A422,PLANI_LLOGARIVE!$A:$I,2,FALSE()),"⚠ Nuk është te PLANI_LLOGARIVE"))</f>
        <v/>
      </c>
      <c r="C422" s="101" t="str">
        <f aca="false">IF($A422="","",IFERROR(VLOOKUP($A422,PLANI_LLOGARIVE!$A:$I,9,FALSE()),""))</f>
        <v/>
      </c>
      <c r="D422" s="101" t="str">
        <f aca="false">IF($A422="","",COUNTIF(DITARI!$D:$D,$A422))</f>
        <v/>
      </c>
      <c r="E422" s="101" t="str">
        <f aca="false">IF($A422="","",SUMIFS(DITARI!$F:$F,DITARI!$D:$D,$A422))</f>
        <v/>
      </c>
      <c r="F422" s="101" t="str">
        <f aca="false">IF($A422="","",SUMIFS(DITARI!$G:$G,DITARI!$D:$D,$A422))</f>
        <v/>
      </c>
      <c r="G422" s="101" t="str">
        <f aca="false">IF($A422="","",$E422-$F422)</f>
        <v/>
      </c>
    </row>
    <row r="423" customFormat="false" ht="15" hidden="false" customHeight="true" outlineLevel="0" collapsed="false">
      <c r="A423" s="101" t="str">
        <f aca="false">IFERROR(INDEX(DITARI!$D$6:$D$550,MATCH(0,COUNTIF($A$1:A422,DITARI!$D$6:$D$550)+(DITARI!$D$6:$D$550=""),0)),"")</f>
        <v/>
      </c>
      <c r="B423" s="101" t="str">
        <f aca="false">IF($A423="","",IFERROR(VLOOKUP($A423,PLANI_LLOGARIVE!$A:$I,2,FALSE()),"⚠ Nuk është te PLANI_LLOGARIVE"))</f>
        <v/>
      </c>
      <c r="C423" s="101" t="str">
        <f aca="false">IF($A423="","",IFERROR(VLOOKUP($A423,PLANI_LLOGARIVE!$A:$I,9,FALSE()),""))</f>
        <v/>
      </c>
      <c r="D423" s="101" t="str">
        <f aca="false">IF($A423="","",COUNTIF(DITARI!$D:$D,$A423))</f>
        <v/>
      </c>
      <c r="E423" s="101" t="str">
        <f aca="false">IF($A423="","",SUMIFS(DITARI!$F:$F,DITARI!$D:$D,$A423))</f>
        <v/>
      </c>
      <c r="F423" s="101" t="str">
        <f aca="false">IF($A423="","",SUMIFS(DITARI!$G:$G,DITARI!$D:$D,$A423))</f>
        <v/>
      </c>
      <c r="G423" s="101" t="str">
        <f aca="false">IF($A423="","",$E423-$F423)</f>
        <v/>
      </c>
    </row>
    <row r="424" customFormat="false" ht="15" hidden="false" customHeight="true" outlineLevel="0" collapsed="false">
      <c r="A424" s="101" t="str">
        <f aca="false">IFERROR(INDEX(DITARI!$D$6:$D$550,MATCH(0,COUNTIF($A$1:A423,DITARI!$D$6:$D$550)+(DITARI!$D$6:$D$550=""),0)),"")</f>
        <v/>
      </c>
      <c r="B424" s="101" t="str">
        <f aca="false">IF($A424="","",IFERROR(VLOOKUP($A424,PLANI_LLOGARIVE!$A:$I,2,FALSE()),"⚠ Nuk është te PLANI_LLOGARIVE"))</f>
        <v/>
      </c>
      <c r="C424" s="101" t="str">
        <f aca="false">IF($A424="","",IFERROR(VLOOKUP($A424,PLANI_LLOGARIVE!$A:$I,9,FALSE()),""))</f>
        <v/>
      </c>
      <c r="D424" s="101" t="str">
        <f aca="false">IF($A424="","",COUNTIF(DITARI!$D:$D,$A424))</f>
        <v/>
      </c>
      <c r="E424" s="101" t="str">
        <f aca="false">IF($A424="","",SUMIFS(DITARI!$F:$F,DITARI!$D:$D,$A424))</f>
        <v/>
      </c>
      <c r="F424" s="101" t="str">
        <f aca="false">IF($A424="","",SUMIFS(DITARI!$G:$G,DITARI!$D:$D,$A424))</f>
        <v/>
      </c>
      <c r="G424" s="101" t="str">
        <f aca="false">IF($A424="","",$E424-$F424)</f>
        <v/>
      </c>
    </row>
    <row r="425" customFormat="false" ht="15" hidden="false" customHeight="true" outlineLevel="0" collapsed="false">
      <c r="A425" s="101" t="str">
        <f aca="false">IFERROR(INDEX(DITARI!$D$6:$D$550,MATCH(0,COUNTIF($A$1:A424,DITARI!$D$6:$D$550)+(DITARI!$D$6:$D$550=""),0)),"")</f>
        <v/>
      </c>
      <c r="B425" s="101" t="str">
        <f aca="false">IF($A425="","",IFERROR(VLOOKUP($A425,PLANI_LLOGARIVE!$A:$I,2,FALSE()),"⚠ Nuk është te PLANI_LLOGARIVE"))</f>
        <v/>
      </c>
      <c r="C425" s="101" t="str">
        <f aca="false">IF($A425="","",IFERROR(VLOOKUP($A425,PLANI_LLOGARIVE!$A:$I,9,FALSE()),""))</f>
        <v/>
      </c>
      <c r="D425" s="101" t="str">
        <f aca="false">IF($A425="","",COUNTIF(DITARI!$D:$D,$A425))</f>
        <v/>
      </c>
      <c r="E425" s="101" t="str">
        <f aca="false">IF($A425="","",SUMIFS(DITARI!$F:$F,DITARI!$D:$D,$A425))</f>
        <v/>
      </c>
      <c r="F425" s="101" t="str">
        <f aca="false">IF($A425="","",SUMIFS(DITARI!$G:$G,DITARI!$D:$D,$A425))</f>
        <v/>
      </c>
      <c r="G425" s="101" t="str">
        <f aca="false">IF($A425="","",$E425-$F425)</f>
        <v/>
      </c>
    </row>
    <row r="426" customFormat="false" ht="15" hidden="false" customHeight="true" outlineLevel="0" collapsed="false">
      <c r="A426" s="101" t="str">
        <f aca="false">IFERROR(INDEX(DITARI!$D$6:$D$550,MATCH(0,COUNTIF($A$1:A425,DITARI!$D$6:$D$550)+(DITARI!$D$6:$D$550=""),0)),"")</f>
        <v/>
      </c>
      <c r="B426" s="101" t="str">
        <f aca="false">IF($A426="","",IFERROR(VLOOKUP($A426,PLANI_LLOGARIVE!$A:$I,2,FALSE()),"⚠ Nuk është te PLANI_LLOGARIVE"))</f>
        <v/>
      </c>
      <c r="C426" s="101" t="str">
        <f aca="false">IF($A426="","",IFERROR(VLOOKUP($A426,PLANI_LLOGARIVE!$A:$I,9,FALSE()),""))</f>
        <v/>
      </c>
      <c r="D426" s="101" t="str">
        <f aca="false">IF($A426="","",COUNTIF(DITARI!$D:$D,$A426))</f>
        <v/>
      </c>
      <c r="E426" s="101" t="str">
        <f aca="false">IF($A426="","",SUMIFS(DITARI!$F:$F,DITARI!$D:$D,$A426))</f>
        <v/>
      </c>
      <c r="F426" s="101" t="str">
        <f aca="false">IF($A426="","",SUMIFS(DITARI!$G:$G,DITARI!$D:$D,$A426))</f>
        <v/>
      </c>
      <c r="G426" s="101" t="str">
        <f aca="false">IF($A426="","",$E426-$F426)</f>
        <v/>
      </c>
    </row>
    <row r="427" customFormat="false" ht="15" hidden="false" customHeight="true" outlineLevel="0" collapsed="false">
      <c r="A427" s="101" t="str">
        <f aca="false">IFERROR(INDEX(DITARI!$D$6:$D$550,MATCH(0,COUNTIF($A$1:A426,DITARI!$D$6:$D$550)+(DITARI!$D$6:$D$550=""),0)),"")</f>
        <v/>
      </c>
      <c r="B427" s="101" t="str">
        <f aca="false">IF($A427="","",IFERROR(VLOOKUP($A427,PLANI_LLOGARIVE!$A:$I,2,FALSE()),"⚠ Nuk është te PLANI_LLOGARIVE"))</f>
        <v/>
      </c>
      <c r="C427" s="101" t="str">
        <f aca="false">IF($A427="","",IFERROR(VLOOKUP($A427,PLANI_LLOGARIVE!$A:$I,9,FALSE()),""))</f>
        <v/>
      </c>
      <c r="D427" s="101" t="str">
        <f aca="false">IF($A427="","",COUNTIF(DITARI!$D:$D,$A427))</f>
        <v/>
      </c>
      <c r="E427" s="101" t="str">
        <f aca="false">IF($A427="","",SUMIFS(DITARI!$F:$F,DITARI!$D:$D,$A427))</f>
        <v/>
      </c>
      <c r="F427" s="101" t="str">
        <f aca="false">IF($A427="","",SUMIFS(DITARI!$G:$G,DITARI!$D:$D,$A427))</f>
        <v/>
      </c>
      <c r="G427" s="101" t="str">
        <f aca="false">IF($A427="","",$E427-$F427)</f>
        <v/>
      </c>
    </row>
    <row r="428" customFormat="false" ht="15" hidden="false" customHeight="true" outlineLevel="0" collapsed="false">
      <c r="A428" s="101" t="str">
        <f aca="false">IFERROR(INDEX(DITARI!$D$6:$D$550,MATCH(0,COUNTIF($A$1:A427,DITARI!$D$6:$D$550)+(DITARI!$D$6:$D$550=""),0)),"")</f>
        <v/>
      </c>
      <c r="B428" s="101" t="str">
        <f aca="false">IF($A428="","",IFERROR(VLOOKUP($A428,PLANI_LLOGARIVE!$A:$I,2,FALSE()),"⚠ Nuk është te PLANI_LLOGARIVE"))</f>
        <v/>
      </c>
      <c r="C428" s="101" t="str">
        <f aca="false">IF($A428="","",IFERROR(VLOOKUP($A428,PLANI_LLOGARIVE!$A:$I,9,FALSE()),""))</f>
        <v/>
      </c>
      <c r="D428" s="101" t="str">
        <f aca="false">IF($A428="","",COUNTIF(DITARI!$D:$D,$A428))</f>
        <v/>
      </c>
      <c r="E428" s="101" t="str">
        <f aca="false">IF($A428="","",SUMIFS(DITARI!$F:$F,DITARI!$D:$D,$A428))</f>
        <v/>
      </c>
      <c r="F428" s="101" t="str">
        <f aca="false">IF($A428="","",SUMIFS(DITARI!$G:$G,DITARI!$D:$D,$A428))</f>
        <v/>
      </c>
      <c r="G428" s="101" t="str">
        <f aca="false">IF($A428="","",$E428-$F428)</f>
        <v/>
      </c>
    </row>
    <row r="429" customFormat="false" ht="15" hidden="false" customHeight="true" outlineLevel="0" collapsed="false">
      <c r="A429" s="101" t="str">
        <f aca="false">IFERROR(INDEX(DITARI!$D$6:$D$550,MATCH(0,COUNTIF($A$1:A428,DITARI!$D$6:$D$550)+(DITARI!$D$6:$D$550=""),0)),"")</f>
        <v/>
      </c>
      <c r="B429" s="101" t="str">
        <f aca="false">IF($A429="","",IFERROR(VLOOKUP($A429,PLANI_LLOGARIVE!$A:$I,2,FALSE()),"⚠ Nuk është te PLANI_LLOGARIVE"))</f>
        <v/>
      </c>
      <c r="C429" s="101" t="str">
        <f aca="false">IF($A429="","",IFERROR(VLOOKUP($A429,PLANI_LLOGARIVE!$A:$I,9,FALSE()),""))</f>
        <v/>
      </c>
      <c r="D429" s="101" t="str">
        <f aca="false">IF($A429="","",COUNTIF(DITARI!$D:$D,$A429))</f>
        <v/>
      </c>
      <c r="E429" s="101" t="str">
        <f aca="false">IF($A429="","",SUMIFS(DITARI!$F:$F,DITARI!$D:$D,$A429))</f>
        <v/>
      </c>
      <c r="F429" s="101" t="str">
        <f aca="false">IF($A429="","",SUMIFS(DITARI!$G:$G,DITARI!$D:$D,$A429))</f>
        <v/>
      </c>
      <c r="G429" s="101" t="str">
        <f aca="false">IF($A429="","",$E429-$F429)</f>
        <v/>
      </c>
    </row>
    <row r="430" customFormat="false" ht="15" hidden="false" customHeight="true" outlineLevel="0" collapsed="false">
      <c r="A430" s="101" t="str">
        <f aca="false">IFERROR(INDEX(DITARI!$D$6:$D$550,MATCH(0,COUNTIF($A$1:A429,DITARI!$D$6:$D$550)+(DITARI!$D$6:$D$550=""),0)),"")</f>
        <v/>
      </c>
      <c r="B430" s="101" t="str">
        <f aca="false">IF($A430="","",IFERROR(VLOOKUP($A430,PLANI_LLOGARIVE!$A:$I,2,FALSE()),"⚠ Nuk është te PLANI_LLOGARIVE"))</f>
        <v/>
      </c>
      <c r="C430" s="101" t="str">
        <f aca="false">IF($A430="","",IFERROR(VLOOKUP($A430,PLANI_LLOGARIVE!$A:$I,9,FALSE()),""))</f>
        <v/>
      </c>
      <c r="D430" s="101" t="str">
        <f aca="false">IF($A430="","",COUNTIF(DITARI!$D:$D,$A430))</f>
        <v/>
      </c>
      <c r="E430" s="101" t="str">
        <f aca="false">IF($A430="","",SUMIFS(DITARI!$F:$F,DITARI!$D:$D,$A430))</f>
        <v/>
      </c>
      <c r="F430" s="101" t="str">
        <f aca="false">IF($A430="","",SUMIFS(DITARI!$G:$G,DITARI!$D:$D,$A430))</f>
        <v/>
      </c>
      <c r="G430" s="101" t="str">
        <f aca="false">IF($A430="","",$E430-$F430)</f>
        <v/>
      </c>
    </row>
    <row r="431" customFormat="false" ht="15" hidden="false" customHeight="true" outlineLevel="0" collapsed="false">
      <c r="A431" s="101" t="str">
        <f aca="false">IFERROR(INDEX(DITARI!$D$6:$D$550,MATCH(0,COUNTIF($A$1:A430,DITARI!$D$6:$D$550)+(DITARI!$D$6:$D$550=""),0)),"")</f>
        <v/>
      </c>
      <c r="B431" s="101" t="str">
        <f aca="false">IF($A431="","",IFERROR(VLOOKUP($A431,PLANI_LLOGARIVE!$A:$I,2,FALSE()),"⚠ Nuk është te PLANI_LLOGARIVE"))</f>
        <v/>
      </c>
      <c r="C431" s="101" t="str">
        <f aca="false">IF($A431="","",IFERROR(VLOOKUP($A431,PLANI_LLOGARIVE!$A:$I,9,FALSE()),""))</f>
        <v/>
      </c>
      <c r="D431" s="101" t="str">
        <f aca="false">IF($A431="","",COUNTIF(DITARI!$D:$D,$A431))</f>
        <v/>
      </c>
      <c r="E431" s="101" t="str">
        <f aca="false">IF($A431="","",SUMIFS(DITARI!$F:$F,DITARI!$D:$D,$A431))</f>
        <v/>
      </c>
      <c r="F431" s="101" t="str">
        <f aca="false">IF($A431="","",SUMIFS(DITARI!$G:$G,DITARI!$D:$D,$A431))</f>
        <v/>
      </c>
      <c r="G431" s="101" t="str">
        <f aca="false">IF($A431="","",$E431-$F431)</f>
        <v/>
      </c>
    </row>
    <row r="432" customFormat="false" ht="15" hidden="false" customHeight="true" outlineLevel="0" collapsed="false">
      <c r="A432" s="101" t="str">
        <f aca="false">IFERROR(INDEX(DITARI!$D$6:$D$550,MATCH(0,COUNTIF($A$1:A431,DITARI!$D$6:$D$550)+(DITARI!$D$6:$D$550=""),0)),"")</f>
        <v/>
      </c>
      <c r="B432" s="101" t="str">
        <f aca="false">IF($A432="","",IFERROR(VLOOKUP($A432,PLANI_LLOGARIVE!$A:$I,2,FALSE()),"⚠ Nuk është te PLANI_LLOGARIVE"))</f>
        <v/>
      </c>
      <c r="C432" s="101" t="str">
        <f aca="false">IF($A432="","",IFERROR(VLOOKUP($A432,PLANI_LLOGARIVE!$A:$I,9,FALSE()),""))</f>
        <v/>
      </c>
      <c r="D432" s="101" t="str">
        <f aca="false">IF($A432="","",COUNTIF(DITARI!$D:$D,$A432))</f>
        <v/>
      </c>
      <c r="E432" s="101" t="str">
        <f aca="false">IF($A432="","",SUMIFS(DITARI!$F:$F,DITARI!$D:$D,$A432))</f>
        <v/>
      </c>
      <c r="F432" s="101" t="str">
        <f aca="false">IF($A432="","",SUMIFS(DITARI!$G:$G,DITARI!$D:$D,$A432))</f>
        <v/>
      </c>
      <c r="G432" s="101" t="str">
        <f aca="false">IF($A432="","",$E432-$F432)</f>
        <v/>
      </c>
    </row>
    <row r="433" customFormat="false" ht="15" hidden="false" customHeight="true" outlineLevel="0" collapsed="false">
      <c r="A433" s="101" t="str">
        <f aca="false">IFERROR(INDEX(DITARI!$D$6:$D$550,MATCH(0,COUNTIF($A$1:A432,DITARI!$D$6:$D$550)+(DITARI!$D$6:$D$550=""),0)),"")</f>
        <v/>
      </c>
      <c r="B433" s="101" t="str">
        <f aca="false">IF($A433="","",IFERROR(VLOOKUP($A433,PLANI_LLOGARIVE!$A:$I,2,FALSE()),"⚠ Nuk është te PLANI_LLOGARIVE"))</f>
        <v/>
      </c>
      <c r="C433" s="101" t="str">
        <f aca="false">IF($A433="","",IFERROR(VLOOKUP($A433,PLANI_LLOGARIVE!$A:$I,9,FALSE()),""))</f>
        <v/>
      </c>
      <c r="D433" s="101" t="str">
        <f aca="false">IF($A433="","",COUNTIF(DITARI!$D:$D,$A433))</f>
        <v/>
      </c>
      <c r="E433" s="101" t="str">
        <f aca="false">IF($A433="","",SUMIFS(DITARI!$F:$F,DITARI!$D:$D,$A433))</f>
        <v/>
      </c>
      <c r="F433" s="101" t="str">
        <f aca="false">IF($A433="","",SUMIFS(DITARI!$G:$G,DITARI!$D:$D,$A433))</f>
        <v/>
      </c>
      <c r="G433" s="101" t="str">
        <f aca="false">IF($A433="","",$E433-$F433)</f>
        <v/>
      </c>
    </row>
    <row r="434" customFormat="false" ht="15" hidden="false" customHeight="true" outlineLevel="0" collapsed="false">
      <c r="A434" s="101" t="str">
        <f aca="false">IFERROR(INDEX(DITARI!$D$6:$D$550,MATCH(0,COUNTIF($A$1:A433,DITARI!$D$6:$D$550)+(DITARI!$D$6:$D$550=""),0)),"")</f>
        <v/>
      </c>
      <c r="B434" s="101" t="str">
        <f aca="false">IF($A434="","",IFERROR(VLOOKUP($A434,PLANI_LLOGARIVE!$A:$I,2,FALSE()),"⚠ Nuk është te PLANI_LLOGARIVE"))</f>
        <v/>
      </c>
      <c r="C434" s="101" t="str">
        <f aca="false">IF($A434="","",IFERROR(VLOOKUP($A434,PLANI_LLOGARIVE!$A:$I,9,FALSE()),""))</f>
        <v/>
      </c>
      <c r="D434" s="101" t="str">
        <f aca="false">IF($A434="","",COUNTIF(DITARI!$D:$D,$A434))</f>
        <v/>
      </c>
      <c r="E434" s="101" t="str">
        <f aca="false">IF($A434="","",SUMIFS(DITARI!$F:$F,DITARI!$D:$D,$A434))</f>
        <v/>
      </c>
      <c r="F434" s="101" t="str">
        <f aca="false">IF($A434="","",SUMIFS(DITARI!$G:$G,DITARI!$D:$D,$A434))</f>
        <v/>
      </c>
      <c r="G434" s="101" t="str">
        <f aca="false">IF($A434="","",$E434-$F434)</f>
        <v/>
      </c>
    </row>
    <row r="435" customFormat="false" ht="15" hidden="false" customHeight="true" outlineLevel="0" collapsed="false">
      <c r="A435" s="101" t="str">
        <f aca="false">IFERROR(INDEX(DITARI!$D$6:$D$550,MATCH(0,COUNTIF($A$1:A434,DITARI!$D$6:$D$550)+(DITARI!$D$6:$D$550=""),0)),"")</f>
        <v/>
      </c>
      <c r="B435" s="101" t="str">
        <f aca="false">IF($A435="","",IFERROR(VLOOKUP($A435,PLANI_LLOGARIVE!$A:$I,2,FALSE()),"⚠ Nuk është te PLANI_LLOGARIVE"))</f>
        <v/>
      </c>
      <c r="C435" s="101" t="str">
        <f aca="false">IF($A435="","",IFERROR(VLOOKUP($A435,PLANI_LLOGARIVE!$A:$I,9,FALSE()),""))</f>
        <v/>
      </c>
      <c r="D435" s="101" t="str">
        <f aca="false">IF($A435="","",COUNTIF(DITARI!$D:$D,$A435))</f>
        <v/>
      </c>
      <c r="E435" s="101" t="str">
        <f aca="false">IF($A435="","",SUMIFS(DITARI!$F:$F,DITARI!$D:$D,$A435))</f>
        <v/>
      </c>
      <c r="F435" s="101" t="str">
        <f aca="false">IF($A435="","",SUMIFS(DITARI!$G:$G,DITARI!$D:$D,$A435))</f>
        <v/>
      </c>
      <c r="G435" s="101" t="str">
        <f aca="false">IF($A435="","",$E435-$F435)</f>
        <v/>
      </c>
    </row>
    <row r="436" customFormat="false" ht="15" hidden="false" customHeight="true" outlineLevel="0" collapsed="false">
      <c r="A436" s="101" t="str">
        <f aca="false">IFERROR(INDEX(DITARI!$D$6:$D$550,MATCH(0,COUNTIF($A$1:A435,DITARI!$D$6:$D$550)+(DITARI!$D$6:$D$550=""),0)),"")</f>
        <v/>
      </c>
      <c r="B436" s="101" t="str">
        <f aca="false">IF($A436="","",IFERROR(VLOOKUP($A436,PLANI_LLOGARIVE!$A:$I,2,FALSE()),"⚠ Nuk është te PLANI_LLOGARIVE"))</f>
        <v/>
      </c>
      <c r="C436" s="101" t="str">
        <f aca="false">IF($A436="","",IFERROR(VLOOKUP($A436,PLANI_LLOGARIVE!$A:$I,9,FALSE()),""))</f>
        <v/>
      </c>
      <c r="D436" s="101" t="str">
        <f aca="false">IF($A436="","",COUNTIF(DITARI!$D:$D,$A436))</f>
        <v/>
      </c>
      <c r="E436" s="101" t="str">
        <f aca="false">IF($A436="","",SUMIFS(DITARI!$F:$F,DITARI!$D:$D,$A436))</f>
        <v/>
      </c>
      <c r="F436" s="101" t="str">
        <f aca="false">IF($A436="","",SUMIFS(DITARI!$G:$G,DITARI!$D:$D,$A436))</f>
        <v/>
      </c>
      <c r="G436" s="101" t="str">
        <f aca="false">IF($A436="","",$E436-$F436)</f>
        <v/>
      </c>
    </row>
    <row r="437" customFormat="false" ht="15" hidden="false" customHeight="true" outlineLevel="0" collapsed="false">
      <c r="A437" s="101" t="str">
        <f aca="false">IFERROR(INDEX(DITARI!$D$6:$D$550,MATCH(0,COUNTIF($A$1:A436,DITARI!$D$6:$D$550)+(DITARI!$D$6:$D$550=""),0)),"")</f>
        <v/>
      </c>
      <c r="B437" s="101" t="str">
        <f aca="false">IF($A437="","",IFERROR(VLOOKUP($A437,PLANI_LLOGARIVE!$A:$I,2,FALSE()),"⚠ Nuk është te PLANI_LLOGARIVE"))</f>
        <v/>
      </c>
      <c r="C437" s="101" t="str">
        <f aca="false">IF($A437="","",IFERROR(VLOOKUP($A437,PLANI_LLOGARIVE!$A:$I,9,FALSE()),""))</f>
        <v/>
      </c>
      <c r="D437" s="101" t="str">
        <f aca="false">IF($A437="","",COUNTIF(DITARI!$D:$D,$A437))</f>
        <v/>
      </c>
      <c r="E437" s="101" t="str">
        <f aca="false">IF($A437="","",SUMIFS(DITARI!$F:$F,DITARI!$D:$D,$A437))</f>
        <v/>
      </c>
      <c r="F437" s="101" t="str">
        <f aca="false">IF($A437="","",SUMIFS(DITARI!$G:$G,DITARI!$D:$D,$A437))</f>
        <v/>
      </c>
      <c r="G437" s="101" t="str">
        <f aca="false">IF($A437="","",$E437-$F437)</f>
        <v/>
      </c>
    </row>
    <row r="438" customFormat="false" ht="15" hidden="false" customHeight="true" outlineLevel="0" collapsed="false">
      <c r="A438" s="101" t="str">
        <f aca="false">IFERROR(INDEX(DITARI!$D$6:$D$550,MATCH(0,COUNTIF($A$1:A437,DITARI!$D$6:$D$550)+(DITARI!$D$6:$D$550=""),0)),"")</f>
        <v/>
      </c>
      <c r="B438" s="101" t="str">
        <f aca="false">IF($A438="","",IFERROR(VLOOKUP($A438,PLANI_LLOGARIVE!$A:$I,2,FALSE()),"⚠ Nuk është te PLANI_LLOGARIVE"))</f>
        <v/>
      </c>
      <c r="C438" s="101" t="str">
        <f aca="false">IF($A438="","",IFERROR(VLOOKUP($A438,PLANI_LLOGARIVE!$A:$I,9,FALSE()),""))</f>
        <v/>
      </c>
      <c r="D438" s="101" t="str">
        <f aca="false">IF($A438="","",COUNTIF(DITARI!$D:$D,$A438))</f>
        <v/>
      </c>
      <c r="E438" s="101" t="str">
        <f aca="false">IF($A438="","",SUMIFS(DITARI!$F:$F,DITARI!$D:$D,$A438))</f>
        <v/>
      </c>
      <c r="F438" s="101" t="str">
        <f aca="false">IF($A438="","",SUMIFS(DITARI!$G:$G,DITARI!$D:$D,$A438))</f>
        <v/>
      </c>
      <c r="G438" s="101" t="str">
        <f aca="false">IF($A438="","",$E438-$F438)</f>
        <v/>
      </c>
    </row>
    <row r="439" customFormat="false" ht="15" hidden="false" customHeight="true" outlineLevel="0" collapsed="false">
      <c r="A439" s="101" t="str">
        <f aca="false">IFERROR(INDEX(DITARI!$D$6:$D$550,MATCH(0,COUNTIF($A$1:A438,DITARI!$D$6:$D$550)+(DITARI!$D$6:$D$550=""),0)),"")</f>
        <v/>
      </c>
      <c r="B439" s="101" t="str">
        <f aca="false">IF($A439="","",IFERROR(VLOOKUP($A439,PLANI_LLOGARIVE!$A:$I,2,FALSE()),"⚠ Nuk është te PLANI_LLOGARIVE"))</f>
        <v/>
      </c>
      <c r="C439" s="101" t="str">
        <f aca="false">IF($A439="","",IFERROR(VLOOKUP($A439,PLANI_LLOGARIVE!$A:$I,9,FALSE()),""))</f>
        <v/>
      </c>
      <c r="D439" s="101" t="str">
        <f aca="false">IF($A439="","",COUNTIF(DITARI!$D:$D,$A439))</f>
        <v/>
      </c>
      <c r="E439" s="101" t="str">
        <f aca="false">IF($A439="","",SUMIFS(DITARI!$F:$F,DITARI!$D:$D,$A439))</f>
        <v/>
      </c>
      <c r="F439" s="101" t="str">
        <f aca="false">IF($A439="","",SUMIFS(DITARI!$G:$G,DITARI!$D:$D,$A439))</f>
        <v/>
      </c>
      <c r="G439" s="101" t="str">
        <f aca="false">IF($A439="","",$E439-$F439)</f>
        <v/>
      </c>
    </row>
    <row r="440" customFormat="false" ht="15" hidden="false" customHeight="true" outlineLevel="0" collapsed="false">
      <c r="A440" s="101" t="str">
        <f aca="false">IFERROR(INDEX(DITARI!$D$6:$D$550,MATCH(0,COUNTIF($A$1:A439,DITARI!$D$6:$D$550)+(DITARI!$D$6:$D$550=""),0)),"")</f>
        <v/>
      </c>
      <c r="B440" s="101" t="str">
        <f aca="false">IF($A440="","",IFERROR(VLOOKUP($A440,PLANI_LLOGARIVE!$A:$I,2,FALSE()),"⚠ Nuk është te PLANI_LLOGARIVE"))</f>
        <v/>
      </c>
      <c r="C440" s="101" t="str">
        <f aca="false">IF($A440="","",IFERROR(VLOOKUP($A440,PLANI_LLOGARIVE!$A:$I,9,FALSE()),""))</f>
        <v/>
      </c>
      <c r="D440" s="101" t="str">
        <f aca="false">IF($A440="","",COUNTIF(DITARI!$D:$D,$A440))</f>
        <v/>
      </c>
      <c r="E440" s="101" t="str">
        <f aca="false">IF($A440="","",SUMIFS(DITARI!$F:$F,DITARI!$D:$D,$A440))</f>
        <v/>
      </c>
      <c r="F440" s="101" t="str">
        <f aca="false">IF($A440="","",SUMIFS(DITARI!$G:$G,DITARI!$D:$D,$A440))</f>
        <v/>
      </c>
      <c r="G440" s="101" t="str">
        <f aca="false">IF($A440="","",$E440-$F440)</f>
        <v/>
      </c>
    </row>
    <row r="441" customFormat="false" ht="15" hidden="false" customHeight="true" outlineLevel="0" collapsed="false">
      <c r="A441" s="101" t="str">
        <f aca="false">IFERROR(INDEX(DITARI!$D$6:$D$550,MATCH(0,COUNTIF($A$1:A440,DITARI!$D$6:$D$550)+(DITARI!$D$6:$D$550=""),0)),"")</f>
        <v/>
      </c>
      <c r="B441" s="101" t="str">
        <f aca="false">IF($A441="","",IFERROR(VLOOKUP($A441,PLANI_LLOGARIVE!$A:$I,2,FALSE()),"⚠ Nuk është te PLANI_LLOGARIVE"))</f>
        <v/>
      </c>
      <c r="C441" s="101" t="str">
        <f aca="false">IF($A441="","",IFERROR(VLOOKUP($A441,PLANI_LLOGARIVE!$A:$I,9,FALSE()),""))</f>
        <v/>
      </c>
      <c r="D441" s="101" t="str">
        <f aca="false">IF($A441="","",COUNTIF(DITARI!$D:$D,$A441))</f>
        <v/>
      </c>
      <c r="E441" s="101" t="str">
        <f aca="false">IF($A441="","",SUMIFS(DITARI!$F:$F,DITARI!$D:$D,$A441))</f>
        <v/>
      </c>
      <c r="F441" s="101" t="str">
        <f aca="false">IF($A441="","",SUMIFS(DITARI!$G:$G,DITARI!$D:$D,$A441))</f>
        <v/>
      </c>
      <c r="G441" s="101" t="str">
        <f aca="false">IF($A441="","",$E441-$F441)</f>
        <v/>
      </c>
    </row>
    <row r="442" customFormat="false" ht="15" hidden="false" customHeight="true" outlineLevel="0" collapsed="false">
      <c r="A442" s="101" t="str">
        <f aca="false">IFERROR(INDEX(DITARI!$D$6:$D$550,MATCH(0,COUNTIF($A$1:A441,DITARI!$D$6:$D$550)+(DITARI!$D$6:$D$550=""),0)),"")</f>
        <v/>
      </c>
      <c r="B442" s="101" t="str">
        <f aca="false">IF($A442="","",IFERROR(VLOOKUP($A442,PLANI_LLOGARIVE!$A:$I,2,FALSE()),"⚠ Nuk është te PLANI_LLOGARIVE"))</f>
        <v/>
      </c>
      <c r="C442" s="101" t="str">
        <f aca="false">IF($A442="","",IFERROR(VLOOKUP($A442,PLANI_LLOGARIVE!$A:$I,9,FALSE()),""))</f>
        <v/>
      </c>
      <c r="D442" s="101" t="str">
        <f aca="false">IF($A442="","",COUNTIF(DITARI!$D:$D,$A442))</f>
        <v/>
      </c>
      <c r="E442" s="101" t="str">
        <f aca="false">IF($A442="","",SUMIFS(DITARI!$F:$F,DITARI!$D:$D,$A442))</f>
        <v/>
      </c>
      <c r="F442" s="101" t="str">
        <f aca="false">IF($A442="","",SUMIFS(DITARI!$G:$G,DITARI!$D:$D,$A442))</f>
        <v/>
      </c>
      <c r="G442" s="101" t="str">
        <f aca="false">IF($A442="","",$E442-$F442)</f>
        <v/>
      </c>
    </row>
    <row r="443" customFormat="false" ht="15" hidden="false" customHeight="true" outlineLevel="0" collapsed="false">
      <c r="A443" s="101" t="str">
        <f aca="false">IFERROR(INDEX(DITARI!$D$6:$D$550,MATCH(0,COUNTIF($A$1:A442,DITARI!$D$6:$D$550)+(DITARI!$D$6:$D$550=""),0)),"")</f>
        <v/>
      </c>
      <c r="B443" s="101" t="str">
        <f aca="false">IF($A443="","",IFERROR(VLOOKUP($A443,PLANI_LLOGARIVE!$A:$I,2,FALSE()),"⚠ Nuk është te PLANI_LLOGARIVE"))</f>
        <v/>
      </c>
      <c r="C443" s="101" t="str">
        <f aca="false">IF($A443="","",IFERROR(VLOOKUP($A443,PLANI_LLOGARIVE!$A:$I,9,FALSE()),""))</f>
        <v/>
      </c>
      <c r="D443" s="101" t="str">
        <f aca="false">IF($A443="","",COUNTIF(DITARI!$D:$D,$A443))</f>
        <v/>
      </c>
      <c r="E443" s="101" t="str">
        <f aca="false">IF($A443="","",SUMIFS(DITARI!$F:$F,DITARI!$D:$D,$A443))</f>
        <v/>
      </c>
      <c r="F443" s="101" t="str">
        <f aca="false">IF($A443="","",SUMIFS(DITARI!$G:$G,DITARI!$D:$D,$A443))</f>
        <v/>
      </c>
      <c r="G443" s="101" t="str">
        <f aca="false">IF($A443="","",$E443-$F443)</f>
        <v/>
      </c>
    </row>
    <row r="444" customFormat="false" ht="15" hidden="false" customHeight="true" outlineLevel="0" collapsed="false">
      <c r="A444" s="101" t="str">
        <f aca="false">IFERROR(INDEX(DITARI!$D$6:$D$550,MATCH(0,COUNTIF($A$1:A443,DITARI!$D$6:$D$550)+(DITARI!$D$6:$D$550=""),0)),"")</f>
        <v/>
      </c>
      <c r="B444" s="101" t="str">
        <f aca="false">IF($A444="","",IFERROR(VLOOKUP($A444,PLANI_LLOGARIVE!$A:$I,2,FALSE()),"⚠ Nuk është te PLANI_LLOGARIVE"))</f>
        <v/>
      </c>
      <c r="C444" s="101" t="str">
        <f aca="false">IF($A444="","",IFERROR(VLOOKUP($A444,PLANI_LLOGARIVE!$A:$I,9,FALSE()),""))</f>
        <v/>
      </c>
      <c r="D444" s="101" t="str">
        <f aca="false">IF($A444="","",COUNTIF(DITARI!$D:$D,$A444))</f>
        <v/>
      </c>
      <c r="E444" s="101" t="str">
        <f aca="false">IF($A444="","",SUMIFS(DITARI!$F:$F,DITARI!$D:$D,$A444))</f>
        <v/>
      </c>
      <c r="F444" s="101" t="str">
        <f aca="false">IF($A444="","",SUMIFS(DITARI!$G:$G,DITARI!$D:$D,$A444))</f>
        <v/>
      </c>
      <c r="G444" s="101" t="str">
        <f aca="false">IF($A444="","",$E444-$F444)</f>
        <v/>
      </c>
    </row>
    <row r="445" customFormat="false" ht="15" hidden="false" customHeight="true" outlineLevel="0" collapsed="false">
      <c r="A445" s="101" t="str">
        <f aca="false">IFERROR(INDEX(DITARI!$D$6:$D$550,MATCH(0,COUNTIF($A$1:A444,DITARI!$D$6:$D$550)+(DITARI!$D$6:$D$550=""),0)),"")</f>
        <v/>
      </c>
      <c r="B445" s="101" t="str">
        <f aca="false">IF($A445="","",IFERROR(VLOOKUP($A445,PLANI_LLOGARIVE!$A:$I,2,FALSE()),"⚠ Nuk është te PLANI_LLOGARIVE"))</f>
        <v/>
      </c>
      <c r="C445" s="101" t="str">
        <f aca="false">IF($A445="","",IFERROR(VLOOKUP($A445,PLANI_LLOGARIVE!$A:$I,9,FALSE()),""))</f>
        <v/>
      </c>
      <c r="D445" s="101" t="str">
        <f aca="false">IF($A445="","",COUNTIF(DITARI!$D:$D,$A445))</f>
        <v/>
      </c>
      <c r="E445" s="101" t="str">
        <f aca="false">IF($A445="","",SUMIFS(DITARI!$F:$F,DITARI!$D:$D,$A445))</f>
        <v/>
      </c>
      <c r="F445" s="101" t="str">
        <f aca="false">IF($A445="","",SUMIFS(DITARI!$G:$G,DITARI!$D:$D,$A445))</f>
        <v/>
      </c>
      <c r="G445" s="101" t="str">
        <f aca="false">IF($A445="","",$E445-$F445)</f>
        <v/>
      </c>
    </row>
    <row r="446" customFormat="false" ht="15" hidden="false" customHeight="true" outlineLevel="0" collapsed="false">
      <c r="A446" s="101" t="str">
        <f aca="false">IFERROR(INDEX(DITARI!$D$6:$D$550,MATCH(0,COUNTIF($A$1:A445,DITARI!$D$6:$D$550)+(DITARI!$D$6:$D$550=""),0)),"")</f>
        <v/>
      </c>
      <c r="B446" s="101" t="str">
        <f aca="false">IF($A446="","",IFERROR(VLOOKUP($A446,PLANI_LLOGARIVE!$A:$I,2,FALSE()),"⚠ Nuk është te PLANI_LLOGARIVE"))</f>
        <v/>
      </c>
      <c r="C446" s="101" t="str">
        <f aca="false">IF($A446="","",IFERROR(VLOOKUP($A446,PLANI_LLOGARIVE!$A:$I,9,FALSE()),""))</f>
        <v/>
      </c>
      <c r="D446" s="101" t="str">
        <f aca="false">IF($A446="","",COUNTIF(DITARI!$D:$D,$A446))</f>
        <v/>
      </c>
      <c r="E446" s="101" t="str">
        <f aca="false">IF($A446="","",SUMIFS(DITARI!$F:$F,DITARI!$D:$D,$A446))</f>
        <v/>
      </c>
      <c r="F446" s="101" t="str">
        <f aca="false">IF($A446="","",SUMIFS(DITARI!$G:$G,DITARI!$D:$D,$A446))</f>
        <v/>
      </c>
      <c r="G446" s="101" t="str">
        <f aca="false">IF($A446="","",$E446-$F446)</f>
        <v/>
      </c>
    </row>
    <row r="447" customFormat="false" ht="15" hidden="false" customHeight="true" outlineLevel="0" collapsed="false">
      <c r="A447" s="101" t="str">
        <f aca="false">IFERROR(INDEX(DITARI!$D$6:$D$550,MATCH(0,COUNTIF($A$1:A446,DITARI!$D$6:$D$550)+(DITARI!$D$6:$D$550=""),0)),"")</f>
        <v/>
      </c>
      <c r="B447" s="101" t="str">
        <f aca="false">IF($A447="","",IFERROR(VLOOKUP($A447,PLANI_LLOGARIVE!$A:$I,2,FALSE()),"⚠ Nuk është te PLANI_LLOGARIVE"))</f>
        <v/>
      </c>
      <c r="C447" s="101" t="str">
        <f aca="false">IF($A447="","",IFERROR(VLOOKUP($A447,PLANI_LLOGARIVE!$A:$I,9,FALSE()),""))</f>
        <v/>
      </c>
      <c r="D447" s="101" t="str">
        <f aca="false">IF($A447="","",COUNTIF(DITARI!$D:$D,$A447))</f>
        <v/>
      </c>
      <c r="E447" s="101" t="str">
        <f aca="false">IF($A447="","",SUMIFS(DITARI!$F:$F,DITARI!$D:$D,$A447))</f>
        <v/>
      </c>
      <c r="F447" s="101" t="str">
        <f aca="false">IF($A447="","",SUMIFS(DITARI!$G:$G,DITARI!$D:$D,$A447))</f>
        <v/>
      </c>
      <c r="G447" s="101" t="str">
        <f aca="false">IF($A447="","",$E447-$F447)</f>
        <v/>
      </c>
    </row>
    <row r="448" customFormat="false" ht="15" hidden="false" customHeight="true" outlineLevel="0" collapsed="false">
      <c r="A448" s="101" t="str">
        <f aca="false">IFERROR(INDEX(DITARI!$D$6:$D$550,MATCH(0,COUNTIF($A$1:A447,DITARI!$D$6:$D$550)+(DITARI!$D$6:$D$550=""),0)),"")</f>
        <v/>
      </c>
      <c r="B448" s="101" t="str">
        <f aca="false">IF($A448="","",IFERROR(VLOOKUP($A448,PLANI_LLOGARIVE!$A:$I,2,FALSE()),"⚠ Nuk është te PLANI_LLOGARIVE"))</f>
        <v/>
      </c>
      <c r="C448" s="101" t="str">
        <f aca="false">IF($A448="","",IFERROR(VLOOKUP($A448,PLANI_LLOGARIVE!$A:$I,9,FALSE()),""))</f>
        <v/>
      </c>
      <c r="D448" s="101" t="str">
        <f aca="false">IF($A448="","",COUNTIF(DITARI!$D:$D,$A448))</f>
        <v/>
      </c>
      <c r="E448" s="101" t="str">
        <f aca="false">IF($A448="","",SUMIFS(DITARI!$F:$F,DITARI!$D:$D,$A448))</f>
        <v/>
      </c>
      <c r="F448" s="101" t="str">
        <f aca="false">IF($A448="","",SUMIFS(DITARI!$G:$G,DITARI!$D:$D,$A448))</f>
        <v/>
      </c>
      <c r="G448" s="101" t="str">
        <f aca="false">IF($A448="","",$E448-$F448)</f>
        <v/>
      </c>
    </row>
    <row r="449" customFormat="false" ht="15" hidden="false" customHeight="true" outlineLevel="0" collapsed="false">
      <c r="A449" s="101" t="str">
        <f aca="false">IFERROR(INDEX(DITARI!$D$6:$D$550,MATCH(0,COUNTIF($A$1:A448,DITARI!$D$6:$D$550)+(DITARI!$D$6:$D$550=""),0)),"")</f>
        <v/>
      </c>
      <c r="B449" s="101" t="str">
        <f aca="false">IF($A449="","",IFERROR(VLOOKUP($A449,PLANI_LLOGARIVE!$A:$I,2,FALSE()),"⚠ Nuk është te PLANI_LLOGARIVE"))</f>
        <v/>
      </c>
      <c r="C449" s="101" t="str">
        <f aca="false">IF($A449="","",IFERROR(VLOOKUP($A449,PLANI_LLOGARIVE!$A:$I,9,FALSE()),""))</f>
        <v/>
      </c>
      <c r="D449" s="101" t="str">
        <f aca="false">IF($A449="","",COUNTIF(DITARI!$D:$D,$A449))</f>
        <v/>
      </c>
      <c r="E449" s="101" t="str">
        <f aca="false">IF($A449="","",SUMIFS(DITARI!$F:$F,DITARI!$D:$D,$A449))</f>
        <v/>
      </c>
      <c r="F449" s="101" t="str">
        <f aca="false">IF($A449="","",SUMIFS(DITARI!$G:$G,DITARI!$D:$D,$A449))</f>
        <v/>
      </c>
      <c r="G449" s="101" t="str">
        <f aca="false">IF($A449="","",$E449-$F449)</f>
        <v/>
      </c>
    </row>
    <row r="450" customFormat="false" ht="15" hidden="false" customHeight="true" outlineLevel="0" collapsed="false">
      <c r="A450" s="101" t="str">
        <f aca="false">IFERROR(INDEX(DITARI!$D$6:$D$550,MATCH(0,COUNTIF($A$1:A449,DITARI!$D$6:$D$550)+(DITARI!$D$6:$D$550=""),0)),"")</f>
        <v/>
      </c>
      <c r="B450" s="101" t="str">
        <f aca="false">IF($A450="","",IFERROR(VLOOKUP($A450,PLANI_LLOGARIVE!$A:$I,2,FALSE()),"⚠ Nuk është te PLANI_LLOGARIVE"))</f>
        <v/>
      </c>
      <c r="C450" s="101" t="str">
        <f aca="false">IF($A450="","",IFERROR(VLOOKUP($A450,PLANI_LLOGARIVE!$A:$I,9,FALSE()),""))</f>
        <v/>
      </c>
      <c r="D450" s="101" t="str">
        <f aca="false">IF($A450="","",COUNTIF(DITARI!$D:$D,$A450))</f>
        <v/>
      </c>
      <c r="E450" s="101" t="str">
        <f aca="false">IF($A450="","",SUMIFS(DITARI!$F:$F,DITARI!$D:$D,$A450))</f>
        <v/>
      </c>
      <c r="F450" s="101" t="str">
        <f aca="false">IF($A450="","",SUMIFS(DITARI!$G:$G,DITARI!$D:$D,$A450))</f>
        <v/>
      </c>
      <c r="G450" s="101" t="str">
        <f aca="false">IF($A450="","",$E450-$F450)</f>
        <v/>
      </c>
    </row>
    <row r="451" customFormat="false" ht="15" hidden="false" customHeight="true" outlineLevel="0" collapsed="false">
      <c r="A451" s="101" t="str">
        <f aca="false">IFERROR(INDEX(DITARI!$D$6:$D$550,MATCH(0,COUNTIF($A$1:A450,DITARI!$D$6:$D$550)+(DITARI!$D$6:$D$550=""),0)),"")</f>
        <v/>
      </c>
      <c r="B451" s="101" t="str">
        <f aca="false">IF($A451="","",IFERROR(VLOOKUP($A451,PLANI_LLOGARIVE!$A:$I,2,FALSE()),"⚠ Nuk është te PLANI_LLOGARIVE"))</f>
        <v/>
      </c>
      <c r="C451" s="101" t="str">
        <f aca="false">IF($A451="","",IFERROR(VLOOKUP($A451,PLANI_LLOGARIVE!$A:$I,9,FALSE()),""))</f>
        <v/>
      </c>
      <c r="D451" s="101" t="str">
        <f aca="false">IF($A451="","",COUNTIF(DITARI!$D:$D,$A451))</f>
        <v/>
      </c>
      <c r="E451" s="101" t="str">
        <f aca="false">IF($A451="","",SUMIFS(DITARI!$F:$F,DITARI!$D:$D,$A451))</f>
        <v/>
      </c>
      <c r="F451" s="101" t="str">
        <f aca="false">IF($A451="","",SUMIFS(DITARI!$G:$G,DITARI!$D:$D,$A451))</f>
        <v/>
      </c>
      <c r="G451" s="101" t="str">
        <f aca="false">IF($A451="","",$E451-$F451)</f>
        <v/>
      </c>
    </row>
    <row r="452" customFormat="false" ht="15" hidden="false" customHeight="true" outlineLevel="0" collapsed="false">
      <c r="A452" s="101" t="str">
        <f aca="false">IFERROR(INDEX(DITARI!$D$6:$D$550,MATCH(0,COUNTIF($A$1:A451,DITARI!$D$6:$D$550)+(DITARI!$D$6:$D$550=""),0)),"")</f>
        <v/>
      </c>
      <c r="B452" s="101" t="str">
        <f aca="false">IF($A452="","",IFERROR(VLOOKUP($A452,PLANI_LLOGARIVE!$A:$I,2,FALSE()),"⚠ Nuk është te PLANI_LLOGARIVE"))</f>
        <v/>
      </c>
      <c r="C452" s="101" t="str">
        <f aca="false">IF($A452="","",IFERROR(VLOOKUP($A452,PLANI_LLOGARIVE!$A:$I,9,FALSE()),""))</f>
        <v/>
      </c>
      <c r="D452" s="101" t="str">
        <f aca="false">IF($A452="","",COUNTIF(DITARI!$D:$D,$A452))</f>
        <v/>
      </c>
      <c r="E452" s="101" t="str">
        <f aca="false">IF($A452="","",SUMIFS(DITARI!$F:$F,DITARI!$D:$D,$A452))</f>
        <v/>
      </c>
      <c r="F452" s="101" t="str">
        <f aca="false">IF($A452="","",SUMIFS(DITARI!$G:$G,DITARI!$D:$D,$A452))</f>
        <v/>
      </c>
      <c r="G452" s="101" t="str">
        <f aca="false">IF($A452="","",$E452-$F452)</f>
        <v/>
      </c>
    </row>
    <row r="453" customFormat="false" ht="15" hidden="false" customHeight="true" outlineLevel="0" collapsed="false">
      <c r="A453" s="101" t="str">
        <f aca="false">IFERROR(INDEX(DITARI!$D$6:$D$550,MATCH(0,COUNTIF($A$1:A452,DITARI!$D$6:$D$550)+(DITARI!$D$6:$D$550=""),0)),"")</f>
        <v/>
      </c>
      <c r="B453" s="101" t="str">
        <f aca="false">IF($A453="","",IFERROR(VLOOKUP($A453,PLANI_LLOGARIVE!$A:$I,2,FALSE()),"⚠ Nuk është te PLANI_LLOGARIVE"))</f>
        <v/>
      </c>
      <c r="C453" s="101" t="str">
        <f aca="false">IF($A453="","",IFERROR(VLOOKUP($A453,PLANI_LLOGARIVE!$A:$I,9,FALSE()),""))</f>
        <v/>
      </c>
      <c r="D453" s="101" t="str">
        <f aca="false">IF($A453="","",COUNTIF(DITARI!$D:$D,$A453))</f>
        <v/>
      </c>
      <c r="E453" s="101" t="str">
        <f aca="false">IF($A453="","",SUMIFS(DITARI!$F:$F,DITARI!$D:$D,$A453))</f>
        <v/>
      </c>
      <c r="F453" s="101" t="str">
        <f aca="false">IF($A453="","",SUMIFS(DITARI!$G:$G,DITARI!$D:$D,$A453))</f>
        <v/>
      </c>
      <c r="G453" s="101" t="str">
        <f aca="false">IF($A453="","",$E453-$F453)</f>
        <v/>
      </c>
    </row>
    <row r="454" customFormat="false" ht="15" hidden="false" customHeight="true" outlineLevel="0" collapsed="false">
      <c r="A454" s="101" t="str">
        <f aca="false">IFERROR(INDEX(DITARI!$D$6:$D$550,MATCH(0,COUNTIF($A$1:A453,DITARI!$D$6:$D$550)+(DITARI!$D$6:$D$550=""),0)),"")</f>
        <v/>
      </c>
      <c r="B454" s="101" t="str">
        <f aca="false">IF($A454="","",IFERROR(VLOOKUP($A454,PLANI_LLOGARIVE!$A:$I,2,FALSE()),"⚠ Nuk është te PLANI_LLOGARIVE"))</f>
        <v/>
      </c>
      <c r="C454" s="101" t="str">
        <f aca="false">IF($A454="","",IFERROR(VLOOKUP($A454,PLANI_LLOGARIVE!$A:$I,9,FALSE()),""))</f>
        <v/>
      </c>
      <c r="D454" s="101" t="str">
        <f aca="false">IF($A454="","",COUNTIF(DITARI!$D:$D,$A454))</f>
        <v/>
      </c>
      <c r="E454" s="101" t="str">
        <f aca="false">IF($A454="","",SUMIFS(DITARI!$F:$F,DITARI!$D:$D,$A454))</f>
        <v/>
      </c>
      <c r="F454" s="101" t="str">
        <f aca="false">IF($A454="","",SUMIFS(DITARI!$G:$G,DITARI!$D:$D,$A454))</f>
        <v/>
      </c>
      <c r="G454" s="101" t="str">
        <f aca="false">IF($A454="","",$E454-$F454)</f>
        <v/>
      </c>
    </row>
    <row r="455" customFormat="false" ht="15" hidden="false" customHeight="true" outlineLevel="0" collapsed="false">
      <c r="A455" s="101" t="str">
        <f aca="false">IFERROR(INDEX(DITARI!$D$6:$D$550,MATCH(0,COUNTIF($A$1:A454,DITARI!$D$6:$D$550)+(DITARI!$D$6:$D$550=""),0)),"")</f>
        <v/>
      </c>
      <c r="B455" s="101" t="str">
        <f aca="false">IF($A455="","",IFERROR(VLOOKUP($A455,PLANI_LLOGARIVE!$A:$I,2,FALSE()),"⚠ Nuk është te PLANI_LLOGARIVE"))</f>
        <v/>
      </c>
      <c r="C455" s="101" t="str">
        <f aca="false">IF($A455="","",IFERROR(VLOOKUP($A455,PLANI_LLOGARIVE!$A:$I,9,FALSE()),""))</f>
        <v/>
      </c>
      <c r="D455" s="101" t="str">
        <f aca="false">IF($A455="","",COUNTIF(DITARI!$D:$D,$A455))</f>
        <v/>
      </c>
      <c r="E455" s="101" t="str">
        <f aca="false">IF($A455="","",SUMIFS(DITARI!$F:$F,DITARI!$D:$D,$A455))</f>
        <v/>
      </c>
      <c r="F455" s="101" t="str">
        <f aca="false">IF($A455="","",SUMIFS(DITARI!$G:$G,DITARI!$D:$D,$A455))</f>
        <v/>
      </c>
      <c r="G455" s="101" t="str">
        <f aca="false">IF($A455="","",$E455-$F455)</f>
        <v/>
      </c>
    </row>
    <row r="456" customFormat="false" ht="15" hidden="false" customHeight="true" outlineLevel="0" collapsed="false">
      <c r="A456" s="101" t="str">
        <f aca="false">IFERROR(INDEX(DITARI!$D$6:$D$550,MATCH(0,COUNTIF($A$1:A455,DITARI!$D$6:$D$550)+(DITARI!$D$6:$D$550=""),0)),"")</f>
        <v/>
      </c>
      <c r="B456" s="101" t="str">
        <f aca="false">IF($A456="","",IFERROR(VLOOKUP($A456,PLANI_LLOGARIVE!$A:$I,2,FALSE()),"⚠ Nuk është te PLANI_LLOGARIVE"))</f>
        <v/>
      </c>
      <c r="C456" s="101" t="str">
        <f aca="false">IF($A456="","",IFERROR(VLOOKUP($A456,PLANI_LLOGARIVE!$A:$I,9,FALSE()),""))</f>
        <v/>
      </c>
      <c r="D456" s="101" t="str">
        <f aca="false">IF($A456="","",COUNTIF(DITARI!$D:$D,$A456))</f>
        <v/>
      </c>
      <c r="E456" s="101" t="str">
        <f aca="false">IF($A456="","",SUMIFS(DITARI!$F:$F,DITARI!$D:$D,$A456))</f>
        <v/>
      </c>
      <c r="F456" s="101" t="str">
        <f aca="false">IF($A456="","",SUMIFS(DITARI!$G:$G,DITARI!$D:$D,$A456))</f>
        <v/>
      </c>
      <c r="G456" s="101" t="str">
        <f aca="false">IF($A456="","",$E456-$F456)</f>
        <v/>
      </c>
    </row>
    <row r="457" customFormat="false" ht="15" hidden="false" customHeight="true" outlineLevel="0" collapsed="false">
      <c r="A457" s="101" t="str">
        <f aca="false">IFERROR(INDEX(DITARI!$D$6:$D$550,MATCH(0,COUNTIF($A$1:A456,DITARI!$D$6:$D$550)+(DITARI!$D$6:$D$550=""),0)),"")</f>
        <v/>
      </c>
      <c r="B457" s="101" t="str">
        <f aca="false">IF($A457="","",IFERROR(VLOOKUP($A457,PLANI_LLOGARIVE!$A:$I,2,FALSE()),"⚠ Nuk është te PLANI_LLOGARIVE"))</f>
        <v/>
      </c>
      <c r="C457" s="101" t="str">
        <f aca="false">IF($A457="","",IFERROR(VLOOKUP($A457,PLANI_LLOGARIVE!$A:$I,9,FALSE()),""))</f>
        <v/>
      </c>
      <c r="D457" s="101" t="str">
        <f aca="false">IF($A457="","",COUNTIF(DITARI!$D:$D,$A457))</f>
        <v/>
      </c>
      <c r="E457" s="101" t="str">
        <f aca="false">IF($A457="","",SUMIFS(DITARI!$F:$F,DITARI!$D:$D,$A457))</f>
        <v/>
      </c>
      <c r="F457" s="101" t="str">
        <f aca="false">IF($A457="","",SUMIFS(DITARI!$G:$G,DITARI!$D:$D,$A457))</f>
        <v/>
      </c>
      <c r="G457" s="101" t="str">
        <f aca="false">IF($A457="","",$E457-$F457)</f>
        <v/>
      </c>
    </row>
    <row r="458" customFormat="false" ht="15" hidden="false" customHeight="true" outlineLevel="0" collapsed="false">
      <c r="A458" s="101" t="str">
        <f aca="false">IFERROR(INDEX(DITARI!$D$6:$D$550,MATCH(0,COUNTIF($A$1:A457,DITARI!$D$6:$D$550)+(DITARI!$D$6:$D$550=""),0)),"")</f>
        <v/>
      </c>
      <c r="B458" s="101" t="str">
        <f aca="false">IF($A458="","",IFERROR(VLOOKUP($A458,PLANI_LLOGARIVE!$A:$I,2,FALSE()),"⚠ Nuk është te PLANI_LLOGARIVE"))</f>
        <v/>
      </c>
      <c r="C458" s="101" t="str">
        <f aca="false">IF($A458="","",IFERROR(VLOOKUP($A458,PLANI_LLOGARIVE!$A:$I,9,FALSE()),""))</f>
        <v/>
      </c>
      <c r="D458" s="101" t="str">
        <f aca="false">IF($A458="","",COUNTIF(DITARI!$D:$D,$A458))</f>
        <v/>
      </c>
      <c r="E458" s="101" t="str">
        <f aca="false">IF($A458="","",SUMIFS(DITARI!$F:$F,DITARI!$D:$D,$A458))</f>
        <v/>
      </c>
      <c r="F458" s="101" t="str">
        <f aca="false">IF($A458="","",SUMIFS(DITARI!$G:$G,DITARI!$D:$D,$A458))</f>
        <v/>
      </c>
      <c r="G458" s="101" t="str">
        <f aca="false">IF($A458="","",$E458-$F458)</f>
        <v/>
      </c>
    </row>
    <row r="459" customFormat="false" ht="15" hidden="false" customHeight="true" outlineLevel="0" collapsed="false">
      <c r="A459" s="101" t="str">
        <f aca="false">IFERROR(INDEX(DITARI!$D$6:$D$550,MATCH(0,COUNTIF($A$1:A458,DITARI!$D$6:$D$550)+(DITARI!$D$6:$D$550=""),0)),"")</f>
        <v/>
      </c>
      <c r="B459" s="101" t="str">
        <f aca="false">IF($A459="","",IFERROR(VLOOKUP($A459,PLANI_LLOGARIVE!$A:$I,2,FALSE()),"⚠ Nuk është te PLANI_LLOGARIVE"))</f>
        <v/>
      </c>
      <c r="C459" s="101" t="str">
        <f aca="false">IF($A459="","",IFERROR(VLOOKUP($A459,PLANI_LLOGARIVE!$A:$I,9,FALSE()),""))</f>
        <v/>
      </c>
      <c r="D459" s="101" t="str">
        <f aca="false">IF($A459="","",COUNTIF(DITARI!$D:$D,$A459))</f>
        <v/>
      </c>
      <c r="E459" s="101" t="str">
        <f aca="false">IF($A459="","",SUMIFS(DITARI!$F:$F,DITARI!$D:$D,$A459))</f>
        <v/>
      </c>
      <c r="F459" s="101" t="str">
        <f aca="false">IF($A459="","",SUMIFS(DITARI!$G:$G,DITARI!$D:$D,$A459))</f>
        <v/>
      </c>
      <c r="G459" s="101" t="str">
        <f aca="false">IF($A459="","",$E459-$F459)</f>
        <v/>
      </c>
    </row>
    <row r="460" customFormat="false" ht="15" hidden="false" customHeight="true" outlineLevel="0" collapsed="false">
      <c r="A460" s="101" t="str">
        <f aca="false">IFERROR(INDEX(DITARI!$D$6:$D$550,MATCH(0,COUNTIF($A$1:A459,DITARI!$D$6:$D$550)+(DITARI!$D$6:$D$550=""),0)),"")</f>
        <v/>
      </c>
      <c r="B460" s="101" t="str">
        <f aca="false">IF($A460="","",IFERROR(VLOOKUP($A460,PLANI_LLOGARIVE!$A:$I,2,FALSE()),"⚠ Nuk është te PLANI_LLOGARIVE"))</f>
        <v/>
      </c>
      <c r="C460" s="101" t="str">
        <f aca="false">IF($A460="","",IFERROR(VLOOKUP($A460,PLANI_LLOGARIVE!$A:$I,9,FALSE()),""))</f>
        <v/>
      </c>
      <c r="D460" s="101" t="str">
        <f aca="false">IF($A460="","",COUNTIF(DITARI!$D:$D,$A460))</f>
        <v/>
      </c>
      <c r="E460" s="101" t="str">
        <f aca="false">IF($A460="","",SUMIFS(DITARI!$F:$F,DITARI!$D:$D,$A460))</f>
        <v/>
      </c>
      <c r="F460" s="101" t="str">
        <f aca="false">IF($A460="","",SUMIFS(DITARI!$G:$G,DITARI!$D:$D,$A460))</f>
        <v/>
      </c>
      <c r="G460" s="101" t="str">
        <f aca="false">IF($A460="","",$E460-$F460)</f>
        <v/>
      </c>
    </row>
    <row r="461" customFormat="false" ht="15" hidden="false" customHeight="true" outlineLevel="0" collapsed="false">
      <c r="A461" s="101" t="str">
        <f aca="false">IFERROR(INDEX(DITARI!$D$6:$D$550,MATCH(0,COUNTIF($A$1:A460,DITARI!$D$6:$D$550)+(DITARI!$D$6:$D$550=""),0)),"")</f>
        <v/>
      </c>
      <c r="B461" s="101" t="str">
        <f aca="false">IF($A461="","",IFERROR(VLOOKUP($A461,PLANI_LLOGARIVE!$A:$I,2,FALSE()),"⚠ Nuk është te PLANI_LLOGARIVE"))</f>
        <v/>
      </c>
      <c r="C461" s="101" t="str">
        <f aca="false">IF($A461="","",IFERROR(VLOOKUP($A461,PLANI_LLOGARIVE!$A:$I,9,FALSE()),""))</f>
        <v/>
      </c>
      <c r="D461" s="101" t="str">
        <f aca="false">IF($A461="","",COUNTIF(DITARI!$D:$D,$A461))</f>
        <v/>
      </c>
      <c r="E461" s="101" t="str">
        <f aca="false">IF($A461="","",SUMIFS(DITARI!$F:$F,DITARI!$D:$D,$A461))</f>
        <v/>
      </c>
      <c r="F461" s="101" t="str">
        <f aca="false">IF($A461="","",SUMIFS(DITARI!$G:$G,DITARI!$D:$D,$A461))</f>
        <v/>
      </c>
      <c r="G461" s="101" t="str">
        <f aca="false">IF($A461="","",$E461-$F461)</f>
        <v/>
      </c>
    </row>
    <row r="462" customFormat="false" ht="15" hidden="false" customHeight="true" outlineLevel="0" collapsed="false">
      <c r="A462" s="101" t="str">
        <f aca="false">IFERROR(INDEX(DITARI!$D$6:$D$550,MATCH(0,COUNTIF($A$1:A461,DITARI!$D$6:$D$550)+(DITARI!$D$6:$D$550=""),0)),"")</f>
        <v/>
      </c>
      <c r="B462" s="101" t="str">
        <f aca="false">IF($A462="","",IFERROR(VLOOKUP($A462,PLANI_LLOGARIVE!$A:$I,2,FALSE()),"⚠ Nuk është te PLANI_LLOGARIVE"))</f>
        <v/>
      </c>
      <c r="C462" s="101" t="str">
        <f aca="false">IF($A462="","",IFERROR(VLOOKUP($A462,PLANI_LLOGARIVE!$A:$I,9,FALSE()),""))</f>
        <v/>
      </c>
      <c r="D462" s="101" t="str">
        <f aca="false">IF($A462="","",COUNTIF(DITARI!$D:$D,$A462))</f>
        <v/>
      </c>
      <c r="E462" s="101" t="str">
        <f aca="false">IF($A462="","",SUMIFS(DITARI!$F:$F,DITARI!$D:$D,$A462))</f>
        <v/>
      </c>
      <c r="F462" s="101" t="str">
        <f aca="false">IF($A462="","",SUMIFS(DITARI!$G:$G,DITARI!$D:$D,$A462))</f>
        <v/>
      </c>
      <c r="G462" s="101" t="str">
        <f aca="false">IF($A462="","",$E462-$F462)</f>
        <v/>
      </c>
    </row>
    <row r="463" customFormat="false" ht="15" hidden="false" customHeight="true" outlineLevel="0" collapsed="false">
      <c r="A463" s="101" t="str">
        <f aca="false">IFERROR(INDEX(DITARI!$D$6:$D$550,MATCH(0,COUNTIF($A$1:A462,DITARI!$D$6:$D$550)+(DITARI!$D$6:$D$550=""),0)),"")</f>
        <v/>
      </c>
      <c r="B463" s="101" t="str">
        <f aca="false">IF($A463="","",IFERROR(VLOOKUP($A463,PLANI_LLOGARIVE!$A:$I,2,FALSE()),"⚠ Nuk është te PLANI_LLOGARIVE"))</f>
        <v/>
      </c>
      <c r="C463" s="101" t="str">
        <f aca="false">IF($A463="","",IFERROR(VLOOKUP($A463,PLANI_LLOGARIVE!$A:$I,9,FALSE()),""))</f>
        <v/>
      </c>
      <c r="D463" s="101" t="str">
        <f aca="false">IF($A463="","",COUNTIF(DITARI!$D:$D,$A463))</f>
        <v/>
      </c>
      <c r="E463" s="101" t="str">
        <f aca="false">IF($A463="","",SUMIFS(DITARI!$F:$F,DITARI!$D:$D,$A463))</f>
        <v/>
      </c>
      <c r="F463" s="101" t="str">
        <f aca="false">IF($A463="","",SUMIFS(DITARI!$G:$G,DITARI!$D:$D,$A463))</f>
        <v/>
      </c>
      <c r="G463" s="101" t="str">
        <f aca="false">IF($A463="","",$E463-$F463)</f>
        <v/>
      </c>
    </row>
    <row r="464" customFormat="false" ht="15" hidden="false" customHeight="true" outlineLevel="0" collapsed="false">
      <c r="A464" s="101" t="str">
        <f aca="false">IFERROR(INDEX(DITARI!$D$6:$D$550,MATCH(0,COUNTIF($A$1:A463,DITARI!$D$6:$D$550)+(DITARI!$D$6:$D$550=""),0)),"")</f>
        <v/>
      </c>
      <c r="B464" s="101" t="str">
        <f aca="false">IF($A464="","",IFERROR(VLOOKUP($A464,PLANI_LLOGARIVE!$A:$I,2,FALSE()),"⚠ Nuk është te PLANI_LLOGARIVE"))</f>
        <v/>
      </c>
      <c r="C464" s="101" t="str">
        <f aca="false">IF($A464="","",IFERROR(VLOOKUP($A464,PLANI_LLOGARIVE!$A:$I,9,FALSE()),""))</f>
        <v/>
      </c>
      <c r="D464" s="101" t="str">
        <f aca="false">IF($A464="","",COUNTIF(DITARI!$D:$D,$A464))</f>
        <v/>
      </c>
      <c r="E464" s="101" t="str">
        <f aca="false">IF($A464="","",SUMIFS(DITARI!$F:$F,DITARI!$D:$D,$A464))</f>
        <v/>
      </c>
      <c r="F464" s="101" t="str">
        <f aca="false">IF($A464="","",SUMIFS(DITARI!$G:$G,DITARI!$D:$D,$A464))</f>
        <v/>
      </c>
      <c r="G464" s="101" t="str">
        <f aca="false">IF($A464="","",$E464-$F464)</f>
        <v/>
      </c>
    </row>
    <row r="465" customFormat="false" ht="15" hidden="false" customHeight="true" outlineLevel="0" collapsed="false">
      <c r="A465" s="101" t="str">
        <f aca="false">IFERROR(INDEX(DITARI!$D$6:$D$550,MATCH(0,COUNTIF($A$1:A464,DITARI!$D$6:$D$550)+(DITARI!$D$6:$D$550=""),0)),"")</f>
        <v/>
      </c>
      <c r="B465" s="101" t="str">
        <f aca="false">IF($A465="","",IFERROR(VLOOKUP($A465,PLANI_LLOGARIVE!$A:$I,2,FALSE()),"⚠ Nuk është te PLANI_LLOGARIVE"))</f>
        <v/>
      </c>
      <c r="C465" s="101" t="str">
        <f aca="false">IF($A465="","",IFERROR(VLOOKUP($A465,PLANI_LLOGARIVE!$A:$I,9,FALSE()),""))</f>
        <v/>
      </c>
      <c r="D465" s="101" t="str">
        <f aca="false">IF($A465="","",COUNTIF(DITARI!$D:$D,$A465))</f>
        <v/>
      </c>
      <c r="E465" s="101" t="str">
        <f aca="false">IF($A465="","",SUMIFS(DITARI!$F:$F,DITARI!$D:$D,$A465))</f>
        <v/>
      </c>
      <c r="F465" s="101" t="str">
        <f aca="false">IF($A465="","",SUMIFS(DITARI!$G:$G,DITARI!$D:$D,$A465))</f>
        <v/>
      </c>
      <c r="G465" s="101" t="str">
        <f aca="false">IF($A465="","",$E465-$F465)</f>
        <v/>
      </c>
    </row>
    <row r="466" customFormat="false" ht="15" hidden="false" customHeight="true" outlineLevel="0" collapsed="false">
      <c r="A466" s="101" t="str">
        <f aca="false">IFERROR(INDEX(DITARI!$D$6:$D$550,MATCH(0,COUNTIF($A$1:A465,DITARI!$D$6:$D$550)+(DITARI!$D$6:$D$550=""),0)),"")</f>
        <v/>
      </c>
      <c r="B466" s="101" t="str">
        <f aca="false">IF($A466="","",IFERROR(VLOOKUP($A466,PLANI_LLOGARIVE!$A:$I,2,FALSE()),"⚠ Nuk është te PLANI_LLOGARIVE"))</f>
        <v/>
      </c>
      <c r="C466" s="101" t="str">
        <f aca="false">IF($A466="","",IFERROR(VLOOKUP($A466,PLANI_LLOGARIVE!$A:$I,9,FALSE()),""))</f>
        <v/>
      </c>
      <c r="D466" s="101" t="str">
        <f aca="false">IF($A466="","",COUNTIF(DITARI!$D:$D,$A466))</f>
        <v/>
      </c>
      <c r="E466" s="101" t="str">
        <f aca="false">IF($A466="","",SUMIFS(DITARI!$F:$F,DITARI!$D:$D,$A466))</f>
        <v/>
      </c>
      <c r="F466" s="101" t="str">
        <f aca="false">IF($A466="","",SUMIFS(DITARI!$G:$G,DITARI!$D:$D,$A466))</f>
        <v/>
      </c>
      <c r="G466" s="101" t="str">
        <f aca="false">IF($A466="","",$E466-$F466)</f>
        <v/>
      </c>
    </row>
    <row r="467" customFormat="false" ht="15" hidden="false" customHeight="true" outlineLevel="0" collapsed="false">
      <c r="A467" s="101" t="str">
        <f aca="false">IFERROR(INDEX(DITARI!$D$6:$D$550,MATCH(0,COUNTIF($A$1:A466,DITARI!$D$6:$D$550)+(DITARI!$D$6:$D$550=""),0)),"")</f>
        <v/>
      </c>
      <c r="B467" s="101" t="str">
        <f aca="false">IF($A467="","",IFERROR(VLOOKUP($A467,PLANI_LLOGARIVE!$A:$I,2,FALSE()),"⚠ Nuk është te PLANI_LLOGARIVE"))</f>
        <v/>
      </c>
      <c r="C467" s="101" t="str">
        <f aca="false">IF($A467="","",IFERROR(VLOOKUP($A467,PLANI_LLOGARIVE!$A:$I,9,FALSE()),""))</f>
        <v/>
      </c>
      <c r="D467" s="101" t="str">
        <f aca="false">IF($A467="","",COUNTIF(DITARI!$D:$D,$A467))</f>
        <v/>
      </c>
      <c r="E467" s="101" t="str">
        <f aca="false">IF($A467="","",SUMIFS(DITARI!$F:$F,DITARI!$D:$D,$A467))</f>
        <v/>
      </c>
      <c r="F467" s="101" t="str">
        <f aca="false">IF($A467="","",SUMIFS(DITARI!$G:$G,DITARI!$D:$D,$A467))</f>
        <v/>
      </c>
      <c r="G467" s="101" t="str">
        <f aca="false">IF($A467="","",$E467-$F467)</f>
        <v/>
      </c>
    </row>
    <row r="468" customFormat="false" ht="15" hidden="false" customHeight="true" outlineLevel="0" collapsed="false">
      <c r="A468" s="101" t="str">
        <f aca="false">IFERROR(INDEX(DITARI!$D$6:$D$550,MATCH(0,COUNTIF($A$1:A467,DITARI!$D$6:$D$550)+(DITARI!$D$6:$D$550=""),0)),"")</f>
        <v/>
      </c>
      <c r="B468" s="101" t="str">
        <f aca="false">IF($A468="","",IFERROR(VLOOKUP($A468,PLANI_LLOGARIVE!$A:$I,2,FALSE()),"⚠ Nuk është te PLANI_LLOGARIVE"))</f>
        <v/>
      </c>
      <c r="C468" s="101" t="str">
        <f aca="false">IF($A468="","",IFERROR(VLOOKUP($A468,PLANI_LLOGARIVE!$A:$I,9,FALSE()),""))</f>
        <v/>
      </c>
      <c r="D468" s="101" t="str">
        <f aca="false">IF($A468="","",COUNTIF(DITARI!$D:$D,$A468))</f>
        <v/>
      </c>
      <c r="E468" s="101" t="str">
        <f aca="false">IF($A468="","",SUMIFS(DITARI!$F:$F,DITARI!$D:$D,$A468))</f>
        <v/>
      </c>
      <c r="F468" s="101" t="str">
        <f aca="false">IF($A468="","",SUMIFS(DITARI!$G:$G,DITARI!$D:$D,$A468))</f>
        <v/>
      </c>
      <c r="G468" s="101" t="str">
        <f aca="false">IF($A468="","",$E468-$F468)</f>
        <v/>
      </c>
    </row>
    <row r="469" customFormat="false" ht="15" hidden="false" customHeight="true" outlineLevel="0" collapsed="false">
      <c r="A469" s="101" t="str">
        <f aca="false">IFERROR(INDEX(DITARI!$D$6:$D$550,MATCH(0,COUNTIF($A$1:A468,DITARI!$D$6:$D$550)+(DITARI!$D$6:$D$550=""),0)),"")</f>
        <v/>
      </c>
      <c r="B469" s="101" t="str">
        <f aca="false">IF($A469="","",IFERROR(VLOOKUP($A469,PLANI_LLOGARIVE!$A:$I,2,FALSE()),"⚠ Nuk është te PLANI_LLOGARIVE"))</f>
        <v/>
      </c>
      <c r="C469" s="101" t="str">
        <f aca="false">IF($A469="","",IFERROR(VLOOKUP($A469,PLANI_LLOGARIVE!$A:$I,9,FALSE()),""))</f>
        <v/>
      </c>
      <c r="D469" s="101" t="str">
        <f aca="false">IF($A469="","",COUNTIF(DITARI!$D:$D,$A469))</f>
        <v/>
      </c>
      <c r="E469" s="101" t="str">
        <f aca="false">IF($A469="","",SUMIFS(DITARI!$F:$F,DITARI!$D:$D,$A469))</f>
        <v/>
      </c>
      <c r="F469" s="101" t="str">
        <f aca="false">IF($A469="","",SUMIFS(DITARI!$G:$G,DITARI!$D:$D,$A469))</f>
        <v/>
      </c>
      <c r="G469" s="101" t="str">
        <f aca="false">IF($A469="","",$E469-$F469)</f>
        <v/>
      </c>
    </row>
    <row r="470" customFormat="false" ht="15" hidden="false" customHeight="true" outlineLevel="0" collapsed="false">
      <c r="A470" s="101" t="str">
        <f aca="false">IFERROR(INDEX(DITARI!$D$6:$D$550,MATCH(0,COUNTIF($A$1:A469,DITARI!$D$6:$D$550)+(DITARI!$D$6:$D$550=""),0)),"")</f>
        <v/>
      </c>
      <c r="B470" s="101" t="str">
        <f aca="false">IF($A470="","",IFERROR(VLOOKUP($A470,PLANI_LLOGARIVE!$A:$I,2,FALSE()),"⚠ Nuk është te PLANI_LLOGARIVE"))</f>
        <v/>
      </c>
      <c r="C470" s="101" t="str">
        <f aca="false">IF($A470="","",IFERROR(VLOOKUP($A470,PLANI_LLOGARIVE!$A:$I,9,FALSE()),""))</f>
        <v/>
      </c>
      <c r="D470" s="101" t="str">
        <f aca="false">IF($A470="","",COUNTIF(DITARI!$D:$D,$A470))</f>
        <v/>
      </c>
      <c r="E470" s="101" t="str">
        <f aca="false">IF($A470="","",SUMIFS(DITARI!$F:$F,DITARI!$D:$D,$A470))</f>
        <v/>
      </c>
      <c r="F470" s="101" t="str">
        <f aca="false">IF($A470="","",SUMIFS(DITARI!$G:$G,DITARI!$D:$D,$A470))</f>
        <v/>
      </c>
      <c r="G470" s="101" t="str">
        <f aca="false">IF($A470="","",$E470-$F470)</f>
        <v/>
      </c>
    </row>
    <row r="471" customFormat="false" ht="15" hidden="false" customHeight="true" outlineLevel="0" collapsed="false">
      <c r="A471" s="101" t="str">
        <f aca="false">IFERROR(INDEX(DITARI!$D$6:$D$550,MATCH(0,COUNTIF($A$1:A470,DITARI!$D$6:$D$550)+(DITARI!$D$6:$D$550=""),0)),"")</f>
        <v/>
      </c>
      <c r="B471" s="101" t="str">
        <f aca="false">IF($A471="","",IFERROR(VLOOKUP($A471,PLANI_LLOGARIVE!$A:$I,2,FALSE()),"⚠ Nuk është te PLANI_LLOGARIVE"))</f>
        <v/>
      </c>
      <c r="C471" s="101" t="str">
        <f aca="false">IF($A471="","",IFERROR(VLOOKUP($A471,PLANI_LLOGARIVE!$A:$I,9,FALSE()),""))</f>
        <v/>
      </c>
      <c r="D471" s="101" t="str">
        <f aca="false">IF($A471="","",COUNTIF(DITARI!$D:$D,$A471))</f>
        <v/>
      </c>
      <c r="E471" s="101" t="str">
        <f aca="false">IF($A471="","",SUMIFS(DITARI!$F:$F,DITARI!$D:$D,$A471))</f>
        <v/>
      </c>
      <c r="F471" s="101" t="str">
        <f aca="false">IF($A471="","",SUMIFS(DITARI!$G:$G,DITARI!$D:$D,$A471))</f>
        <v/>
      </c>
      <c r="G471" s="101" t="str">
        <f aca="false">IF($A471="","",$E471-$F471)</f>
        <v/>
      </c>
    </row>
    <row r="472" customFormat="false" ht="15" hidden="false" customHeight="true" outlineLevel="0" collapsed="false">
      <c r="A472" s="101" t="str">
        <f aca="false">IFERROR(INDEX(DITARI!$D$6:$D$550,MATCH(0,COUNTIF($A$1:A471,DITARI!$D$6:$D$550)+(DITARI!$D$6:$D$550=""),0)),"")</f>
        <v/>
      </c>
      <c r="B472" s="101" t="str">
        <f aca="false">IF($A472="","",IFERROR(VLOOKUP($A472,PLANI_LLOGARIVE!$A:$I,2,FALSE()),"⚠ Nuk është te PLANI_LLOGARIVE"))</f>
        <v/>
      </c>
      <c r="C472" s="101" t="str">
        <f aca="false">IF($A472="","",IFERROR(VLOOKUP($A472,PLANI_LLOGARIVE!$A:$I,9,FALSE()),""))</f>
        <v/>
      </c>
      <c r="D472" s="101" t="str">
        <f aca="false">IF($A472="","",COUNTIF(DITARI!$D:$D,$A472))</f>
        <v/>
      </c>
      <c r="E472" s="101" t="str">
        <f aca="false">IF($A472="","",SUMIFS(DITARI!$F:$F,DITARI!$D:$D,$A472))</f>
        <v/>
      </c>
      <c r="F472" s="101" t="str">
        <f aca="false">IF($A472="","",SUMIFS(DITARI!$G:$G,DITARI!$D:$D,$A472))</f>
        <v/>
      </c>
      <c r="G472" s="101" t="str">
        <f aca="false">IF($A472="","",$E472-$F472)</f>
        <v/>
      </c>
    </row>
    <row r="473" customFormat="false" ht="15" hidden="false" customHeight="true" outlineLevel="0" collapsed="false">
      <c r="A473" s="101" t="str">
        <f aca="false">IFERROR(INDEX(DITARI!$D$6:$D$550,MATCH(0,COUNTIF($A$1:A472,DITARI!$D$6:$D$550)+(DITARI!$D$6:$D$550=""),0)),"")</f>
        <v/>
      </c>
      <c r="B473" s="101" t="str">
        <f aca="false">IF($A473="","",IFERROR(VLOOKUP($A473,PLANI_LLOGARIVE!$A:$I,2,FALSE()),"⚠ Nuk është te PLANI_LLOGARIVE"))</f>
        <v/>
      </c>
      <c r="C473" s="101" t="str">
        <f aca="false">IF($A473="","",IFERROR(VLOOKUP($A473,PLANI_LLOGARIVE!$A:$I,9,FALSE()),""))</f>
        <v/>
      </c>
      <c r="D473" s="101" t="str">
        <f aca="false">IF($A473="","",COUNTIF(DITARI!$D:$D,$A473))</f>
        <v/>
      </c>
      <c r="E473" s="101" t="str">
        <f aca="false">IF($A473="","",SUMIFS(DITARI!$F:$F,DITARI!$D:$D,$A473))</f>
        <v/>
      </c>
      <c r="F473" s="101" t="str">
        <f aca="false">IF($A473="","",SUMIFS(DITARI!$G:$G,DITARI!$D:$D,$A473))</f>
        <v/>
      </c>
      <c r="G473" s="101" t="str">
        <f aca="false">IF($A473="","",$E473-$F473)</f>
        <v/>
      </c>
    </row>
    <row r="474" customFormat="false" ht="15" hidden="false" customHeight="true" outlineLevel="0" collapsed="false">
      <c r="A474" s="101" t="str">
        <f aca="false">IFERROR(INDEX(DITARI!$D$6:$D$550,MATCH(0,COUNTIF($A$1:A473,DITARI!$D$6:$D$550)+(DITARI!$D$6:$D$550=""),0)),"")</f>
        <v/>
      </c>
      <c r="B474" s="101" t="str">
        <f aca="false">IF($A474="","",IFERROR(VLOOKUP($A474,PLANI_LLOGARIVE!$A:$I,2,FALSE()),"⚠ Nuk është te PLANI_LLOGARIVE"))</f>
        <v/>
      </c>
      <c r="C474" s="101" t="str">
        <f aca="false">IF($A474="","",IFERROR(VLOOKUP($A474,PLANI_LLOGARIVE!$A:$I,9,FALSE()),""))</f>
        <v/>
      </c>
      <c r="D474" s="101" t="str">
        <f aca="false">IF($A474="","",COUNTIF(DITARI!$D:$D,$A474))</f>
        <v/>
      </c>
      <c r="E474" s="101" t="str">
        <f aca="false">IF($A474="","",SUMIFS(DITARI!$F:$F,DITARI!$D:$D,$A474))</f>
        <v/>
      </c>
      <c r="F474" s="101" t="str">
        <f aca="false">IF($A474="","",SUMIFS(DITARI!$G:$G,DITARI!$D:$D,$A474))</f>
        <v/>
      </c>
      <c r="G474" s="101" t="str">
        <f aca="false">IF($A474="","",$E474-$F474)</f>
        <v/>
      </c>
    </row>
    <row r="475" customFormat="false" ht="15" hidden="false" customHeight="true" outlineLevel="0" collapsed="false">
      <c r="A475" s="101" t="str">
        <f aca="false">IFERROR(INDEX(DITARI!$D$6:$D$550,MATCH(0,COUNTIF($A$1:A474,DITARI!$D$6:$D$550)+(DITARI!$D$6:$D$550=""),0)),"")</f>
        <v/>
      </c>
      <c r="B475" s="101" t="str">
        <f aca="false">IF($A475="","",IFERROR(VLOOKUP($A475,PLANI_LLOGARIVE!$A:$I,2,FALSE()),"⚠ Nuk është te PLANI_LLOGARIVE"))</f>
        <v/>
      </c>
      <c r="C475" s="101" t="str">
        <f aca="false">IF($A475="","",IFERROR(VLOOKUP($A475,PLANI_LLOGARIVE!$A:$I,9,FALSE()),""))</f>
        <v/>
      </c>
      <c r="D475" s="101" t="str">
        <f aca="false">IF($A475="","",COUNTIF(DITARI!$D:$D,$A475))</f>
        <v/>
      </c>
      <c r="E475" s="101" t="str">
        <f aca="false">IF($A475="","",SUMIFS(DITARI!$F:$F,DITARI!$D:$D,$A475))</f>
        <v/>
      </c>
      <c r="F475" s="101" t="str">
        <f aca="false">IF($A475="","",SUMIFS(DITARI!$G:$G,DITARI!$D:$D,$A475))</f>
        <v/>
      </c>
      <c r="G475" s="101" t="str">
        <f aca="false">IF($A475="","",$E475-$F475)</f>
        <v/>
      </c>
    </row>
    <row r="476" customFormat="false" ht="15" hidden="false" customHeight="true" outlineLevel="0" collapsed="false">
      <c r="A476" s="101" t="str">
        <f aca="false">IFERROR(INDEX(DITARI!$D$6:$D$550,MATCH(0,COUNTIF($A$1:A475,DITARI!$D$6:$D$550)+(DITARI!$D$6:$D$550=""),0)),"")</f>
        <v/>
      </c>
      <c r="B476" s="101" t="str">
        <f aca="false">IF($A476="","",IFERROR(VLOOKUP($A476,PLANI_LLOGARIVE!$A:$I,2,FALSE()),"⚠ Nuk është te PLANI_LLOGARIVE"))</f>
        <v/>
      </c>
      <c r="C476" s="101" t="str">
        <f aca="false">IF($A476="","",IFERROR(VLOOKUP($A476,PLANI_LLOGARIVE!$A:$I,9,FALSE()),""))</f>
        <v/>
      </c>
      <c r="D476" s="101" t="str">
        <f aca="false">IF($A476="","",COUNTIF(DITARI!$D:$D,$A476))</f>
        <v/>
      </c>
      <c r="E476" s="101" t="str">
        <f aca="false">IF($A476="","",SUMIFS(DITARI!$F:$F,DITARI!$D:$D,$A476))</f>
        <v/>
      </c>
      <c r="F476" s="101" t="str">
        <f aca="false">IF($A476="","",SUMIFS(DITARI!$G:$G,DITARI!$D:$D,$A476))</f>
        <v/>
      </c>
      <c r="G476" s="101" t="str">
        <f aca="false">IF($A476="","",$E476-$F476)</f>
        <v/>
      </c>
    </row>
    <row r="477" customFormat="false" ht="15" hidden="false" customHeight="true" outlineLevel="0" collapsed="false">
      <c r="A477" s="101" t="str">
        <f aca="false">IFERROR(INDEX(DITARI!$D$6:$D$550,MATCH(0,COUNTIF($A$1:A476,DITARI!$D$6:$D$550)+(DITARI!$D$6:$D$550=""),0)),"")</f>
        <v/>
      </c>
      <c r="B477" s="101" t="str">
        <f aca="false">IF($A477="","",IFERROR(VLOOKUP($A477,PLANI_LLOGARIVE!$A:$I,2,FALSE()),"⚠ Nuk është te PLANI_LLOGARIVE"))</f>
        <v/>
      </c>
      <c r="C477" s="101" t="str">
        <f aca="false">IF($A477="","",IFERROR(VLOOKUP($A477,PLANI_LLOGARIVE!$A:$I,9,FALSE()),""))</f>
        <v/>
      </c>
      <c r="D477" s="101" t="str">
        <f aca="false">IF($A477="","",COUNTIF(DITARI!$D:$D,$A477))</f>
        <v/>
      </c>
      <c r="E477" s="101" t="str">
        <f aca="false">IF($A477="","",SUMIFS(DITARI!$F:$F,DITARI!$D:$D,$A477))</f>
        <v/>
      </c>
      <c r="F477" s="101" t="str">
        <f aca="false">IF($A477="","",SUMIFS(DITARI!$G:$G,DITARI!$D:$D,$A477))</f>
        <v/>
      </c>
      <c r="G477" s="101" t="str">
        <f aca="false">IF($A477="","",$E477-$F477)</f>
        <v/>
      </c>
    </row>
    <row r="478" customFormat="false" ht="15" hidden="false" customHeight="true" outlineLevel="0" collapsed="false">
      <c r="A478" s="101" t="str">
        <f aca="false">IFERROR(INDEX(DITARI!$D$6:$D$550,MATCH(0,COUNTIF($A$1:A477,DITARI!$D$6:$D$550)+(DITARI!$D$6:$D$550=""),0)),"")</f>
        <v/>
      </c>
      <c r="B478" s="101" t="str">
        <f aca="false">IF($A478="","",IFERROR(VLOOKUP($A478,PLANI_LLOGARIVE!$A:$I,2,FALSE()),"⚠ Nuk është te PLANI_LLOGARIVE"))</f>
        <v/>
      </c>
      <c r="C478" s="101" t="str">
        <f aca="false">IF($A478="","",IFERROR(VLOOKUP($A478,PLANI_LLOGARIVE!$A:$I,9,FALSE()),""))</f>
        <v/>
      </c>
      <c r="D478" s="101" t="str">
        <f aca="false">IF($A478="","",COUNTIF(DITARI!$D:$D,$A478))</f>
        <v/>
      </c>
      <c r="E478" s="101" t="str">
        <f aca="false">IF($A478="","",SUMIFS(DITARI!$F:$F,DITARI!$D:$D,$A478))</f>
        <v/>
      </c>
      <c r="F478" s="101" t="str">
        <f aca="false">IF($A478="","",SUMIFS(DITARI!$G:$G,DITARI!$D:$D,$A478))</f>
        <v/>
      </c>
      <c r="G478" s="101" t="str">
        <f aca="false">IF($A478="","",$E478-$F478)</f>
        <v/>
      </c>
    </row>
    <row r="479" customFormat="false" ht="15" hidden="false" customHeight="true" outlineLevel="0" collapsed="false">
      <c r="A479" s="101" t="str">
        <f aca="false">IFERROR(INDEX(DITARI!$D$6:$D$550,MATCH(0,COUNTIF($A$1:A478,DITARI!$D$6:$D$550)+(DITARI!$D$6:$D$550=""),0)),"")</f>
        <v/>
      </c>
      <c r="B479" s="101" t="str">
        <f aca="false">IF($A479="","",IFERROR(VLOOKUP($A479,PLANI_LLOGARIVE!$A:$I,2,FALSE()),"⚠ Nuk është te PLANI_LLOGARIVE"))</f>
        <v/>
      </c>
      <c r="C479" s="101" t="str">
        <f aca="false">IF($A479="","",IFERROR(VLOOKUP($A479,PLANI_LLOGARIVE!$A:$I,9,FALSE()),""))</f>
        <v/>
      </c>
      <c r="D479" s="101" t="str">
        <f aca="false">IF($A479="","",COUNTIF(DITARI!$D:$D,$A479))</f>
        <v/>
      </c>
      <c r="E479" s="101" t="str">
        <f aca="false">IF($A479="","",SUMIFS(DITARI!$F:$F,DITARI!$D:$D,$A479))</f>
        <v/>
      </c>
      <c r="F479" s="101" t="str">
        <f aca="false">IF($A479="","",SUMIFS(DITARI!$G:$G,DITARI!$D:$D,$A479))</f>
        <v/>
      </c>
      <c r="G479" s="101" t="str">
        <f aca="false">IF($A479="","",$E479-$F479)</f>
        <v/>
      </c>
    </row>
    <row r="480" customFormat="false" ht="15" hidden="false" customHeight="true" outlineLevel="0" collapsed="false">
      <c r="A480" s="101" t="str">
        <f aca="false">IFERROR(INDEX(DITARI!$D$6:$D$550,MATCH(0,COUNTIF($A$1:A479,DITARI!$D$6:$D$550)+(DITARI!$D$6:$D$550=""),0)),"")</f>
        <v/>
      </c>
      <c r="B480" s="101" t="str">
        <f aca="false">IF($A480="","",IFERROR(VLOOKUP($A480,PLANI_LLOGARIVE!$A:$I,2,FALSE()),"⚠ Nuk është te PLANI_LLOGARIVE"))</f>
        <v/>
      </c>
      <c r="C480" s="101" t="str">
        <f aca="false">IF($A480="","",IFERROR(VLOOKUP($A480,PLANI_LLOGARIVE!$A:$I,9,FALSE()),""))</f>
        <v/>
      </c>
      <c r="D480" s="101" t="str">
        <f aca="false">IF($A480="","",COUNTIF(DITARI!$D:$D,$A480))</f>
        <v/>
      </c>
      <c r="E480" s="101" t="str">
        <f aca="false">IF($A480="","",SUMIFS(DITARI!$F:$F,DITARI!$D:$D,$A480))</f>
        <v/>
      </c>
      <c r="F480" s="101" t="str">
        <f aca="false">IF($A480="","",SUMIFS(DITARI!$G:$G,DITARI!$D:$D,$A480))</f>
        <v/>
      </c>
      <c r="G480" s="101" t="str">
        <f aca="false">IF($A480="","",$E480-$F480)</f>
        <v/>
      </c>
    </row>
    <row r="481" customFormat="false" ht="15" hidden="false" customHeight="true" outlineLevel="0" collapsed="false">
      <c r="A481" s="101" t="str">
        <f aca="false">IFERROR(INDEX(DITARI!$D$6:$D$550,MATCH(0,COUNTIF($A$1:A480,DITARI!$D$6:$D$550)+(DITARI!$D$6:$D$550=""),0)),"")</f>
        <v/>
      </c>
      <c r="B481" s="101" t="str">
        <f aca="false">IF($A481="","",IFERROR(VLOOKUP($A481,PLANI_LLOGARIVE!$A:$I,2,FALSE()),"⚠ Nuk është te PLANI_LLOGARIVE"))</f>
        <v/>
      </c>
      <c r="C481" s="101" t="str">
        <f aca="false">IF($A481="","",IFERROR(VLOOKUP($A481,PLANI_LLOGARIVE!$A:$I,9,FALSE()),""))</f>
        <v/>
      </c>
      <c r="D481" s="101" t="str">
        <f aca="false">IF($A481="","",COUNTIF(DITARI!$D:$D,$A481))</f>
        <v/>
      </c>
      <c r="E481" s="101" t="str">
        <f aca="false">IF($A481="","",SUMIFS(DITARI!$F:$F,DITARI!$D:$D,$A481))</f>
        <v/>
      </c>
      <c r="F481" s="101" t="str">
        <f aca="false">IF($A481="","",SUMIFS(DITARI!$G:$G,DITARI!$D:$D,$A481))</f>
        <v/>
      </c>
      <c r="G481" s="101" t="str">
        <f aca="false">IF($A481="","",$E481-$F481)</f>
        <v/>
      </c>
    </row>
    <row r="482" customFormat="false" ht="15" hidden="false" customHeight="true" outlineLevel="0" collapsed="false">
      <c r="A482" s="101" t="str">
        <f aca="false">IFERROR(INDEX(DITARI!$D$6:$D$550,MATCH(0,COUNTIF($A$1:A481,DITARI!$D$6:$D$550)+(DITARI!$D$6:$D$550=""),0)),"")</f>
        <v/>
      </c>
      <c r="B482" s="101" t="str">
        <f aca="false">IF($A482="","",IFERROR(VLOOKUP($A482,PLANI_LLOGARIVE!$A:$I,2,FALSE()),"⚠ Nuk është te PLANI_LLOGARIVE"))</f>
        <v/>
      </c>
      <c r="C482" s="101" t="str">
        <f aca="false">IF($A482="","",IFERROR(VLOOKUP($A482,PLANI_LLOGARIVE!$A:$I,9,FALSE()),""))</f>
        <v/>
      </c>
      <c r="D482" s="101" t="str">
        <f aca="false">IF($A482="","",COUNTIF(DITARI!$D:$D,$A482))</f>
        <v/>
      </c>
      <c r="E482" s="101" t="str">
        <f aca="false">IF($A482="","",SUMIFS(DITARI!$F:$F,DITARI!$D:$D,$A482))</f>
        <v/>
      </c>
      <c r="F482" s="101" t="str">
        <f aca="false">IF($A482="","",SUMIFS(DITARI!$G:$G,DITARI!$D:$D,$A482))</f>
        <v/>
      </c>
      <c r="G482" s="101" t="str">
        <f aca="false">IF($A482="","",$E482-$F482)</f>
        <v/>
      </c>
    </row>
    <row r="483" customFormat="false" ht="15" hidden="false" customHeight="true" outlineLevel="0" collapsed="false">
      <c r="A483" s="101" t="str">
        <f aca="false">IFERROR(INDEX(DITARI!$D$6:$D$550,MATCH(0,COUNTIF($A$1:A482,DITARI!$D$6:$D$550)+(DITARI!$D$6:$D$550=""),0)),"")</f>
        <v/>
      </c>
      <c r="B483" s="101" t="str">
        <f aca="false">IF($A483="","",IFERROR(VLOOKUP($A483,PLANI_LLOGARIVE!$A:$I,2,FALSE()),"⚠ Nuk është te PLANI_LLOGARIVE"))</f>
        <v/>
      </c>
      <c r="C483" s="101" t="str">
        <f aca="false">IF($A483="","",IFERROR(VLOOKUP($A483,PLANI_LLOGARIVE!$A:$I,9,FALSE()),""))</f>
        <v/>
      </c>
      <c r="D483" s="101" t="str">
        <f aca="false">IF($A483="","",COUNTIF(DITARI!$D:$D,$A483))</f>
        <v/>
      </c>
      <c r="E483" s="101" t="str">
        <f aca="false">IF($A483="","",SUMIFS(DITARI!$F:$F,DITARI!$D:$D,$A483))</f>
        <v/>
      </c>
      <c r="F483" s="101" t="str">
        <f aca="false">IF($A483="","",SUMIFS(DITARI!$G:$G,DITARI!$D:$D,$A483))</f>
        <v/>
      </c>
      <c r="G483" s="101" t="str">
        <f aca="false">IF($A483="","",$E483-$F483)</f>
        <v/>
      </c>
    </row>
    <row r="484" customFormat="false" ht="15" hidden="false" customHeight="true" outlineLevel="0" collapsed="false">
      <c r="A484" s="101" t="str">
        <f aca="false">IFERROR(INDEX(DITARI!$D$6:$D$550,MATCH(0,COUNTIF($A$1:A483,DITARI!$D$6:$D$550)+(DITARI!$D$6:$D$550=""),0)),"")</f>
        <v/>
      </c>
      <c r="B484" s="101" t="str">
        <f aca="false">IF($A484="","",IFERROR(VLOOKUP($A484,PLANI_LLOGARIVE!$A:$I,2,FALSE()),"⚠ Nuk është te PLANI_LLOGARIVE"))</f>
        <v/>
      </c>
      <c r="C484" s="101" t="str">
        <f aca="false">IF($A484="","",IFERROR(VLOOKUP($A484,PLANI_LLOGARIVE!$A:$I,9,FALSE()),""))</f>
        <v/>
      </c>
      <c r="D484" s="101" t="str">
        <f aca="false">IF($A484="","",COUNTIF(DITARI!$D:$D,$A484))</f>
        <v/>
      </c>
      <c r="E484" s="101" t="str">
        <f aca="false">IF($A484="","",SUMIFS(DITARI!$F:$F,DITARI!$D:$D,$A484))</f>
        <v/>
      </c>
      <c r="F484" s="101" t="str">
        <f aca="false">IF($A484="","",SUMIFS(DITARI!$G:$G,DITARI!$D:$D,$A484))</f>
        <v/>
      </c>
      <c r="G484" s="101" t="str">
        <f aca="false">IF($A484="","",$E484-$F484)</f>
        <v/>
      </c>
    </row>
    <row r="485" customFormat="false" ht="15" hidden="false" customHeight="true" outlineLevel="0" collapsed="false">
      <c r="A485" s="101" t="str">
        <f aca="false">IFERROR(INDEX(DITARI!$D$6:$D$550,MATCH(0,COUNTIF($A$1:A484,DITARI!$D$6:$D$550)+(DITARI!$D$6:$D$550=""),0)),"")</f>
        <v/>
      </c>
      <c r="B485" s="101" t="str">
        <f aca="false">IF($A485="","",IFERROR(VLOOKUP($A485,PLANI_LLOGARIVE!$A:$I,2,FALSE()),"⚠ Nuk është te PLANI_LLOGARIVE"))</f>
        <v/>
      </c>
      <c r="C485" s="101" t="str">
        <f aca="false">IF($A485="","",IFERROR(VLOOKUP($A485,PLANI_LLOGARIVE!$A:$I,9,FALSE()),""))</f>
        <v/>
      </c>
      <c r="D485" s="101" t="str">
        <f aca="false">IF($A485="","",COUNTIF(DITARI!$D:$D,$A485))</f>
        <v/>
      </c>
      <c r="E485" s="101" t="str">
        <f aca="false">IF($A485="","",SUMIFS(DITARI!$F:$F,DITARI!$D:$D,$A485))</f>
        <v/>
      </c>
      <c r="F485" s="101" t="str">
        <f aca="false">IF($A485="","",SUMIFS(DITARI!$G:$G,DITARI!$D:$D,$A485))</f>
        <v/>
      </c>
      <c r="G485" s="101" t="str">
        <f aca="false">IF($A485="","",$E485-$F485)</f>
        <v/>
      </c>
    </row>
    <row r="486" customFormat="false" ht="15" hidden="false" customHeight="true" outlineLevel="0" collapsed="false">
      <c r="A486" s="101" t="str">
        <f aca="false">IFERROR(INDEX(DITARI!$D$6:$D$550,MATCH(0,COUNTIF($A$1:A485,DITARI!$D$6:$D$550)+(DITARI!$D$6:$D$550=""),0)),"")</f>
        <v/>
      </c>
      <c r="B486" s="101" t="str">
        <f aca="false">IF($A486="","",IFERROR(VLOOKUP($A486,PLANI_LLOGARIVE!$A:$I,2,FALSE()),"⚠ Nuk është te PLANI_LLOGARIVE"))</f>
        <v/>
      </c>
      <c r="C486" s="101" t="str">
        <f aca="false">IF($A486="","",IFERROR(VLOOKUP($A486,PLANI_LLOGARIVE!$A:$I,9,FALSE()),""))</f>
        <v/>
      </c>
      <c r="D486" s="101" t="str">
        <f aca="false">IF($A486="","",COUNTIF(DITARI!$D:$D,$A486))</f>
        <v/>
      </c>
      <c r="E486" s="101" t="str">
        <f aca="false">IF($A486="","",SUMIFS(DITARI!$F:$F,DITARI!$D:$D,$A486))</f>
        <v/>
      </c>
      <c r="F486" s="101" t="str">
        <f aca="false">IF($A486="","",SUMIFS(DITARI!$G:$G,DITARI!$D:$D,$A486))</f>
        <v/>
      </c>
      <c r="G486" s="101" t="str">
        <f aca="false">IF($A486="","",$E486-$F486)</f>
        <v/>
      </c>
    </row>
    <row r="487" customFormat="false" ht="15" hidden="false" customHeight="true" outlineLevel="0" collapsed="false">
      <c r="A487" s="101" t="str">
        <f aca="false">IFERROR(INDEX(DITARI!$D$6:$D$550,MATCH(0,COUNTIF($A$1:A486,DITARI!$D$6:$D$550)+(DITARI!$D$6:$D$550=""),0)),"")</f>
        <v/>
      </c>
      <c r="B487" s="101" t="str">
        <f aca="false">IF($A487="","",IFERROR(VLOOKUP($A487,PLANI_LLOGARIVE!$A:$I,2,FALSE()),"⚠ Nuk është te PLANI_LLOGARIVE"))</f>
        <v/>
      </c>
      <c r="C487" s="101" t="str">
        <f aca="false">IF($A487="","",IFERROR(VLOOKUP($A487,PLANI_LLOGARIVE!$A:$I,9,FALSE()),""))</f>
        <v/>
      </c>
      <c r="D487" s="101" t="str">
        <f aca="false">IF($A487="","",COUNTIF(DITARI!$D:$D,$A487))</f>
        <v/>
      </c>
      <c r="E487" s="101" t="str">
        <f aca="false">IF($A487="","",SUMIFS(DITARI!$F:$F,DITARI!$D:$D,$A487))</f>
        <v/>
      </c>
      <c r="F487" s="101" t="str">
        <f aca="false">IF($A487="","",SUMIFS(DITARI!$G:$G,DITARI!$D:$D,$A487))</f>
        <v/>
      </c>
      <c r="G487" s="101" t="str">
        <f aca="false">IF($A487="","",$E487-$F487)</f>
        <v/>
      </c>
    </row>
    <row r="488" customFormat="false" ht="15" hidden="false" customHeight="true" outlineLevel="0" collapsed="false">
      <c r="A488" s="101" t="str">
        <f aca="false">IFERROR(INDEX(DITARI!$D$6:$D$550,MATCH(0,COUNTIF($A$1:A487,DITARI!$D$6:$D$550)+(DITARI!$D$6:$D$550=""),0)),"")</f>
        <v/>
      </c>
      <c r="B488" s="101" t="str">
        <f aca="false">IF($A488="","",IFERROR(VLOOKUP($A488,PLANI_LLOGARIVE!$A:$I,2,FALSE()),"⚠ Nuk është te PLANI_LLOGARIVE"))</f>
        <v/>
      </c>
      <c r="C488" s="101" t="str">
        <f aca="false">IF($A488="","",IFERROR(VLOOKUP($A488,PLANI_LLOGARIVE!$A:$I,9,FALSE()),""))</f>
        <v/>
      </c>
      <c r="D488" s="101" t="str">
        <f aca="false">IF($A488="","",COUNTIF(DITARI!$D:$D,$A488))</f>
        <v/>
      </c>
      <c r="E488" s="101" t="str">
        <f aca="false">IF($A488="","",SUMIFS(DITARI!$F:$F,DITARI!$D:$D,$A488))</f>
        <v/>
      </c>
      <c r="F488" s="101" t="str">
        <f aca="false">IF($A488="","",SUMIFS(DITARI!$G:$G,DITARI!$D:$D,$A488))</f>
        <v/>
      </c>
      <c r="G488" s="101" t="str">
        <f aca="false">IF($A488="","",$E488-$F488)</f>
        <v/>
      </c>
    </row>
    <row r="489" customFormat="false" ht="15" hidden="false" customHeight="true" outlineLevel="0" collapsed="false">
      <c r="A489" s="101" t="str">
        <f aca="false">IFERROR(INDEX(DITARI!$D$6:$D$550,MATCH(0,COUNTIF($A$1:A488,DITARI!$D$6:$D$550)+(DITARI!$D$6:$D$550=""),0)),"")</f>
        <v/>
      </c>
      <c r="B489" s="101" t="str">
        <f aca="false">IF($A489="","",IFERROR(VLOOKUP($A489,PLANI_LLOGARIVE!$A:$I,2,FALSE()),"⚠ Nuk është te PLANI_LLOGARIVE"))</f>
        <v/>
      </c>
      <c r="C489" s="101" t="str">
        <f aca="false">IF($A489="","",IFERROR(VLOOKUP($A489,PLANI_LLOGARIVE!$A:$I,9,FALSE()),""))</f>
        <v/>
      </c>
      <c r="D489" s="101" t="str">
        <f aca="false">IF($A489="","",COUNTIF(DITARI!$D:$D,$A489))</f>
        <v/>
      </c>
      <c r="E489" s="101" t="str">
        <f aca="false">IF($A489="","",SUMIFS(DITARI!$F:$F,DITARI!$D:$D,$A489))</f>
        <v/>
      </c>
      <c r="F489" s="101" t="str">
        <f aca="false">IF($A489="","",SUMIFS(DITARI!$G:$G,DITARI!$D:$D,$A489))</f>
        <v/>
      </c>
      <c r="G489" s="101" t="str">
        <f aca="false">IF($A489="","",$E489-$F489)</f>
        <v/>
      </c>
    </row>
    <row r="490" customFormat="false" ht="15" hidden="false" customHeight="true" outlineLevel="0" collapsed="false">
      <c r="A490" s="101" t="str">
        <f aca="false">IFERROR(INDEX(DITARI!$D$6:$D$550,MATCH(0,COUNTIF($A$1:A489,DITARI!$D$6:$D$550)+(DITARI!$D$6:$D$550=""),0)),"")</f>
        <v/>
      </c>
      <c r="B490" s="101" t="str">
        <f aca="false">IF($A490="","",IFERROR(VLOOKUP($A490,PLANI_LLOGARIVE!$A:$I,2,FALSE()),"⚠ Nuk është te PLANI_LLOGARIVE"))</f>
        <v/>
      </c>
      <c r="C490" s="101" t="str">
        <f aca="false">IF($A490="","",IFERROR(VLOOKUP($A490,PLANI_LLOGARIVE!$A:$I,9,FALSE()),""))</f>
        <v/>
      </c>
      <c r="D490" s="101" t="str">
        <f aca="false">IF($A490="","",COUNTIF(DITARI!$D:$D,$A490))</f>
        <v/>
      </c>
      <c r="E490" s="101" t="str">
        <f aca="false">IF($A490="","",SUMIFS(DITARI!$F:$F,DITARI!$D:$D,$A490))</f>
        <v/>
      </c>
      <c r="F490" s="101" t="str">
        <f aca="false">IF($A490="","",SUMIFS(DITARI!$G:$G,DITARI!$D:$D,$A490))</f>
        <v/>
      </c>
      <c r="G490" s="101" t="str">
        <f aca="false">IF($A490="","",$E490-$F490)</f>
        <v/>
      </c>
    </row>
    <row r="491" customFormat="false" ht="15" hidden="false" customHeight="true" outlineLevel="0" collapsed="false">
      <c r="A491" s="101" t="str">
        <f aca="false">IFERROR(INDEX(DITARI!$D$6:$D$550,MATCH(0,COUNTIF($A$1:A490,DITARI!$D$6:$D$550)+(DITARI!$D$6:$D$550=""),0)),"")</f>
        <v/>
      </c>
      <c r="B491" s="101" t="str">
        <f aca="false">IF($A491="","",IFERROR(VLOOKUP($A491,PLANI_LLOGARIVE!$A:$I,2,FALSE()),"⚠ Nuk është te PLANI_LLOGARIVE"))</f>
        <v/>
      </c>
      <c r="C491" s="101" t="str">
        <f aca="false">IF($A491="","",IFERROR(VLOOKUP($A491,PLANI_LLOGARIVE!$A:$I,9,FALSE()),""))</f>
        <v/>
      </c>
      <c r="D491" s="101" t="str">
        <f aca="false">IF($A491="","",COUNTIF(DITARI!$D:$D,$A491))</f>
        <v/>
      </c>
      <c r="E491" s="101" t="str">
        <f aca="false">IF($A491="","",SUMIFS(DITARI!$F:$F,DITARI!$D:$D,$A491))</f>
        <v/>
      </c>
      <c r="F491" s="101" t="str">
        <f aca="false">IF($A491="","",SUMIFS(DITARI!$G:$G,DITARI!$D:$D,$A491))</f>
        <v/>
      </c>
      <c r="G491" s="101" t="str">
        <f aca="false">IF($A491="","",$E491-$F491)</f>
        <v/>
      </c>
    </row>
    <row r="492" customFormat="false" ht="15" hidden="false" customHeight="true" outlineLevel="0" collapsed="false">
      <c r="A492" s="101" t="str">
        <f aca="false">IFERROR(INDEX(DITARI!$D$6:$D$550,MATCH(0,COUNTIF($A$1:A491,DITARI!$D$6:$D$550)+(DITARI!$D$6:$D$550=""),0)),"")</f>
        <v/>
      </c>
      <c r="B492" s="101" t="str">
        <f aca="false">IF($A492="","",IFERROR(VLOOKUP($A492,PLANI_LLOGARIVE!$A:$I,2,FALSE()),"⚠ Nuk është te PLANI_LLOGARIVE"))</f>
        <v/>
      </c>
      <c r="C492" s="101" t="str">
        <f aca="false">IF($A492="","",IFERROR(VLOOKUP($A492,PLANI_LLOGARIVE!$A:$I,9,FALSE()),""))</f>
        <v/>
      </c>
      <c r="D492" s="101" t="str">
        <f aca="false">IF($A492="","",COUNTIF(DITARI!$D:$D,$A492))</f>
        <v/>
      </c>
      <c r="E492" s="101" t="str">
        <f aca="false">IF($A492="","",SUMIFS(DITARI!$F:$F,DITARI!$D:$D,$A492))</f>
        <v/>
      </c>
      <c r="F492" s="101" t="str">
        <f aca="false">IF($A492="","",SUMIFS(DITARI!$G:$G,DITARI!$D:$D,$A492))</f>
        <v/>
      </c>
      <c r="G492" s="101" t="str">
        <f aca="false">IF($A492="","",$E492-$F492)</f>
        <v/>
      </c>
    </row>
    <row r="493" customFormat="false" ht="15" hidden="false" customHeight="true" outlineLevel="0" collapsed="false">
      <c r="A493" s="101" t="str">
        <f aca="false">IFERROR(INDEX(DITARI!$D$6:$D$550,MATCH(0,COUNTIF($A$1:A492,DITARI!$D$6:$D$550)+(DITARI!$D$6:$D$550=""),0)),"")</f>
        <v/>
      </c>
      <c r="B493" s="101" t="str">
        <f aca="false">IF($A493="","",IFERROR(VLOOKUP($A493,PLANI_LLOGARIVE!$A:$I,2,FALSE()),"⚠ Nuk është te PLANI_LLOGARIVE"))</f>
        <v/>
      </c>
      <c r="C493" s="101" t="str">
        <f aca="false">IF($A493="","",IFERROR(VLOOKUP($A493,PLANI_LLOGARIVE!$A:$I,9,FALSE()),""))</f>
        <v/>
      </c>
      <c r="D493" s="101" t="str">
        <f aca="false">IF($A493="","",COUNTIF(DITARI!$D:$D,$A493))</f>
        <v/>
      </c>
      <c r="E493" s="101" t="str">
        <f aca="false">IF($A493="","",SUMIFS(DITARI!$F:$F,DITARI!$D:$D,$A493))</f>
        <v/>
      </c>
      <c r="F493" s="101" t="str">
        <f aca="false">IF($A493="","",SUMIFS(DITARI!$G:$G,DITARI!$D:$D,$A493))</f>
        <v/>
      </c>
      <c r="G493" s="101" t="str">
        <f aca="false">IF($A493="","",$E493-$F493)</f>
        <v/>
      </c>
    </row>
    <row r="494" customFormat="false" ht="15" hidden="false" customHeight="true" outlineLevel="0" collapsed="false">
      <c r="A494" s="101" t="str">
        <f aca="false">IFERROR(INDEX(DITARI!$D$6:$D$550,MATCH(0,COUNTIF($A$1:A493,DITARI!$D$6:$D$550)+(DITARI!$D$6:$D$550=""),0)),"")</f>
        <v/>
      </c>
      <c r="B494" s="101" t="str">
        <f aca="false">IF($A494="","",IFERROR(VLOOKUP($A494,PLANI_LLOGARIVE!$A:$I,2,FALSE()),"⚠ Nuk është te PLANI_LLOGARIVE"))</f>
        <v/>
      </c>
      <c r="C494" s="101" t="str">
        <f aca="false">IF($A494="","",IFERROR(VLOOKUP($A494,PLANI_LLOGARIVE!$A:$I,9,FALSE()),""))</f>
        <v/>
      </c>
      <c r="D494" s="101" t="str">
        <f aca="false">IF($A494="","",COUNTIF(DITARI!$D:$D,$A494))</f>
        <v/>
      </c>
      <c r="E494" s="101" t="str">
        <f aca="false">IF($A494="","",SUMIFS(DITARI!$F:$F,DITARI!$D:$D,$A494))</f>
        <v/>
      </c>
      <c r="F494" s="101" t="str">
        <f aca="false">IF($A494="","",SUMIFS(DITARI!$G:$G,DITARI!$D:$D,$A494))</f>
        <v/>
      </c>
      <c r="G494" s="101" t="str">
        <f aca="false">IF($A494="","",$E494-$F494)</f>
        <v/>
      </c>
    </row>
    <row r="495" customFormat="false" ht="15" hidden="false" customHeight="true" outlineLevel="0" collapsed="false">
      <c r="A495" s="101" t="str">
        <f aca="false">IFERROR(INDEX(DITARI!$D$6:$D$550,MATCH(0,COUNTIF($A$1:A494,DITARI!$D$6:$D$550)+(DITARI!$D$6:$D$550=""),0)),"")</f>
        <v/>
      </c>
      <c r="B495" s="101" t="str">
        <f aca="false">IF($A495="","",IFERROR(VLOOKUP($A495,PLANI_LLOGARIVE!$A:$I,2,FALSE()),"⚠ Nuk është te PLANI_LLOGARIVE"))</f>
        <v/>
      </c>
      <c r="C495" s="101" t="str">
        <f aca="false">IF($A495="","",IFERROR(VLOOKUP($A495,PLANI_LLOGARIVE!$A:$I,9,FALSE()),""))</f>
        <v/>
      </c>
      <c r="D495" s="101" t="str">
        <f aca="false">IF($A495="","",COUNTIF(DITARI!$D:$D,$A495))</f>
        <v/>
      </c>
      <c r="E495" s="101" t="str">
        <f aca="false">IF($A495="","",SUMIFS(DITARI!$F:$F,DITARI!$D:$D,$A495))</f>
        <v/>
      </c>
      <c r="F495" s="101" t="str">
        <f aca="false">IF($A495="","",SUMIFS(DITARI!$G:$G,DITARI!$D:$D,$A495))</f>
        <v/>
      </c>
      <c r="G495" s="101" t="str">
        <f aca="false">IF($A495="","",$E495-$F495)</f>
        <v/>
      </c>
    </row>
    <row r="496" customFormat="false" ht="15" hidden="false" customHeight="true" outlineLevel="0" collapsed="false">
      <c r="A496" s="101" t="str">
        <f aca="false">IFERROR(INDEX(DITARI!$D$6:$D$550,MATCH(0,COUNTIF($A$1:A495,DITARI!$D$6:$D$550)+(DITARI!$D$6:$D$550=""),0)),"")</f>
        <v/>
      </c>
      <c r="B496" s="101" t="str">
        <f aca="false">IF($A496="","",IFERROR(VLOOKUP($A496,PLANI_LLOGARIVE!$A:$I,2,FALSE()),"⚠ Nuk është te PLANI_LLOGARIVE"))</f>
        <v/>
      </c>
      <c r="C496" s="101" t="str">
        <f aca="false">IF($A496="","",IFERROR(VLOOKUP($A496,PLANI_LLOGARIVE!$A:$I,9,FALSE()),""))</f>
        <v/>
      </c>
      <c r="D496" s="101" t="str">
        <f aca="false">IF($A496="","",COUNTIF(DITARI!$D:$D,$A496))</f>
        <v/>
      </c>
      <c r="E496" s="101" t="str">
        <f aca="false">IF($A496="","",SUMIFS(DITARI!$F:$F,DITARI!$D:$D,$A496))</f>
        <v/>
      </c>
      <c r="F496" s="101" t="str">
        <f aca="false">IF($A496="","",SUMIFS(DITARI!$G:$G,DITARI!$D:$D,$A496))</f>
        <v/>
      </c>
      <c r="G496" s="101" t="str">
        <f aca="false">IF($A496="","",$E496-$F496)</f>
        <v/>
      </c>
    </row>
    <row r="497" customFormat="false" ht="15" hidden="false" customHeight="true" outlineLevel="0" collapsed="false">
      <c r="A497" s="101" t="str">
        <f aca="false">IFERROR(INDEX(DITARI!$D$6:$D$550,MATCH(0,COUNTIF($A$1:A496,DITARI!$D$6:$D$550)+(DITARI!$D$6:$D$550=""),0)),"")</f>
        <v/>
      </c>
      <c r="B497" s="101" t="str">
        <f aca="false">IF($A497="","",IFERROR(VLOOKUP($A497,PLANI_LLOGARIVE!$A:$I,2,FALSE()),"⚠ Nuk është te PLANI_LLOGARIVE"))</f>
        <v/>
      </c>
      <c r="C497" s="101" t="str">
        <f aca="false">IF($A497="","",IFERROR(VLOOKUP($A497,PLANI_LLOGARIVE!$A:$I,9,FALSE()),""))</f>
        <v/>
      </c>
      <c r="D497" s="101" t="str">
        <f aca="false">IF($A497="","",COUNTIF(DITARI!$D:$D,$A497))</f>
        <v/>
      </c>
      <c r="E497" s="101" t="str">
        <f aca="false">IF($A497="","",SUMIFS(DITARI!$F:$F,DITARI!$D:$D,$A497))</f>
        <v/>
      </c>
      <c r="F497" s="101" t="str">
        <f aca="false">IF($A497="","",SUMIFS(DITARI!$G:$G,DITARI!$D:$D,$A497))</f>
        <v/>
      </c>
      <c r="G497" s="101" t="str">
        <f aca="false">IF($A497="","",$E497-$F497)</f>
        <v/>
      </c>
    </row>
    <row r="498" customFormat="false" ht="15" hidden="false" customHeight="true" outlineLevel="0" collapsed="false">
      <c r="A498" s="101" t="str">
        <f aca="false">IFERROR(INDEX(DITARI!$D$6:$D$550,MATCH(0,COUNTIF($A$1:A497,DITARI!$D$6:$D$550)+(DITARI!$D$6:$D$550=""),0)),"")</f>
        <v/>
      </c>
      <c r="B498" s="101" t="str">
        <f aca="false">IF($A498="","",IFERROR(VLOOKUP($A498,PLANI_LLOGARIVE!$A:$I,2,FALSE()),"⚠ Nuk është te PLANI_LLOGARIVE"))</f>
        <v/>
      </c>
      <c r="C498" s="101" t="str">
        <f aca="false">IF($A498="","",IFERROR(VLOOKUP($A498,PLANI_LLOGARIVE!$A:$I,9,FALSE()),""))</f>
        <v/>
      </c>
      <c r="D498" s="101" t="str">
        <f aca="false">IF($A498="","",COUNTIF(DITARI!$D:$D,$A498))</f>
        <v/>
      </c>
      <c r="E498" s="101" t="str">
        <f aca="false">IF($A498="","",SUMIFS(DITARI!$F:$F,DITARI!$D:$D,$A498))</f>
        <v/>
      </c>
      <c r="F498" s="101" t="str">
        <f aca="false">IF($A498="","",SUMIFS(DITARI!$G:$G,DITARI!$D:$D,$A498))</f>
        <v/>
      </c>
      <c r="G498" s="101" t="str">
        <f aca="false">IF($A498="","",$E498-$F498)</f>
        <v/>
      </c>
    </row>
    <row r="499" customFormat="false" ht="15" hidden="false" customHeight="true" outlineLevel="0" collapsed="false">
      <c r="A499" s="101" t="str">
        <f aca="false">IFERROR(INDEX(DITARI!$D$6:$D$550,MATCH(0,COUNTIF($A$1:A498,DITARI!$D$6:$D$550)+(DITARI!$D$6:$D$550=""),0)),"")</f>
        <v/>
      </c>
      <c r="B499" s="101" t="str">
        <f aca="false">IF($A499="","",IFERROR(VLOOKUP($A499,PLANI_LLOGARIVE!$A:$I,2,FALSE()),"⚠ Nuk është te PLANI_LLOGARIVE"))</f>
        <v/>
      </c>
      <c r="C499" s="101" t="str">
        <f aca="false">IF($A499="","",IFERROR(VLOOKUP($A499,PLANI_LLOGARIVE!$A:$I,9,FALSE()),""))</f>
        <v/>
      </c>
      <c r="D499" s="101" t="str">
        <f aca="false">IF($A499="","",COUNTIF(DITARI!$D:$D,$A499))</f>
        <v/>
      </c>
      <c r="E499" s="101" t="str">
        <f aca="false">IF($A499="","",SUMIFS(DITARI!$F:$F,DITARI!$D:$D,$A499))</f>
        <v/>
      </c>
      <c r="F499" s="101" t="str">
        <f aca="false">IF($A499="","",SUMIFS(DITARI!$G:$G,DITARI!$D:$D,$A499))</f>
        <v/>
      </c>
      <c r="G499" s="101" t="str">
        <f aca="false">IF($A499="","",$E499-$F499)</f>
        <v/>
      </c>
    </row>
    <row r="500" customFormat="false" ht="15" hidden="false" customHeight="true" outlineLevel="0" collapsed="false">
      <c r="A500" s="101" t="str">
        <f aca="false">IFERROR(INDEX(DITARI!$D$6:$D$550,MATCH(0,COUNTIF($A$1:A499,DITARI!$D$6:$D$550)+(DITARI!$D$6:$D$550=""),0)),"")</f>
        <v/>
      </c>
      <c r="B500" s="101" t="str">
        <f aca="false">IF($A500="","",IFERROR(VLOOKUP($A500,PLANI_LLOGARIVE!$A:$I,2,FALSE()),"⚠ Nuk është te PLANI_LLOGARIVE"))</f>
        <v/>
      </c>
      <c r="C500" s="101" t="str">
        <f aca="false">IF($A500="","",IFERROR(VLOOKUP($A500,PLANI_LLOGARIVE!$A:$I,9,FALSE()),""))</f>
        <v/>
      </c>
      <c r="D500" s="101" t="str">
        <f aca="false">IF($A500="","",COUNTIF(DITARI!$D:$D,$A500))</f>
        <v/>
      </c>
      <c r="E500" s="101" t="str">
        <f aca="false">IF($A500="","",SUMIFS(DITARI!$F:$F,DITARI!$D:$D,$A500))</f>
        <v/>
      </c>
      <c r="F500" s="101" t="str">
        <f aca="false">IF($A500="","",SUMIFS(DITARI!$G:$G,DITARI!$D:$D,$A500))</f>
        <v/>
      </c>
      <c r="G500" s="101" t="str">
        <f aca="false">IF($A500="","",$E500-$F500)</f>
        <v/>
      </c>
    </row>
  </sheetData>
  <sheetProtection sheet="true" password="91db" formatCells="false" formatColumns="false" formatRows="false" sort="false" autoFilter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5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2"/>
    <col collapsed="false" customWidth="true" hidden="false" outlineLevel="0" max="3" min="3" style="1" width="14"/>
    <col collapsed="false" customWidth="true" hidden="false" outlineLevel="0" max="4" min="4" style="1" width="16"/>
    <col collapsed="false" customWidth="true" hidden="false" outlineLevel="0" max="5" min="5" style="1" width="14"/>
    <col collapsed="false" customWidth="true" hidden="false" outlineLevel="0" max="6" min="6" style="1" width="30"/>
    <col collapsed="false" customWidth="true" hidden="false" outlineLevel="0" max="7" min="7" style="1" width="36"/>
    <col collapsed="false" customWidth="true" hidden="false" outlineLevel="0" max="8" min="8" style="1" width="22"/>
    <col collapsed="false" customWidth="true" hidden="false" outlineLevel="0" max="10" min="9" style="1" width="14"/>
    <col collapsed="false" customWidth="true" hidden="false" outlineLevel="0" max="11" min="11" style="1" width="16"/>
    <col collapsed="false" customWidth="true" hidden="false" outlineLevel="0" max="12" min="12" style="1" width="14"/>
    <col collapsed="false" customWidth="true" hidden="false" outlineLevel="0" max="13" min="13" style="1" width="12"/>
    <col collapsed="false" customWidth="true" hidden="false" outlineLevel="0" max="14" min="14" style="1" width="16"/>
    <col collapsed="false" customWidth="true" hidden="true" outlineLevel="0" max="21" min="15" style="1" width="13"/>
  </cols>
  <sheetData>
    <row r="1" customFormat="false" ht="15" hidden="false" customHeight="true" outlineLevel="0" collapsed="false">
      <c r="A1" s="147" t="s">
        <v>106</v>
      </c>
      <c r="B1" s="147" t="s">
        <v>740</v>
      </c>
      <c r="C1" s="147" t="s">
        <v>741</v>
      </c>
      <c r="D1" s="147" t="s">
        <v>742</v>
      </c>
      <c r="E1" s="147" t="s">
        <v>743</v>
      </c>
      <c r="F1" s="147" t="s">
        <v>744</v>
      </c>
      <c r="G1" s="147" t="s">
        <v>747</v>
      </c>
      <c r="H1" s="147" t="s">
        <v>746</v>
      </c>
      <c r="I1" s="147" t="s">
        <v>212</v>
      </c>
      <c r="J1" s="147" t="s">
        <v>745</v>
      </c>
      <c r="K1" s="147" t="s">
        <v>191</v>
      </c>
      <c r="L1" s="147" t="s">
        <v>1466</v>
      </c>
      <c r="M1" s="147" t="s">
        <v>1467</v>
      </c>
      <c r="N1" s="147" t="s">
        <v>1468</v>
      </c>
      <c r="O1" s="1" t="s">
        <v>1469</v>
      </c>
      <c r="P1" s="1" t="s">
        <v>1470</v>
      </c>
      <c r="Q1" s="1" t="s">
        <v>1471</v>
      </c>
      <c r="R1" s="1" t="s">
        <v>1472</v>
      </c>
      <c r="S1" s="1" t="s">
        <v>1473</v>
      </c>
      <c r="T1" s="1" t="s">
        <v>1474</v>
      </c>
      <c r="U1" s="1" t="s">
        <v>1475</v>
      </c>
    </row>
    <row r="2" customFormat="false" ht="15" hidden="false" customHeight="true" outlineLevel="0" collapsed="false">
      <c r="A2" s="484" t="str">
        <f aca="false">IF(DITARI!$D6="","",ROW()-1)</f>
        <v/>
      </c>
      <c r="B2" s="485" t="str">
        <f aca="false">IF(DITARI!$D6="","",DITARI!$A6)</f>
        <v/>
      </c>
      <c r="C2" s="484" t="str">
        <f aca="false">IF(DITARI!$D6="","",DITARI!$B6)</f>
        <v/>
      </c>
      <c r="D2" s="484" t="str">
        <f aca="false">IF(DITARI!$D6="","",DITARI!$C6)</f>
        <v/>
      </c>
      <c r="E2" s="484" t="str">
        <f aca="false">IF(DITARI!$D6="","",TRIM(DITARI!$D6&amp;""))</f>
        <v/>
      </c>
      <c r="F2" s="484" t="str">
        <f aca="false">IF($E2="","",IFERROR(VLOOKUP($E2,PLANI_LLOGARIVE!$A:$I,2,FALSE()),DITARI!$E6))</f>
        <v/>
      </c>
      <c r="G2" s="484" t="str">
        <f aca="false">IF($E2="","",DITARI!$I6)</f>
        <v/>
      </c>
      <c r="H2" s="486" t="str">
        <f aca="false">IFERROR(IF($E2="","",DITARI!$H6),"")</f>
        <v/>
      </c>
      <c r="I2" s="487" t="n">
        <f aca="false">IF($E2="",0,IFERROR(DITARI!$F6,0))</f>
        <v>0</v>
      </c>
      <c r="J2" s="487" t="n">
        <f aca="false">IF($E2="",0,IFERROR(DITARI!$G6,0))</f>
        <v>0</v>
      </c>
      <c r="K2" s="484" t="str">
        <f aca="false">IF($E2="","",IFERROR(VLOOKUP($E2,PLANI_LLOGARIVE!$A:$I,9,FALSE()),""))</f>
        <v/>
      </c>
      <c r="L2" s="487" t="str">
        <f aca="false">IF($E2="","",$I2-$J2)</f>
        <v/>
      </c>
      <c r="M2" s="484" t="str">
        <f aca="false">IF($E2="","",IF($I2&gt;0,"DEBIT",IF($J2&gt;0,"KREDIT","ZERO")))</f>
        <v/>
      </c>
      <c r="N2" s="484" t="str">
        <f aca="false">IF($E2="","",TEXT($B2,"yyyymmdd")&amp;"-"&amp;TEXT(ROW(),"0000"))</f>
        <v/>
      </c>
      <c r="O2" s="101" t="str">
        <f aca="false">IF($E2="","",$E2&amp;"")</f>
        <v/>
      </c>
      <c r="P2" s="101" t="str">
        <f aca="false">IF(AND($O2&lt;&gt;"",$I2&lt;&gt;0),COUNTIFS($O$2:O2,$O2,$I$2:I2,"&gt;0"),"")</f>
        <v/>
      </c>
      <c r="Q2" s="101" t="str">
        <f aca="false">IF(AND($O2&lt;&gt;"",$J2&lt;&gt;0),COUNTIFS($O$2:O2,$O2,$J$2:J2,"&gt;0"),"")</f>
        <v/>
      </c>
      <c r="R2" s="101" t="str">
        <f aca="false">IF($P2="","",$O2&amp;"|"&amp;$P2)</f>
        <v/>
      </c>
      <c r="S2" s="101" t="str">
        <f aca="false">IF($Q2="","",$O2&amp;"|"&amp;$Q2)</f>
        <v/>
      </c>
      <c r="T2" s="101" t="str">
        <f aca="false">IF($O2="","",COUNTIF($O$2:O2,$O2))</f>
        <v/>
      </c>
      <c r="U2" s="101" t="str">
        <f aca="false">IF($O2="","",$O2&amp;"|"&amp;$T2)</f>
        <v/>
      </c>
      <c r="V2" s="488" t="n">
        <f aca="false">IF(OR(LEFT($D2,5)="MB-CL",LEFT($D2,6)="MB-RES"),0,$I2)</f>
        <v>0</v>
      </c>
      <c r="W2" s="488" t="n">
        <f aca="false">IF(OR(LEFT($D2,5)="MB-CL",LEFT($D2,6)="MB-RES"),0,$J2)</f>
        <v>0</v>
      </c>
      <c r="X2" s="101" t="str">
        <f aca="false">IF($E2="","",LEFT($E2,1))</f>
        <v/>
      </c>
      <c r="Y2" s="101" t="str">
        <f aca="false">IF($E2="","",LEFT($E2,2))</f>
        <v/>
      </c>
      <c r="Z2" s="101" t="str">
        <f aca="false">IF($E2="","",LEFT($E2,3))</f>
        <v/>
      </c>
      <c r="AA2" s="101" t="str">
        <f aca="false">IF($E2="","",LEFT($E2,4))</f>
        <v/>
      </c>
    </row>
    <row r="3" customFormat="false" ht="15" hidden="false" customHeight="true" outlineLevel="0" collapsed="false">
      <c r="A3" s="484" t="str">
        <f aca="false">IF(DITARI!$D7="","",ROW()-1)</f>
        <v/>
      </c>
      <c r="B3" s="485" t="str">
        <f aca="false">IF(DITARI!$D7="","",DITARI!$A7)</f>
        <v/>
      </c>
      <c r="C3" s="484" t="str">
        <f aca="false">IF(DITARI!$D7="","",DITARI!$B7)</f>
        <v/>
      </c>
      <c r="D3" s="484" t="str">
        <f aca="false">IF(DITARI!$D7="","",DITARI!$C7)</f>
        <v/>
      </c>
      <c r="E3" s="484" t="str">
        <f aca="false">IF(DITARI!$D7="","",TRIM(DITARI!$D7&amp;""))</f>
        <v/>
      </c>
      <c r="F3" s="484" t="str">
        <f aca="false">IF($E3="","",IFERROR(VLOOKUP($E3,PLANI_LLOGARIVE!$A:$I,2,FALSE()),DITARI!$E7))</f>
        <v/>
      </c>
      <c r="G3" s="484" t="str">
        <f aca="false">IF($E3="","",DITARI!$I7)</f>
        <v/>
      </c>
      <c r="H3" s="486" t="str">
        <f aca="false">IFERROR(IF($E3="","",DITARI!$H7),"")</f>
        <v/>
      </c>
      <c r="I3" s="487" t="n">
        <f aca="false">IF($E3="",0,IFERROR(DITARI!$F7,0))</f>
        <v>0</v>
      </c>
      <c r="J3" s="487" t="n">
        <f aca="false">IF($E3="",0,IFERROR(DITARI!$G7,0))</f>
        <v>0</v>
      </c>
      <c r="K3" s="484" t="str">
        <f aca="false">IF($E3="","",IFERROR(VLOOKUP($E3,PLANI_LLOGARIVE!$A:$I,9,FALSE()),""))</f>
        <v/>
      </c>
      <c r="L3" s="487" t="str">
        <f aca="false">IF($E3="","",$I3-$J3)</f>
        <v/>
      </c>
      <c r="M3" s="484" t="str">
        <f aca="false">IF($E3="","",IF($I3&gt;0,"DEBIT",IF($J3&gt;0,"KREDIT","ZERO")))</f>
        <v/>
      </c>
      <c r="N3" s="484" t="str">
        <f aca="false">IF($E3="","",TEXT($B3,"yyyymmdd")&amp;"-"&amp;TEXT(ROW(),"0000"))</f>
        <v/>
      </c>
      <c r="O3" s="101" t="str">
        <f aca="false">IF($E3="","",$E3&amp;"")</f>
        <v/>
      </c>
      <c r="P3" s="101" t="str">
        <f aca="false">IF(AND($O3&lt;&gt;"",$I3&lt;&gt;0),COUNTIFS($O$2:O3,$O3,$I$2:I3,"&gt;0"),"")</f>
        <v/>
      </c>
      <c r="Q3" s="101" t="str">
        <f aca="false">IF(AND($O3&lt;&gt;"",$J3&lt;&gt;0),COUNTIFS($O$2:O3,$O3,$J$2:J3,"&gt;0"),"")</f>
        <v/>
      </c>
      <c r="R3" s="101" t="str">
        <f aca="false">IF($P3="","",$O3&amp;"|"&amp;$P3)</f>
        <v/>
      </c>
      <c r="S3" s="101" t="str">
        <f aca="false">IF($Q3="","",$O3&amp;"|"&amp;$Q3)</f>
        <v/>
      </c>
      <c r="T3" s="101" t="str">
        <f aca="false">IF($O3="","",COUNTIF($O$2:O3,$O3))</f>
        <v/>
      </c>
      <c r="U3" s="101" t="str">
        <f aca="false">IF($O3="","",$O3&amp;"|"&amp;$T3)</f>
        <v/>
      </c>
      <c r="V3" s="488" t="n">
        <f aca="false">IF(OR(LEFT($D3,5)="MB-CL",LEFT($D3,6)="MB-RES"),0,$I3)</f>
        <v>0</v>
      </c>
      <c r="W3" s="488" t="n">
        <f aca="false">IF(OR(LEFT($D3,5)="MB-CL",LEFT($D3,6)="MB-RES"),0,$J3)</f>
        <v>0</v>
      </c>
      <c r="X3" s="101" t="str">
        <f aca="false">IF($E3="","",LEFT($E3,1))</f>
        <v/>
      </c>
      <c r="Y3" s="101" t="str">
        <f aca="false">IF($E3="","",LEFT($E3,2))</f>
        <v/>
      </c>
      <c r="Z3" s="101" t="str">
        <f aca="false">IF($E3="","",LEFT($E3,3))</f>
        <v/>
      </c>
      <c r="AA3" s="101" t="str">
        <f aca="false">IF($E3="","",LEFT($E3,4))</f>
        <v/>
      </c>
    </row>
    <row r="4" customFormat="false" ht="15" hidden="false" customHeight="true" outlineLevel="0" collapsed="false">
      <c r="A4" s="484" t="str">
        <f aca="false">IF(DITARI!$D8="","",ROW()-1)</f>
        <v/>
      </c>
      <c r="B4" s="485" t="str">
        <f aca="false">IF(DITARI!$D8="","",DITARI!$A8)</f>
        <v/>
      </c>
      <c r="C4" s="484" t="str">
        <f aca="false">IF(DITARI!$D8="","",DITARI!$B8)</f>
        <v/>
      </c>
      <c r="D4" s="484" t="str">
        <f aca="false">IF(DITARI!$D8="","",DITARI!$C8)</f>
        <v/>
      </c>
      <c r="E4" s="484" t="str">
        <f aca="false">IF(DITARI!$D8="","",TRIM(DITARI!$D8&amp;""))</f>
        <v/>
      </c>
      <c r="F4" s="484" t="str">
        <f aca="false">IF($E4="","",IFERROR(VLOOKUP($E4,PLANI_LLOGARIVE!$A:$I,2,FALSE()),DITARI!$E8))</f>
        <v/>
      </c>
      <c r="G4" s="484" t="str">
        <f aca="false">IF($E4="","",DITARI!$I8)</f>
        <v/>
      </c>
      <c r="H4" s="486" t="str">
        <f aca="false">IFERROR(IF($E4="","",DITARI!$H8),"")</f>
        <v/>
      </c>
      <c r="I4" s="487" t="n">
        <f aca="false">IF($E4="",0,IFERROR(DITARI!$F8,0))</f>
        <v>0</v>
      </c>
      <c r="J4" s="487" t="n">
        <f aca="false">IF($E4="",0,IFERROR(DITARI!$G8,0))</f>
        <v>0</v>
      </c>
      <c r="K4" s="484" t="str">
        <f aca="false">IF($E4="","",IFERROR(VLOOKUP($E4,PLANI_LLOGARIVE!$A:$I,9,FALSE()),""))</f>
        <v/>
      </c>
      <c r="L4" s="487" t="str">
        <f aca="false">IF($E4="","",$I4-$J4)</f>
        <v/>
      </c>
      <c r="M4" s="484" t="str">
        <f aca="false">IF($E4="","",IF($I4&gt;0,"DEBIT",IF($J4&gt;0,"KREDIT","ZERO")))</f>
        <v/>
      </c>
      <c r="N4" s="484" t="str">
        <f aca="false">IF($E4="","",TEXT($B4,"yyyymmdd")&amp;"-"&amp;TEXT(ROW(),"0000"))</f>
        <v/>
      </c>
      <c r="O4" s="101" t="str">
        <f aca="false">IF($E4="","",$E4&amp;"")</f>
        <v/>
      </c>
      <c r="P4" s="101" t="str">
        <f aca="false">IF(AND($O4&lt;&gt;"",$I4&lt;&gt;0),COUNTIFS($O$2:O4,$O4,$I$2:I4,"&gt;0"),"")</f>
        <v/>
      </c>
      <c r="Q4" s="101" t="str">
        <f aca="false">IF(AND($O4&lt;&gt;"",$J4&lt;&gt;0),COUNTIFS($O$2:O4,$O4,$J$2:J4,"&gt;0"),"")</f>
        <v/>
      </c>
      <c r="R4" s="101" t="str">
        <f aca="false">IF($P4="","",$O4&amp;"|"&amp;$P4)</f>
        <v/>
      </c>
      <c r="S4" s="101" t="str">
        <f aca="false">IF($Q4="","",$O4&amp;"|"&amp;$Q4)</f>
        <v/>
      </c>
      <c r="T4" s="101" t="str">
        <f aca="false">IF($O4="","",COUNTIF($O$2:O4,$O4))</f>
        <v/>
      </c>
      <c r="U4" s="101" t="str">
        <f aca="false">IF($O4="","",$O4&amp;"|"&amp;$T4)</f>
        <v/>
      </c>
      <c r="V4" s="488" t="n">
        <f aca="false">IF(OR(LEFT($D4,5)="MB-CL",LEFT($D4,6)="MB-RES"),0,$I4)</f>
        <v>0</v>
      </c>
      <c r="W4" s="488" t="n">
        <f aca="false">IF(OR(LEFT($D4,5)="MB-CL",LEFT($D4,6)="MB-RES"),0,$J4)</f>
        <v>0</v>
      </c>
      <c r="X4" s="101" t="str">
        <f aca="false">IF($E4="","",LEFT($E4,1))</f>
        <v/>
      </c>
      <c r="Y4" s="101" t="str">
        <f aca="false">IF($E4="","",LEFT($E4,2))</f>
        <v/>
      </c>
      <c r="Z4" s="101" t="str">
        <f aca="false">IF($E4="","",LEFT($E4,3))</f>
        <v/>
      </c>
      <c r="AA4" s="101" t="str">
        <f aca="false">IF($E4="","",LEFT($E4,4))</f>
        <v/>
      </c>
    </row>
    <row r="5" customFormat="false" ht="15" hidden="false" customHeight="true" outlineLevel="0" collapsed="false">
      <c r="A5" s="484" t="str">
        <f aca="false">IF(DITARI!$D9="","",ROW()-1)</f>
        <v/>
      </c>
      <c r="B5" s="485" t="str">
        <f aca="false">IF(DITARI!$D9="","",DITARI!$A9)</f>
        <v/>
      </c>
      <c r="C5" s="484" t="str">
        <f aca="false">IF(DITARI!$D9="","",DITARI!$B9)</f>
        <v/>
      </c>
      <c r="D5" s="484" t="str">
        <f aca="false">IF(DITARI!$D9="","",DITARI!$C9)</f>
        <v/>
      </c>
      <c r="E5" s="484" t="str">
        <f aca="false">IF(DITARI!$D9="","",TRIM(DITARI!$D9&amp;""))</f>
        <v/>
      </c>
      <c r="F5" s="484" t="str">
        <f aca="false">IF($E5="","",IFERROR(VLOOKUP($E5,PLANI_LLOGARIVE!$A:$I,2,FALSE()),DITARI!$E9))</f>
        <v/>
      </c>
      <c r="G5" s="484" t="str">
        <f aca="false">IF($E5="","",DITARI!$I9)</f>
        <v/>
      </c>
      <c r="H5" s="486" t="str">
        <f aca="false">IFERROR(IF($E5="","",DITARI!$H9),"")</f>
        <v/>
      </c>
      <c r="I5" s="487" t="n">
        <f aca="false">IF($E5="",0,IFERROR(DITARI!$F9,0))</f>
        <v>0</v>
      </c>
      <c r="J5" s="487" t="n">
        <f aca="false">IF($E5="",0,IFERROR(DITARI!$G9,0))</f>
        <v>0</v>
      </c>
      <c r="K5" s="484" t="str">
        <f aca="false">IF($E5="","",IFERROR(VLOOKUP($E5,PLANI_LLOGARIVE!$A:$I,9,FALSE()),""))</f>
        <v/>
      </c>
      <c r="L5" s="487" t="str">
        <f aca="false">IF($E5="","",$I5-$J5)</f>
        <v/>
      </c>
      <c r="M5" s="484" t="str">
        <f aca="false">IF($E5="","",IF($I5&gt;0,"DEBIT",IF($J5&gt;0,"KREDIT","ZERO")))</f>
        <v/>
      </c>
      <c r="N5" s="484" t="str">
        <f aca="false">IF($E5="","",TEXT($B5,"yyyymmdd")&amp;"-"&amp;TEXT(ROW(),"0000"))</f>
        <v/>
      </c>
      <c r="O5" s="101" t="str">
        <f aca="false">IF($E5="","",$E5&amp;"")</f>
        <v/>
      </c>
      <c r="P5" s="101" t="str">
        <f aca="false">IF(AND($O5&lt;&gt;"",$I5&lt;&gt;0),COUNTIFS($O$2:O5,$O5,$I$2:I5,"&gt;0"),"")</f>
        <v/>
      </c>
      <c r="Q5" s="101" t="str">
        <f aca="false">IF(AND($O5&lt;&gt;"",$J5&lt;&gt;0),COUNTIFS($O$2:O5,$O5,$J$2:J5,"&gt;0"),"")</f>
        <v/>
      </c>
      <c r="R5" s="101" t="str">
        <f aca="false">IF($P5="","",$O5&amp;"|"&amp;$P5)</f>
        <v/>
      </c>
      <c r="S5" s="101" t="str">
        <f aca="false">IF($Q5="","",$O5&amp;"|"&amp;$Q5)</f>
        <v/>
      </c>
      <c r="T5" s="101" t="str">
        <f aca="false">IF($O5="","",COUNTIF($O$2:O5,$O5))</f>
        <v/>
      </c>
      <c r="U5" s="101" t="str">
        <f aca="false">IF($O5="","",$O5&amp;"|"&amp;$T5)</f>
        <v/>
      </c>
      <c r="V5" s="488" t="n">
        <f aca="false">IF(OR(LEFT($D5,5)="MB-CL",LEFT($D5,6)="MB-RES"),0,$I5)</f>
        <v>0</v>
      </c>
      <c r="W5" s="488" t="n">
        <f aca="false">IF(OR(LEFT($D5,5)="MB-CL",LEFT($D5,6)="MB-RES"),0,$J5)</f>
        <v>0</v>
      </c>
      <c r="X5" s="101" t="str">
        <f aca="false">IF($E5="","",LEFT($E5,1))</f>
        <v/>
      </c>
      <c r="Y5" s="101" t="str">
        <f aca="false">IF($E5="","",LEFT($E5,2))</f>
        <v/>
      </c>
      <c r="Z5" s="101" t="str">
        <f aca="false">IF($E5="","",LEFT($E5,3))</f>
        <v/>
      </c>
      <c r="AA5" s="101" t="str">
        <f aca="false">IF($E5="","",LEFT($E5,4))</f>
        <v/>
      </c>
    </row>
    <row r="6" customFormat="false" ht="15" hidden="false" customHeight="true" outlineLevel="0" collapsed="false">
      <c r="A6" s="484" t="str">
        <f aca="false">IF(DITARI!$D10="","",ROW()-1)</f>
        <v/>
      </c>
      <c r="B6" s="485" t="str">
        <f aca="false">IF(DITARI!$D10="","",DITARI!$A10)</f>
        <v/>
      </c>
      <c r="C6" s="484" t="str">
        <f aca="false">IF(DITARI!$D10="","",DITARI!$B10)</f>
        <v/>
      </c>
      <c r="D6" s="484" t="str">
        <f aca="false">IF(DITARI!$D10="","",DITARI!$C10)</f>
        <v/>
      </c>
      <c r="E6" s="484" t="str">
        <f aca="false">IF(DITARI!$D10="","",TRIM(DITARI!$D10&amp;""))</f>
        <v/>
      </c>
      <c r="F6" s="484" t="str">
        <f aca="false">IF($E6="","",IFERROR(VLOOKUP($E6,PLANI_LLOGARIVE!$A:$I,2,FALSE()),DITARI!$E10))</f>
        <v/>
      </c>
      <c r="G6" s="484" t="str">
        <f aca="false">IF($E6="","",DITARI!$I10)</f>
        <v/>
      </c>
      <c r="H6" s="486" t="str">
        <f aca="false">IFERROR(IF($E6="","",DITARI!$H10),"")</f>
        <v/>
      </c>
      <c r="I6" s="487" t="n">
        <f aca="false">IF($E6="",0,IFERROR(DITARI!$F10,0))</f>
        <v>0</v>
      </c>
      <c r="J6" s="487" t="n">
        <f aca="false">IF($E6="",0,IFERROR(DITARI!$G10,0))</f>
        <v>0</v>
      </c>
      <c r="K6" s="484" t="str">
        <f aca="false">IF($E6="","",IFERROR(VLOOKUP($E6,PLANI_LLOGARIVE!$A:$I,9,FALSE()),""))</f>
        <v/>
      </c>
      <c r="L6" s="487" t="str">
        <f aca="false">IF($E6="","",$I6-$J6)</f>
        <v/>
      </c>
      <c r="M6" s="484" t="str">
        <f aca="false">IF($E6="","",IF($I6&gt;0,"DEBIT",IF($J6&gt;0,"KREDIT","ZERO")))</f>
        <v/>
      </c>
      <c r="N6" s="484" t="str">
        <f aca="false">IF($E6="","",TEXT($B6,"yyyymmdd")&amp;"-"&amp;TEXT(ROW(),"0000"))</f>
        <v/>
      </c>
      <c r="O6" s="101" t="str">
        <f aca="false">IF($E6="","",$E6&amp;"")</f>
        <v/>
      </c>
      <c r="P6" s="101" t="str">
        <f aca="false">IF(AND($O6&lt;&gt;"",$I6&lt;&gt;0),COUNTIFS($O$2:O6,$O6,$I$2:I6,"&gt;0"),"")</f>
        <v/>
      </c>
      <c r="Q6" s="101" t="str">
        <f aca="false">IF(AND($O6&lt;&gt;"",$J6&lt;&gt;0),COUNTIFS($O$2:O6,$O6,$J$2:J6,"&gt;0"),"")</f>
        <v/>
      </c>
      <c r="R6" s="101" t="str">
        <f aca="false">IF($P6="","",$O6&amp;"|"&amp;$P6)</f>
        <v/>
      </c>
      <c r="S6" s="101" t="str">
        <f aca="false">IF($Q6="","",$O6&amp;"|"&amp;$Q6)</f>
        <v/>
      </c>
      <c r="T6" s="101" t="str">
        <f aca="false">IF($O6="","",COUNTIF($O$2:O6,$O6))</f>
        <v/>
      </c>
      <c r="U6" s="101" t="str">
        <f aca="false">IF($O6="","",$O6&amp;"|"&amp;$T6)</f>
        <v/>
      </c>
      <c r="V6" s="488" t="n">
        <f aca="false">IF(OR(LEFT($D6,5)="MB-CL",LEFT($D6,6)="MB-RES"),0,$I6)</f>
        <v>0</v>
      </c>
      <c r="W6" s="488" t="n">
        <f aca="false">IF(OR(LEFT($D6,5)="MB-CL",LEFT($D6,6)="MB-RES"),0,$J6)</f>
        <v>0</v>
      </c>
      <c r="X6" s="101" t="str">
        <f aca="false">IF($E6="","",LEFT($E6,1))</f>
        <v/>
      </c>
      <c r="Y6" s="101" t="str">
        <f aca="false">IF($E6="","",LEFT($E6,2))</f>
        <v/>
      </c>
      <c r="Z6" s="101" t="str">
        <f aca="false">IF($E6="","",LEFT($E6,3))</f>
        <v/>
      </c>
      <c r="AA6" s="101" t="str">
        <f aca="false">IF($E6="","",LEFT($E6,4))</f>
        <v/>
      </c>
    </row>
    <row r="7" customFormat="false" ht="15" hidden="false" customHeight="true" outlineLevel="0" collapsed="false">
      <c r="A7" s="484" t="str">
        <f aca="false">IF(DITARI!$D11="","",ROW()-1)</f>
        <v/>
      </c>
      <c r="B7" s="485" t="str">
        <f aca="false">IF(DITARI!$D11="","",DITARI!$A11)</f>
        <v/>
      </c>
      <c r="C7" s="484" t="str">
        <f aca="false">IF(DITARI!$D11="","",DITARI!$B11)</f>
        <v/>
      </c>
      <c r="D7" s="484" t="str">
        <f aca="false">IF(DITARI!$D11="","",DITARI!$C11)</f>
        <v/>
      </c>
      <c r="E7" s="484" t="str">
        <f aca="false">IF(DITARI!$D11="","",TRIM(DITARI!$D11&amp;""))</f>
        <v/>
      </c>
      <c r="F7" s="484" t="str">
        <f aca="false">IF($E7="","",IFERROR(VLOOKUP($E7,PLANI_LLOGARIVE!$A:$I,2,FALSE()),DITARI!$E11))</f>
        <v/>
      </c>
      <c r="G7" s="484" t="str">
        <f aca="false">IF($E7="","",DITARI!$I11)</f>
        <v/>
      </c>
      <c r="H7" s="486" t="str">
        <f aca="false">IFERROR(IF($E7="","",DITARI!$H11),"")</f>
        <v/>
      </c>
      <c r="I7" s="487" t="n">
        <f aca="false">IF($E7="",0,IFERROR(DITARI!$F11,0))</f>
        <v>0</v>
      </c>
      <c r="J7" s="487" t="n">
        <f aca="false">IF($E7="",0,IFERROR(DITARI!$G11,0))</f>
        <v>0</v>
      </c>
      <c r="K7" s="484" t="str">
        <f aca="false">IF($E7="","",IFERROR(VLOOKUP($E7,PLANI_LLOGARIVE!$A:$I,9,FALSE()),""))</f>
        <v/>
      </c>
      <c r="L7" s="487" t="str">
        <f aca="false">IF($E7="","",$I7-$J7)</f>
        <v/>
      </c>
      <c r="M7" s="484" t="str">
        <f aca="false">IF($E7="","",IF($I7&gt;0,"DEBIT",IF($J7&gt;0,"KREDIT","ZERO")))</f>
        <v/>
      </c>
      <c r="N7" s="484" t="str">
        <f aca="false">IF($E7="","",TEXT($B7,"yyyymmdd")&amp;"-"&amp;TEXT(ROW(),"0000"))</f>
        <v/>
      </c>
      <c r="O7" s="101" t="str">
        <f aca="false">IF($E7="","",$E7&amp;"")</f>
        <v/>
      </c>
      <c r="P7" s="101" t="str">
        <f aca="false">IF(AND($O7&lt;&gt;"",$I7&lt;&gt;0),COUNTIFS($O$2:O7,$O7,$I$2:I7,"&gt;0"),"")</f>
        <v/>
      </c>
      <c r="Q7" s="101" t="str">
        <f aca="false">IF(AND($O7&lt;&gt;"",$J7&lt;&gt;0),COUNTIFS($O$2:O7,$O7,$J$2:J7,"&gt;0"),"")</f>
        <v/>
      </c>
      <c r="R7" s="101" t="str">
        <f aca="false">IF($P7="","",$O7&amp;"|"&amp;$P7)</f>
        <v/>
      </c>
      <c r="S7" s="101" t="str">
        <f aca="false">IF($Q7="","",$O7&amp;"|"&amp;$Q7)</f>
        <v/>
      </c>
      <c r="T7" s="101" t="str">
        <f aca="false">IF($O7="","",COUNTIF($O$2:O7,$O7))</f>
        <v/>
      </c>
      <c r="U7" s="101" t="str">
        <f aca="false">IF($O7="","",$O7&amp;"|"&amp;$T7)</f>
        <v/>
      </c>
      <c r="V7" s="488" t="n">
        <f aca="false">IF(OR(LEFT($D7,5)="MB-CL",LEFT($D7,6)="MB-RES"),0,$I7)</f>
        <v>0</v>
      </c>
      <c r="W7" s="488" t="n">
        <f aca="false">IF(OR(LEFT($D7,5)="MB-CL",LEFT($D7,6)="MB-RES"),0,$J7)</f>
        <v>0</v>
      </c>
      <c r="X7" s="101" t="str">
        <f aca="false">IF($E7="","",LEFT($E7,1))</f>
        <v/>
      </c>
      <c r="Y7" s="101" t="str">
        <f aca="false">IF($E7="","",LEFT($E7,2))</f>
        <v/>
      </c>
      <c r="Z7" s="101" t="str">
        <f aca="false">IF($E7="","",LEFT($E7,3))</f>
        <v/>
      </c>
      <c r="AA7" s="101" t="str">
        <f aca="false">IF($E7="","",LEFT($E7,4))</f>
        <v/>
      </c>
    </row>
    <row r="8" customFormat="false" ht="15" hidden="false" customHeight="true" outlineLevel="0" collapsed="false">
      <c r="A8" s="484" t="str">
        <f aca="false">IF(DITARI!$D12="","",ROW()-1)</f>
        <v/>
      </c>
      <c r="B8" s="485" t="str">
        <f aca="false">IF(DITARI!$D12="","",DITARI!$A12)</f>
        <v/>
      </c>
      <c r="C8" s="484" t="str">
        <f aca="false">IF(DITARI!$D12="","",DITARI!$B12)</f>
        <v/>
      </c>
      <c r="D8" s="484" t="str">
        <f aca="false">IF(DITARI!$D12="","",DITARI!$C12)</f>
        <v/>
      </c>
      <c r="E8" s="484" t="str">
        <f aca="false">IF(DITARI!$D12="","",TRIM(DITARI!$D12&amp;""))</f>
        <v/>
      </c>
      <c r="F8" s="484" t="str">
        <f aca="false">IF($E8="","",IFERROR(VLOOKUP($E8,PLANI_LLOGARIVE!$A:$I,2,FALSE()),DITARI!$E12))</f>
        <v/>
      </c>
      <c r="G8" s="484" t="str">
        <f aca="false">IF($E8="","",DITARI!$I12)</f>
        <v/>
      </c>
      <c r="H8" s="486" t="str">
        <f aca="false">IFERROR(IF($E8="","",DITARI!$H12),"")</f>
        <v/>
      </c>
      <c r="I8" s="487" t="n">
        <f aca="false">IF($E8="",0,IFERROR(DITARI!$F12,0))</f>
        <v>0</v>
      </c>
      <c r="J8" s="487" t="n">
        <f aca="false">IF($E8="",0,IFERROR(DITARI!$G12,0))</f>
        <v>0</v>
      </c>
      <c r="K8" s="484" t="str">
        <f aca="false">IF($E8="","",IFERROR(VLOOKUP($E8,PLANI_LLOGARIVE!$A:$I,9,FALSE()),""))</f>
        <v/>
      </c>
      <c r="L8" s="487" t="str">
        <f aca="false">IF($E8="","",$I8-$J8)</f>
        <v/>
      </c>
      <c r="M8" s="484" t="str">
        <f aca="false">IF($E8="","",IF($I8&gt;0,"DEBIT",IF($J8&gt;0,"KREDIT","ZERO")))</f>
        <v/>
      </c>
      <c r="N8" s="484" t="str">
        <f aca="false">IF($E8="","",TEXT($B8,"yyyymmdd")&amp;"-"&amp;TEXT(ROW(),"0000"))</f>
        <v/>
      </c>
      <c r="O8" s="101" t="str">
        <f aca="false">IF($E8="","",$E8&amp;"")</f>
        <v/>
      </c>
      <c r="P8" s="101" t="str">
        <f aca="false">IF(AND($O8&lt;&gt;"",$I8&lt;&gt;0),COUNTIFS($O$2:O8,$O8,$I$2:I8,"&gt;0"),"")</f>
        <v/>
      </c>
      <c r="Q8" s="101" t="str">
        <f aca="false">IF(AND($O8&lt;&gt;"",$J8&lt;&gt;0),COUNTIFS($O$2:O8,$O8,$J$2:J8,"&gt;0"),"")</f>
        <v/>
      </c>
      <c r="R8" s="101" t="str">
        <f aca="false">IF($P8="","",$O8&amp;"|"&amp;$P8)</f>
        <v/>
      </c>
      <c r="S8" s="101" t="str">
        <f aca="false">IF($Q8="","",$O8&amp;"|"&amp;$Q8)</f>
        <v/>
      </c>
      <c r="T8" s="101" t="str">
        <f aca="false">IF($O8="","",COUNTIF($O$2:O8,$O8))</f>
        <v/>
      </c>
      <c r="U8" s="101" t="str">
        <f aca="false">IF($O8="","",$O8&amp;"|"&amp;$T8)</f>
        <v/>
      </c>
      <c r="V8" s="488" t="n">
        <f aca="false">IF(OR(LEFT($D8,5)="MB-CL",LEFT($D8,6)="MB-RES"),0,$I8)</f>
        <v>0</v>
      </c>
      <c r="W8" s="488" t="n">
        <f aca="false">IF(OR(LEFT($D8,5)="MB-CL",LEFT($D8,6)="MB-RES"),0,$J8)</f>
        <v>0</v>
      </c>
      <c r="X8" s="101" t="str">
        <f aca="false">IF($E8="","",LEFT($E8,1))</f>
        <v/>
      </c>
      <c r="Y8" s="101" t="str">
        <f aca="false">IF($E8="","",LEFT($E8,2))</f>
        <v/>
      </c>
      <c r="Z8" s="101" t="str">
        <f aca="false">IF($E8="","",LEFT($E8,3))</f>
        <v/>
      </c>
      <c r="AA8" s="101" t="str">
        <f aca="false">IF($E8="","",LEFT($E8,4))</f>
        <v/>
      </c>
    </row>
    <row r="9" customFormat="false" ht="15" hidden="false" customHeight="true" outlineLevel="0" collapsed="false">
      <c r="A9" s="484" t="str">
        <f aca="false">IF(DITARI!$D13="","",ROW()-1)</f>
        <v/>
      </c>
      <c r="B9" s="485" t="str">
        <f aca="false">IF(DITARI!$D13="","",DITARI!$A13)</f>
        <v/>
      </c>
      <c r="C9" s="484" t="str">
        <f aca="false">IF(DITARI!$D13="","",DITARI!$B13)</f>
        <v/>
      </c>
      <c r="D9" s="484" t="str">
        <f aca="false">IF(DITARI!$D13="","",DITARI!$C13)</f>
        <v/>
      </c>
      <c r="E9" s="484" t="str">
        <f aca="false">IF(DITARI!$D13="","",TRIM(DITARI!$D13&amp;""))</f>
        <v/>
      </c>
      <c r="F9" s="484" t="str">
        <f aca="false">IF($E9="","",IFERROR(VLOOKUP($E9,PLANI_LLOGARIVE!$A:$I,2,FALSE()),DITARI!$E13))</f>
        <v/>
      </c>
      <c r="G9" s="484" t="str">
        <f aca="false">IF($E9="","",DITARI!$I13)</f>
        <v/>
      </c>
      <c r="H9" s="486" t="str">
        <f aca="false">IFERROR(IF($E9="","",DITARI!$H13),"")</f>
        <v/>
      </c>
      <c r="I9" s="487" t="n">
        <f aca="false">IF($E9="",0,IFERROR(DITARI!$F13,0))</f>
        <v>0</v>
      </c>
      <c r="J9" s="487" t="n">
        <f aca="false">IF($E9="",0,IFERROR(DITARI!$G13,0))</f>
        <v>0</v>
      </c>
      <c r="K9" s="484" t="str">
        <f aca="false">IF($E9="","",IFERROR(VLOOKUP($E9,PLANI_LLOGARIVE!$A:$I,9,FALSE()),""))</f>
        <v/>
      </c>
      <c r="L9" s="487" t="str">
        <f aca="false">IF($E9="","",$I9-$J9)</f>
        <v/>
      </c>
      <c r="M9" s="484" t="str">
        <f aca="false">IF($E9="","",IF($I9&gt;0,"DEBIT",IF($J9&gt;0,"KREDIT","ZERO")))</f>
        <v/>
      </c>
      <c r="N9" s="484" t="str">
        <f aca="false">IF($E9="","",TEXT($B9,"yyyymmdd")&amp;"-"&amp;TEXT(ROW(),"0000"))</f>
        <v/>
      </c>
      <c r="O9" s="101" t="str">
        <f aca="false">IF($E9="","",$E9&amp;"")</f>
        <v/>
      </c>
      <c r="P9" s="101" t="str">
        <f aca="false">IF(AND($O9&lt;&gt;"",$I9&lt;&gt;0),COUNTIFS($O$2:O9,$O9,$I$2:I9,"&gt;0"),"")</f>
        <v/>
      </c>
      <c r="Q9" s="101" t="str">
        <f aca="false">IF(AND($O9&lt;&gt;"",$J9&lt;&gt;0),COUNTIFS($O$2:O9,$O9,$J$2:J9,"&gt;0"),"")</f>
        <v/>
      </c>
      <c r="R9" s="101" t="str">
        <f aca="false">IF($P9="","",$O9&amp;"|"&amp;$P9)</f>
        <v/>
      </c>
      <c r="S9" s="101" t="str">
        <f aca="false">IF($Q9="","",$O9&amp;"|"&amp;$Q9)</f>
        <v/>
      </c>
      <c r="T9" s="101" t="str">
        <f aca="false">IF($O9="","",COUNTIF($O$2:O9,$O9))</f>
        <v/>
      </c>
      <c r="U9" s="101" t="str">
        <f aca="false">IF($O9="","",$O9&amp;"|"&amp;$T9)</f>
        <v/>
      </c>
      <c r="V9" s="488" t="n">
        <f aca="false">IF(OR(LEFT($D9,5)="MB-CL",LEFT($D9,6)="MB-RES"),0,$I9)</f>
        <v>0</v>
      </c>
      <c r="W9" s="488" t="n">
        <f aca="false">IF(OR(LEFT($D9,5)="MB-CL",LEFT($D9,6)="MB-RES"),0,$J9)</f>
        <v>0</v>
      </c>
      <c r="X9" s="101" t="str">
        <f aca="false">IF($E9="","",LEFT($E9,1))</f>
        <v/>
      </c>
      <c r="Y9" s="101" t="str">
        <f aca="false">IF($E9="","",LEFT($E9,2))</f>
        <v/>
      </c>
      <c r="Z9" s="101" t="str">
        <f aca="false">IF($E9="","",LEFT($E9,3))</f>
        <v/>
      </c>
      <c r="AA9" s="101" t="str">
        <f aca="false">IF($E9="","",LEFT($E9,4))</f>
        <v/>
      </c>
    </row>
    <row r="10" customFormat="false" ht="15" hidden="false" customHeight="true" outlineLevel="0" collapsed="false">
      <c r="A10" s="484" t="str">
        <f aca="false">IF(DITARI!$D14="","",ROW()-1)</f>
        <v/>
      </c>
      <c r="B10" s="485" t="str">
        <f aca="false">IF(DITARI!$D14="","",DITARI!$A14)</f>
        <v/>
      </c>
      <c r="C10" s="484" t="str">
        <f aca="false">IF(DITARI!$D14="","",DITARI!$B14)</f>
        <v/>
      </c>
      <c r="D10" s="484" t="str">
        <f aca="false">IF(DITARI!$D14="","",DITARI!$C14)</f>
        <v/>
      </c>
      <c r="E10" s="484" t="str">
        <f aca="false">IF(DITARI!$D14="","",TRIM(DITARI!$D14&amp;""))</f>
        <v/>
      </c>
      <c r="F10" s="484" t="str">
        <f aca="false">IF($E10="","",IFERROR(VLOOKUP($E10,PLANI_LLOGARIVE!$A:$I,2,FALSE()),DITARI!$E14))</f>
        <v/>
      </c>
      <c r="G10" s="484" t="str">
        <f aca="false">IF($E10="","",DITARI!$I14)</f>
        <v/>
      </c>
      <c r="H10" s="486" t="str">
        <f aca="false">IFERROR(IF($E10="","",DITARI!$H14),"")</f>
        <v/>
      </c>
      <c r="I10" s="487" t="n">
        <f aca="false">IF($E10="",0,IFERROR(DITARI!$F14,0))</f>
        <v>0</v>
      </c>
      <c r="J10" s="487" t="n">
        <f aca="false">IF($E10="",0,IFERROR(DITARI!$G14,0))</f>
        <v>0</v>
      </c>
      <c r="K10" s="484" t="str">
        <f aca="false">IF($E10="","",IFERROR(VLOOKUP($E10,PLANI_LLOGARIVE!$A:$I,9,FALSE()),""))</f>
        <v/>
      </c>
      <c r="L10" s="487" t="str">
        <f aca="false">IF($E10="","",$I10-$J10)</f>
        <v/>
      </c>
      <c r="M10" s="484" t="str">
        <f aca="false">IF($E10="","",IF($I10&gt;0,"DEBIT",IF($J10&gt;0,"KREDIT","ZERO")))</f>
        <v/>
      </c>
      <c r="N10" s="484" t="str">
        <f aca="false">IF($E10="","",TEXT($B10,"yyyymmdd")&amp;"-"&amp;TEXT(ROW(),"0000"))</f>
        <v/>
      </c>
      <c r="O10" s="101" t="str">
        <f aca="false">IF($E10="","",$E10&amp;"")</f>
        <v/>
      </c>
      <c r="P10" s="101" t="str">
        <f aca="false">IF(AND($O10&lt;&gt;"",$I10&lt;&gt;0),COUNTIFS($O$2:O10,$O10,$I$2:I10,"&gt;0"),"")</f>
        <v/>
      </c>
      <c r="Q10" s="101" t="str">
        <f aca="false">IF(AND($O10&lt;&gt;"",$J10&lt;&gt;0),COUNTIFS($O$2:O10,$O10,$J$2:J10,"&gt;0"),"")</f>
        <v/>
      </c>
      <c r="R10" s="101" t="str">
        <f aca="false">IF($P10="","",$O10&amp;"|"&amp;$P10)</f>
        <v/>
      </c>
      <c r="S10" s="101" t="str">
        <f aca="false">IF($Q10="","",$O10&amp;"|"&amp;$Q10)</f>
        <v/>
      </c>
      <c r="T10" s="101" t="str">
        <f aca="false">IF($O10="","",COUNTIF($O$2:O10,$O10))</f>
        <v/>
      </c>
      <c r="U10" s="101" t="str">
        <f aca="false">IF($O10="","",$O10&amp;"|"&amp;$T10)</f>
        <v/>
      </c>
      <c r="V10" s="488" t="n">
        <f aca="false">IF(OR(LEFT($D10,5)="MB-CL",LEFT($D10,6)="MB-RES"),0,$I10)</f>
        <v>0</v>
      </c>
      <c r="W10" s="488" t="n">
        <f aca="false">IF(OR(LEFT($D10,5)="MB-CL",LEFT($D10,6)="MB-RES"),0,$J10)</f>
        <v>0</v>
      </c>
      <c r="X10" s="101" t="str">
        <f aca="false">IF($E10="","",LEFT($E10,1))</f>
        <v/>
      </c>
      <c r="Y10" s="101" t="str">
        <f aca="false">IF($E10="","",LEFT($E10,2))</f>
        <v/>
      </c>
      <c r="Z10" s="101" t="str">
        <f aca="false">IF($E10="","",LEFT($E10,3))</f>
        <v/>
      </c>
      <c r="AA10" s="101" t="str">
        <f aca="false">IF($E10="","",LEFT($E10,4))</f>
        <v/>
      </c>
    </row>
    <row r="11" customFormat="false" ht="15" hidden="false" customHeight="true" outlineLevel="0" collapsed="false">
      <c r="A11" s="484" t="str">
        <f aca="false">IF(DITARI!$D15="","",ROW()-1)</f>
        <v/>
      </c>
      <c r="B11" s="485" t="str">
        <f aca="false">IF(DITARI!$D15="","",DITARI!$A15)</f>
        <v/>
      </c>
      <c r="C11" s="484" t="str">
        <f aca="false">IF(DITARI!$D15="","",DITARI!$B15)</f>
        <v/>
      </c>
      <c r="D11" s="484" t="str">
        <f aca="false">IF(DITARI!$D15="","",DITARI!$C15)</f>
        <v/>
      </c>
      <c r="E11" s="484" t="str">
        <f aca="false">IF(DITARI!$D15="","",TRIM(DITARI!$D15&amp;""))</f>
        <v/>
      </c>
      <c r="F11" s="484" t="str">
        <f aca="false">IF($E11="","",IFERROR(VLOOKUP($E11,PLANI_LLOGARIVE!$A:$I,2,FALSE()),DITARI!$E15))</f>
        <v/>
      </c>
      <c r="G11" s="484" t="str">
        <f aca="false">IF($E11="","",DITARI!$I15)</f>
        <v/>
      </c>
      <c r="H11" s="486" t="str">
        <f aca="false">IFERROR(IF($E11="","",DITARI!$H15),"")</f>
        <v/>
      </c>
      <c r="I11" s="487" t="n">
        <f aca="false">IF($E11="",0,IFERROR(DITARI!$F15,0))</f>
        <v>0</v>
      </c>
      <c r="J11" s="487" t="n">
        <f aca="false">IF($E11="",0,IFERROR(DITARI!$G15,0))</f>
        <v>0</v>
      </c>
      <c r="K11" s="484" t="str">
        <f aca="false">IF($E11="","",IFERROR(VLOOKUP($E11,PLANI_LLOGARIVE!$A:$I,9,FALSE()),""))</f>
        <v/>
      </c>
      <c r="L11" s="487" t="str">
        <f aca="false">IF($E11="","",$I11-$J11)</f>
        <v/>
      </c>
      <c r="M11" s="484" t="str">
        <f aca="false">IF($E11="","",IF($I11&gt;0,"DEBIT",IF($J11&gt;0,"KREDIT","ZERO")))</f>
        <v/>
      </c>
      <c r="N11" s="484" t="str">
        <f aca="false">IF($E11="","",TEXT($B11,"yyyymmdd")&amp;"-"&amp;TEXT(ROW(),"0000"))</f>
        <v/>
      </c>
      <c r="O11" s="101" t="str">
        <f aca="false">IF($E11="","",$E11&amp;"")</f>
        <v/>
      </c>
      <c r="P11" s="101" t="str">
        <f aca="false">IF(AND($O11&lt;&gt;"",$I11&lt;&gt;0),COUNTIFS($O$2:O11,$O11,$I$2:I11,"&gt;0"),"")</f>
        <v/>
      </c>
      <c r="Q11" s="101" t="str">
        <f aca="false">IF(AND($O11&lt;&gt;"",$J11&lt;&gt;0),COUNTIFS($O$2:O11,$O11,$J$2:J11,"&gt;0"),"")</f>
        <v/>
      </c>
      <c r="R11" s="101" t="str">
        <f aca="false">IF($P11="","",$O11&amp;"|"&amp;$P11)</f>
        <v/>
      </c>
      <c r="S11" s="101" t="str">
        <f aca="false">IF($Q11="","",$O11&amp;"|"&amp;$Q11)</f>
        <v/>
      </c>
      <c r="T11" s="101" t="str">
        <f aca="false">IF($O11="","",COUNTIF($O$2:O11,$O11))</f>
        <v/>
      </c>
      <c r="U11" s="101" t="str">
        <f aca="false">IF($O11="","",$O11&amp;"|"&amp;$T11)</f>
        <v/>
      </c>
      <c r="V11" s="488" t="n">
        <f aca="false">IF(OR(LEFT($D11,5)="MB-CL",LEFT($D11,6)="MB-RES"),0,$I11)</f>
        <v>0</v>
      </c>
      <c r="W11" s="488" t="n">
        <f aca="false">IF(OR(LEFT($D11,5)="MB-CL",LEFT($D11,6)="MB-RES"),0,$J11)</f>
        <v>0</v>
      </c>
      <c r="X11" s="101" t="str">
        <f aca="false">IF($E11="","",LEFT($E11,1))</f>
        <v/>
      </c>
      <c r="Y11" s="101" t="str">
        <f aca="false">IF($E11="","",LEFT($E11,2))</f>
        <v/>
      </c>
      <c r="Z11" s="101" t="str">
        <f aca="false">IF($E11="","",LEFT($E11,3))</f>
        <v/>
      </c>
      <c r="AA11" s="101" t="str">
        <f aca="false">IF($E11="","",LEFT($E11,4))</f>
        <v/>
      </c>
    </row>
    <row r="12" customFormat="false" ht="15" hidden="false" customHeight="true" outlineLevel="0" collapsed="false">
      <c r="A12" s="484" t="str">
        <f aca="false">IF(DITARI!$D16="","",ROW()-1)</f>
        <v/>
      </c>
      <c r="B12" s="485" t="str">
        <f aca="false">IF(DITARI!$D16="","",DITARI!$A16)</f>
        <v/>
      </c>
      <c r="C12" s="484" t="str">
        <f aca="false">IF(DITARI!$D16="","",DITARI!$B16)</f>
        <v/>
      </c>
      <c r="D12" s="484" t="str">
        <f aca="false">IF(DITARI!$D16="","",DITARI!$C16)</f>
        <v/>
      </c>
      <c r="E12" s="484" t="str">
        <f aca="false">IF(DITARI!$D16="","",TRIM(DITARI!$D16&amp;""))</f>
        <v/>
      </c>
      <c r="F12" s="484" t="str">
        <f aca="false">IF($E12="","",IFERROR(VLOOKUP($E12,PLANI_LLOGARIVE!$A:$I,2,FALSE()),DITARI!$E16))</f>
        <v/>
      </c>
      <c r="G12" s="484" t="str">
        <f aca="false">IF($E12="","",DITARI!$I16)</f>
        <v/>
      </c>
      <c r="H12" s="486" t="str">
        <f aca="false">IFERROR(IF($E12="","",DITARI!$H16),"")</f>
        <v/>
      </c>
      <c r="I12" s="487" t="n">
        <f aca="false">IF($E12="",0,IFERROR(DITARI!$F16,0))</f>
        <v>0</v>
      </c>
      <c r="J12" s="487" t="n">
        <f aca="false">IF($E12="",0,IFERROR(DITARI!$G16,0))</f>
        <v>0</v>
      </c>
      <c r="K12" s="484" t="str">
        <f aca="false">IF($E12="","",IFERROR(VLOOKUP($E12,PLANI_LLOGARIVE!$A:$I,9,FALSE()),""))</f>
        <v/>
      </c>
      <c r="L12" s="487" t="str">
        <f aca="false">IF($E12="","",$I12-$J12)</f>
        <v/>
      </c>
      <c r="M12" s="484" t="str">
        <f aca="false">IF($E12="","",IF($I12&gt;0,"DEBIT",IF($J12&gt;0,"KREDIT","ZERO")))</f>
        <v/>
      </c>
      <c r="N12" s="484" t="str">
        <f aca="false">IF($E12="","",TEXT($B12,"yyyymmdd")&amp;"-"&amp;TEXT(ROW(),"0000"))</f>
        <v/>
      </c>
      <c r="O12" s="101" t="str">
        <f aca="false">IF($E12="","",$E12&amp;"")</f>
        <v/>
      </c>
      <c r="P12" s="101" t="str">
        <f aca="false">IF(AND($O12&lt;&gt;"",$I12&lt;&gt;0),COUNTIFS($O$2:O12,$O12,$I$2:I12,"&gt;0"),"")</f>
        <v/>
      </c>
      <c r="Q12" s="101" t="str">
        <f aca="false">IF(AND($O12&lt;&gt;"",$J12&lt;&gt;0),COUNTIFS($O$2:O12,$O12,$J$2:J12,"&gt;0"),"")</f>
        <v/>
      </c>
      <c r="R12" s="101" t="str">
        <f aca="false">IF($P12="","",$O12&amp;"|"&amp;$P12)</f>
        <v/>
      </c>
      <c r="S12" s="101" t="str">
        <f aca="false">IF($Q12="","",$O12&amp;"|"&amp;$Q12)</f>
        <v/>
      </c>
      <c r="T12" s="101" t="str">
        <f aca="false">IF($O12="","",COUNTIF($O$2:O12,$O12))</f>
        <v/>
      </c>
      <c r="U12" s="101" t="str">
        <f aca="false">IF($O12="","",$O12&amp;"|"&amp;$T12)</f>
        <v/>
      </c>
      <c r="V12" s="488" t="n">
        <f aca="false">IF(OR(LEFT($D12,5)="MB-CL",LEFT($D12,6)="MB-RES"),0,$I12)</f>
        <v>0</v>
      </c>
      <c r="W12" s="488" t="n">
        <f aca="false">IF(OR(LEFT($D12,5)="MB-CL",LEFT($D12,6)="MB-RES"),0,$J12)</f>
        <v>0</v>
      </c>
      <c r="X12" s="101" t="str">
        <f aca="false">IF($E12="","",LEFT($E12,1))</f>
        <v/>
      </c>
      <c r="Y12" s="101" t="str">
        <f aca="false">IF($E12="","",LEFT($E12,2))</f>
        <v/>
      </c>
      <c r="Z12" s="101" t="str">
        <f aca="false">IF($E12="","",LEFT($E12,3))</f>
        <v/>
      </c>
      <c r="AA12" s="101" t="str">
        <f aca="false">IF($E12="","",LEFT($E12,4))</f>
        <v/>
      </c>
    </row>
    <row r="13" customFormat="false" ht="15" hidden="false" customHeight="true" outlineLevel="0" collapsed="false">
      <c r="A13" s="484" t="str">
        <f aca="false">IF(DITARI!$D17="","",ROW()-1)</f>
        <v/>
      </c>
      <c r="B13" s="485" t="str">
        <f aca="false">IF(DITARI!$D17="","",DITARI!$A17)</f>
        <v/>
      </c>
      <c r="C13" s="484" t="str">
        <f aca="false">IF(DITARI!$D17="","",DITARI!$B17)</f>
        <v/>
      </c>
      <c r="D13" s="484" t="str">
        <f aca="false">IF(DITARI!$D17="","",DITARI!$C17)</f>
        <v/>
      </c>
      <c r="E13" s="484" t="str">
        <f aca="false">IF(DITARI!$D17="","",TRIM(DITARI!$D17&amp;""))</f>
        <v/>
      </c>
      <c r="F13" s="484" t="str">
        <f aca="false">IF($E13="","",IFERROR(VLOOKUP($E13,PLANI_LLOGARIVE!$A:$I,2,FALSE()),DITARI!$E17))</f>
        <v/>
      </c>
      <c r="G13" s="484" t="str">
        <f aca="false">IF($E13="","",DITARI!$I17)</f>
        <v/>
      </c>
      <c r="H13" s="486" t="str">
        <f aca="false">IFERROR(IF($E13="","",DITARI!$H17),"")</f>
        <v/>
      </c>
      <c r="I13" s="487" t="n">
        <f aca="false">IF($E13="",0,IFERROR(DITARI!$F17,0))</f>
        <v>0</v>
      </c>
      <c r="J13" s="487" t="n">
        <f aca="false">IF($E13="",0,IFERROR(DITARI!$G17,0))</f>
        <v>0</v>
      </c>
      <c r="K13" s="484" t="str">
        <f aca="false">IF($E13="","",IFERROR(VLOOKUP($E13,PLANI_LLOGARIVE!$A:$I,9,FALSE()),""))</f>
        <v/>
      </c>
      <c r="L13" s="487" t="str">
        <f aca="false">IF($E13="","",$I13-$J13)</f>
        <v/>
      </c>
      <c r="M13" s="484" t="str">
        <f aca="false">IF($E13="","",IF($I13&gt;0,"DEBIT",IF($J13&gt;0,"KREDIT","ZERO")))</f>
        <v/>
      </c>
      <c r="N13" s="484" t="str">
        <f aca="false">IF($E13="","",TEXT($B13,"yyyymmdd")&amp;"-"&amp;TEXT(ROW(),"0000"))</f>
        <v/>
      </c>
      <c r="O13" s="101" t="str">
        <f aca="false">IF($E13="","",$E13&amp;"")</f>
        <v/>
      </c>
      <c r="P13" s="101" t="str">
        <f aca="false">IF(AND($O13&lt;&gt;"",$I13&lt;&gt;0),COUNTIFS($O$2:O13,$O13,$I$2:I13,"&gt;0"),"")</f>
        <v/>
      </c>
      <c r="Q13" s="101" t="str">
        <f aca="false">IF(AND($O13&lt;&gt;"",$J13&lt;&gt;0),COUNTIFS($O$2:O13,$O13,$J$2:J13,"&gt;0"),"")</f>
        <v/>
      </c>
      <c r="R13" s="101" t="str">
        <f aca="false">IF($P13="","",$O13&amp;"|"&amp;$P13)</f>
        <v/>
      </c>
      <c r="S13" s="101" t="str">
        <f aca="false">IF($Q13="","",$O13&amp;"|"&amp;$Q13)</f>
        <v/>
      </c>
      <c r="T13" s="101" t="str">
        <f aca="false">IF($O13="","",COUNTIF($O$2:O13,$O13))</f>
        <v/>
      </c>
      <c r="U13" s="101" t="str">
        <f aca="false">IF($O13="","",$O13&amp;"|"&amp;$T13)</f>
        <v/>
      </c>
      <c r="V13" s="488" t="n">
        <f aca="false">IF(OR(LEFT($D13,5)="MB-CL",LEFT($D13,6)="MB-RES"),0,$I13)</f>
        <v>0</v>
      </c>
      <c r="W13" s="488" t="n">
        <f aca="false">IF(OR(LEFT($D13,5)="MB-CL",LEFT($D13,6)="MB-RES"),0,$J13)</f>
        <v>0</v>
      </c>
      <c r="X13" s="101" t="str">
        <f aca="false">IF($E13="","",LEFT($E13,1))</f>
        <v/>
      </c>
      <c r="Y13" s="101" t="str">
        <f aca="false">IF($E13="","",LEFT($E13,2))</f>
        <v/>
      </c>
      <c r="Z13" s="101" t="str">
        <f aca="false">IF($E13="","",LEFT($E13,3))</f>
        <v/>
      </c>
      <c r="AA13" s="101" t="str">
        <f aca="false">IF($E13="","",LEFT($E13,4))</f>
        <v/>
      </c>
    </row>
    <row r="14" customFormat="false" ht="15" hidden="false" customHeight="true" outlineLevel="0" collapsed="false">
      <c r="A14" s="484" t="str">
        <f aca="false">IF(DITARI!$D18="","",ROW()-1)</f>
        <v/>
      </c>
      <c r="B14" s="485" t="str">
        <f aca="false">IF(DITARI!$D18="","",DITARI!$A18)</f>
        <v/>
      </c>
      <c r="C14" s="484" t="str">
        <f aca="false">IF(DITARI!$D18="","",DITARI!$B18)</f>
        <v/>
      </c>
      <c r="D14" s="484" t="str">
        <f aca="false">IF(DITARI!$D18="","",DITARI!$C18)</f>
        <v/>
      </c>
      <c r="E14" s="484" t="str">
        <f aca="false">IF(DITARI!$D18="","",TRIM(DITARI!$D18&amp;""))</f>
        <v/>
      </c>
      <c r="F14" s="484" t="str">
        <f aca="false">IF($E14="","",IFERROR(VLOOKUP($E14,PLANI_LLOGARIVE!$A:$I,2,FALSE()),DITARI!$E18))</f>
        <v/>
      </c>
      <c r="G14" s="484" t="str">
        <f aca="false">IF($E14="","",DITARI!$I18)</f>
        <v/>
      </c>
      <c r="H14" s="486" t="str">
        <f aca="false">IFERROR(IF($E14="","",DITARI!$H18),"")</f>
        <v/>
      </c>
      <c r="I14" s="487" t="n">
        <f aca="false">IF($E14="",0,IFERROR(DITARI!$F18,0))</f>
        <v>0</v>
      </c>
      <c r="J14" s="487" t="n">
        <f aca="false">IF($E14="",0,IFERROR(DITARI!$G18,0))</f>
        <v>0</v>
      </c>
      <c r="K14" s="484" t="str">
        <f aca="false">IF($E14="","",IFERROR(VLOOKUP($E14,PLANI_LLOGARIVE!$A:$I,9,FALSE()),""))</f>
        <v/>
      </c>
      <c r="L14" s="487" t="str">
        <f aca="false">IF($E14="","",$I14-$J14)</f>
        <v/>
      </c>
      <c r="M14" s="484" t="str">
        <f aca="false">IF($E14="","",IF($I14&gt;0,"DEBIT",IF($J14&gt;0,"KREDIT","ZERO")))</f>
        <v/>
      </c>
      <c r="N14" s="484" t="str">
        <f aca="false">IF($E14="","",TEXT($B14,"yyyymmdd")&amp;"-"&amp;TEXT(ROW(),"0000"))</f>
        <v/>
      </c>
      <c r="O14" s="101" t="str">
        <f aca="false">IF($E14="","",$E14&amp;"")</f>
        <v/>
      </c>
      <c r="P14" s="101" t="str">
        <f aca="false">IF(AND($O14&lt;&gt;"",$I14&lt;&gt;0),COUNTIFS($O$2:O14,$O14,$I$2:I14,"&gt;0"),"")</f>
        <v/>
      </c>
      <c r="Q14" s="101" t="str">
        <f aca="false">IF(AND($O14&lt;&gt;"",$J14&lt;&gt;0),COUNTIFS($O$2:O14,$O14,$J$2:J14,"&gt;0"),"")</f>
        <v/>
      </c>
      <c r="R14" s="101" t="str">
        <f aca="false">IF($P14="","",$O14&amp;"|"&amp;$P14)</f>
        <v/>
      </c>
      <c r="S14" s="101" t="str">
        <f aca="false">IF($Q14="","",$O14&amp;"|"&amp;$Q14)</f>
        <v/>
      </c>
      <c r="T14" s="101" t="str">
        <f aca="false">IF($O14="","",COUNTIF($O$2:O14,$O14))</f>
        <v/>
      </c>
      <c r="U14" s="101" t="str">
        <f aca="false">IF($O14="","",$O14&amp;"|"&amp;$T14)</f>
        <v/>
      </c>
      <c r="V14" s="488" t="n">
        <f aca="false">IF(OR(LEFT($D14,5)="MB-CL",LEFT($D14,6)="MB-RES"),0,$I14)</f>
        <v>0</v>
      </c>
      <c r="W14" s="488" t="n">
        <f aca="false">IF(OR(LEFT($D14,5)="MB-CL",LEFT($D14,6)="MB-RES"),0,$J14)</f>
        <v>0</v>
      </c>
      <c r="X14" s="101" t="str">
        <f aca="false">IF($E14="","",LEFT($E14,1))</f>
        <v/>
      </c>
      <c r="Y14" s="101" t="str">
        <f aca="false">IF($E14="","",LEFT($E14,2))</f>
        <v/>
      </c>
      <c r="Z14" s="101" t="str">
        <f aca="false">IF($E14="","",LEFT($E14,3))</f>
        <v/>
      </c>
      <c r="AA14" s="101" t="str">
        <f aca="false">IF($E14="","",LEFT($E14,4))</f>
        <v/>
      </c>
    </row>
    <row r="15" customFormat="false" ht="15" hidden="false" customHeight="true" outlineLevel="0" collapsed="false">
      <c r="A15" s="484" t="str">
        <f aca="false">IF(DITARI!$D19="","",ROW()-1)</f>
        <v/>
      </c>
      <c r="B15" s="485" t="str">
        <f aca="false">IF(DITARI!$D19="","",DITARI!$A19)</f>
        <v/>
      </c>
      <c r="C15" s="484" t="str">
        <f aca="false">IF(DITARI!$D19="","",DITARI!$B19)</f>
        <v/>
      </c>
      <c r="D15" s="484" t="str">
        <f aca="false">IF(DITARI!$D19="","",DITARI!$C19)</f>
        <v/>
      </c>
      <c r="E15" s="484" t="str">
        <f aca="false">IF(DITARI!$D19="","",TRIM(DITARI!$D19&amp;""))</f>
        <v/>
      </c>
      <c r="F15" s="484" t="str">
        <f aca="false">IF($E15="","",IFERROR(VLOOKUP($E15,PLANI_LLOGARIVE!$A:$I,2,FALSE()),DITARI!$E19))</f>
        <v/>
      </c>
      <c r="G15" s="484" t="str">
        <f aca="false">IF($E15="","",DITARI!$I19)</f>
        <v/>
      </c>
      <c r="H15" s="486" t="str">
        <f aca="false">IFERROR(IF($E15="","",DITARI!$H19),"")</f>
        <v/>
      </c>
      <c r="I15" s="487" t="n">
        <f aca="false">IF($E15="",0,IFERROR(DITARI!$F19,0))</f>
        <v>0</v>
      </c>
      <c r="J15" s="487" t="n">
        <f aca="false">IF($E15="",0,IFERROR(DITARI!$G19,0))</f>
        <v>0</v>
      </c>
      <c r="K15" s="484" t="str">
        <f aca="false">IF($E15="","",IFERROR(VLOOKUP($E15,PLANI_LLOGARIVE!$A:$I,9,FALSE()),""))</f>
        <v/>
      </c>
      <c r="L15" s="487" t="str">
        <f aca="false">IF($E15="","",$I15-$J15)</f>
        <v/>
      </c>
      <c r="M15" s="484" t="str">
        <f aca="false">IF($E15="","",IF($I15&gt;0,"DEBIT",IF($J15&gt;0,"KREDIT","ZERO")))</f>
        <v/>
      </c>
      <c r="N15" s="484" t="str">
        <f aca="false">IF($E15="","",TEXT($B15,"yyyymmdd")&amp;"-"&amp;TEXT(ROW(),"0000"))</f>
        <v/>
      </c>
      <c r="O15" s="101" t="str">
        <f aca="false">IF($E15="","",$E15&amp;"")</f>
        <v/>
      </c>
      <c r="P15" s="101" t="str">
        <f aca="false">IF(AND($O15&lt;&gt;"",$I15&lt;&gt;0),COUNTIFS($O$2:O15,$O15,$I$2:I15,"&gt;0"),"")</f>
        <v/>
      </c>
      <c r="Q15" s="101" t="str">
        <f aca="false">IF(AND($O15&lt;&gt;"",$J15&lt;&gt;0),COUNTIFS($O$2:O15,$O15,$J$2:J15,"&gt;0"),"")</f>
        <v/>
      </c>
      <c r="R15" s="101" t="str">
        <f aca="false">IF($P15="","",$O15&amp;"|"&amp;$P15)</f>
        <v/>
      </c>
      <c r="S15" s="101" t="str">
        <f aca="false">IF($Q15="","",$O15&amp;"|"&amp;$Q15)</f>
        <v/>
      </c>
      <c r="T15" s="101" t="str">
        <f aca="false">IF($O15="","",COUNTIF($O$2:O15,$O15))</f>
        <v/>
      </c>
      <c r="U15" s="101" t="str">
        <f aca="false">IF($O15="","",$O15&amp;"|"&amp;$T15)</f>
        <v/>
      </c>
      <c r="V15" s="488" t="n">
        <f aca="false">IF(OR(LEFT($D15,5)="MB-CL",LEFT($D15,6)="MB-RES"),0,$I15)</f>
        <v>0</v>
      </c>
      <c r="W15" s="488" t="n">
        <f aca="false">IF(OR(LEFT($D15,5)="MB-CL",LEFT($D15,6)="MB-RES"),0,$J15)</f>
        <v>0</v>
      </c>
      <c r="X15" s="101" t="str">
        <f aca="false">IF($E15="","",LEFT($E15,1))</f>
        <v/>
      </c>
      <c r="Y15" s="101" t="str">
        <f aca="false">IF($E15="","",LEFT($E15,2))</f>
        <v/>
      </c>
      <c r="Z15" s="101" t="str">
        <f aca="false">IF($E15="","",LEFT($E15,3))</f>
        <v/>
      </c>
      <c r="AA15" s="101" t="str">
        <f aca="false">IF($E15="","",LEFT($E15,4))</f>
        <v/>
      </c>
    </row>
    <row r="16" customFormat="false" ht="15" hidden="false" customHeight="true" outlineLevel="0" collapsed="false">
      <c r="A16" s="484" t="str">
        <f aca="false">IF(DITARI!$D20="","",ROW()-1)</f>
        <v/>
      </c>
      <c r="B16" s="485" t="str">
        <f aca="false">IF(DITARI!$D20="","",DITARI!$A20)</f>
        <v/>
      </c>
      <c r="C16" s="484" t="str">
        <f aca="false">IF(DITARI!$D20="","",DITARI!$B20)</f>
        <v/>
      </c>
      <c r="D16" s="484" t="str">
        <f aca="false">IF(DITARI!$D20="","",DITARI!$C20)</f>
        <v/>
      </c>
      <c r="E16" s="484" t="str">
        <f aca="false">IF(DITARI!$D20="","",TRIM(DITARI!$D20&amp;""))</f>
        <v/>
      </c>
      <c r="F16" s="484" t="str">
        <f aca="false">IF($E16="","",IFERROR(VLOOKUP($E16,PLANI_LLOGARIVE!$A:$I,2,FALSE()),DITARI!$E20))</f>
        <v/>
      </c>
      <c r="G16" s="484" t="str">
        <f aca="false">IF($E16="","",DITARI!$I20)</f>
        <v/>
      </c>
      <c r="H16" s="486" t="str">
        <f aca="false">IFERROR(IF($E16="","",DITARI!$H20),"")</f>
        <v/>
      </c>
      <c r="I16" s="487" t="n">
        <f aca="false">IF($E16="",0,IFERROR(DITARI!$F20,0))</f>
        <v>0</v>
      </c>
      <c r="J16" s="487" t="n">
        <f aca="false">IF($E16="",0,IFERROR(DITARI!$G20,0))</f>
        <v>0</v>
      </c>
      <c r="K16" s="484" t="str">
        <f aca="false">IF($E16="","",IFERROR(VLOOKUP($E16,PLANI_LLOGARIVE!$A:$I,9,FALSE()),""))</f>
        <v/>
      </c>
      <c r="L16" s="487" t="str">
        <f aca="false">IF($E16="","",$I16-$J16)</f>
        <v/>
      </c>
      <c r="M16" s="484" t="str">
        <f aca="false">IF($E16="","",IF($I16&gt;0,"DEBIT",IF($J16&gt;0,"KREDIT","ZERO")))</f>
        <v/>
      </c>
      <c r="N16" s="484" t="str">
        <f aca="false">IF($E16="","",TEXT($B16,"yyyymmdd")&amp;"-"&amp;TEXT(ROW(),"0000"))</f>
        <v/>
      </c>
      <c r="O16" s="101" t="str">
        <f aca="false">IF($E16="","",$E16&amp;"")</f>
        <v/>
      </c>
      <c r="P16" s="101" t="str">
        <f aca="false">IF(AND($O16&lt;&gt;"",$I16&lt;&gt;0),COUNTIFS($O$2:O16,$O16,$I$2:I16,"&gt;0"),"")</f>
        <v/>
      </c>
      <c r="Q16" s="101" t="str">
        <f aca="false">IF(AND($O16&lt;&gt;"",$J16&lt;&gt;0),COUNTIFS($O$2:O16,$O16,$J$2:J16,"&gt;0"),"")</f>
        <v/>
      </c>
      <c r="R16" s="101" t="str">
        <f aca="false">IF($P16="","",$O16&amp;"|"&amp;$P16)</f>
        <v/>
      </c>
      <c r="S16" s="101" t="str">
        <f aca="false">IF($Q16="","",$O16&amp;"|"&amp;$Q16)</f>
        <v/>
      </c>
      <c r="T16" s="101" t="str">
        <f aca="false">IF($O16="","",COUNTIF($O$2:O16,$O16))</f>
        <v/>
      </c>
      <c r="U16" s="101" t="str">
        <f aca="false">IF($O16="","",$O16&amp;"|"&amp;$T16)</f>
        <v/>
      </c>
      <c r="V16" s="488" t="n">
        <f aca="false">IF(OR(LEFT($D16,5)="MB-CL",LEFT($D16,6)="MB-RES"),0,$I16)</f>
        <v>0</v>
      </c>
      <c r="W16" s="488" t="n">
        <f aca="false">IF(OR(LEFT($D16,5)="MB-CL",LEFT($D16,6)="MB-RES"),0,$J16)</f>
        <v>0</v>
      </c>
      <c r="X16" s="101" t="str">
        <f aca="false">IF($E16="","",LEFT($E16,1))</f>
        <v/>
      </c>
      <c r="Y16" s="101" t="str">
        <f aca="false">IF($E16="","",LEFT($E16,2))</f>
        <v/>
      </c>
      <c r="Z16" s="101" t="str">
        <f aca="false">IF($E16="","",LEFT($E16,3))</f>
        <v/>
      </c>
      <c r="AA16" s="101" t="str">
        <f aca="false">IF($E16="","",LEFT($E16,4))</f>
        <v/>
      </c>
    </row>
    <row r="17" customFormat="false" ht="15" hidden="false" customHeight="true" outlineLevel="0" collapsed="false">
      <c r="A17" s="484" t="str">
        <f aca="false">IF(DITARI!$D21="","",ROW()-1)</f>
        <v/>
      </c>
      <c r="B17" s="485" t="str">
        <f aca="false">IF(DITARI!$D21="","",DITARI!$A21)</f>
        <v/>
      </c>
      <c r="C17" s="484" t="str">
        <f aca="false">IF(DITARI!$D21="","",DITARI!$B21)</f>
        <v/>
      </c>
      <c r="D17" s="484" t="str">
        <f aca="false">IF(DITARI!$D21="","",DITARI!$C21)</f>
        <v/>
      </c>
      <c r="E17" s="484" t="str">
        <f aca="false">IF(DITARI!$D21="","",TRIM(DITARI!$D21&amp;""))</f>
        <v/>
      </c>
      <c r="F17" s="484" t="str">
        <f aca="false">IF($E17="","",IFERROR(VLOOKUP($E17,PLANI_LLOGARIVE!$A:$I,2,FALSE()),DITARI!$E21))</f>
        <v/>
      </c>
      <c r="G17" s="484" t="str">
        <f aca="false">IF($E17="","",DITARI!$I21)</f>
        <v/>
      </c>
      <c r="H17" s="486" t="str">
        <f aca="false">IFERROR(IF($E17="","",DITARI!$H21),"")</f>
        <v/>
      </c>
      <c r="I17" s="487" t="n">
        <f aca="false">IF($E17="",0,IFERROR(DITARI!$F21,0))</f>
        <v>0</v>
      </c>
      <c r="J17" s="487" t="n">
        <f aca="false">IF($E17="",0,IFERROR(DITARI!$G21,0))</f>
        <v>0</v>
      </c>
      <c r="K17" s="484" t="str">
        <f aca="false">IF($E17="","",IFERROR(VLOOKUP($E17,PLANI_LLOGARIVE!$A:$I,9,FALSE()),""))</f>
        <v/>
      </c>
      <c r="L17" s="487" t="str">
        <f aca="false">IF($E17="","",$I17-$J17)</f>
        <v/>
      </c>
      <c r="M17" s="484" t="str">
        <f aca="false">IF($E17="","",IF($I17&gt;0,"DEBIT",IF($J17&gt;0,"KREDIT","ZERO")))</f>
        <v/>
      </c>
      <c r="N17" s="484" t="str">
        <f aca="false">IF($E17="","",TEXT($B17,"yyyymmdd")&amp;"-"&amp;TEXT(ROW(),"0000"))</f>
        <v/>
      </c>
      <c r="O17" s="101" t="str">
        <f aca="false">IF($E17="","",$E17&amp;"")</f>
        <v/>
      </c>
      <c r="P17" s="101" t="str">
        <f aca="false">IF(AND($O17&lt;&gt;"",$I17&lt;&gt;0),COUNTIFS($O$2:O17,$O17,$I$2:I17,"&gt;0"),"")</f>
        <v/>
      </c>
      <c r="Q17" s="101" t="str">
        <f aca="false">IF(AND($O17&lt;&gt;"",$J17&lt;&gt;0),COUNTIFS($O$2:O17,$O17,$J$2:J17,"&gt;0"),"")</f>
        <v/>
      </c>
      <c r="R17" s="101" t="str">
        <f aca="false">IF($P17="","",$O17&amp;"|"&amp;$P17)</f>
        <v/>
      </c>
      <c r="S17" s="101" t="str">
        <f aca="false">IF($Q17="","",$O17&amp;"|"&amp;$Q17)</f>
        <v/>
      </c>
      <c r="T17" s="101" t="str">
        <f aca="false">IF($O17="","",COUNTIF($O$2:O17,$O17))</f>
        <v/>
      </c>
      <c r="U17" s="101" t="str">
        <f aca="false">IF($O17="","",$O17&amp;"|"&amp;$T17)</f>
        <v/>
      </c>
      <c r="V17" s="488" t="n">
        <f aca="false">IF(OR(LEFT($D17,5)="MB-CL",LEFT($D17,6)="MB-RES"),0,$I17)</f>
        <v>0</v>
      </c>
      <c r="W17" s="488" t="n">
        <f aca="false">IF(OR(LEFT($D17,5)="MB-CL",LEFT($D17,6)="MB-RES"),0,$J17)</f>
        <v>0</v>
      </c>
      <c r="X17" s="101" t="str">
        <f aca="false">IF($E17="","",LEFT($E17,1))</f>
        <v/>
      </c>
      <c r="Y17" s="101" t="str">
        <f aca="false">IF($E17="","",LEFT($E17,2))</f>
        <v/>
      </c>
      <c r="Z17" s="101" t="str">
        <f aca="false">IF($E17="","",LEFT($E17,3))</f>
        <v/>
      </c>
      <c r="AA17" s="101" t="str">
        <f aca="false">IF($E17="","",LEFT($E17,4))</f>
        <v/>
      </c>
    </row>
    <row r="18" customFormat="false" ht="15" hidden="false" customHeight="true" outlineLevel="0" collapsed="false">
      <c r="A18" s="484" t="str">
        <f aca="false">IF(DITARI!$D22="","",ROW()-1)</f>
        <v/>
      </c>
      <c r="B18" s="485" t="str">
        <f aca="false">IF(DITARI!$D22="","",DITARI!$A22)</f>
        <v/>
      </c>
      <c r="C18" s="484" t="str">
        <f aca="false">IF(DITARI!$D22="","",DITARI!$B22)</f>
        <v/>
      </c>
      <c r="D18" s="484" t="str">
        <f aca="false">IF(DITARI!$D22="","",DITARI!$C22)</f>
        <v/>
      </c>
      <c r="E18" s="484" t="str">
        <f aca="false">IF(DITARI!$D22="","",TRIM(DITARI!$D22&amp;""))</f>
        <v/>
      </c>
      <c r="F18" s="484" t="str">
        <f aca="false">IF($E18="","",IFERROR(VLOOKUP($E18,PLANI_LLOGARIVE!$A:$I,2,FALSE()),DITARI!$E22))</f>
        <v/>
      </c>
      <c r="G18" s="484" t="str">
        <f aca="false">IF($E18="","",DITARI!$I22)</f>
        <v/>
      </c>
      <c r="H18" s="486" t="str">
        <f aca="false">IFERROR(IF($E18="","",DITARI!$H22),"")</f>
        <v/>
      </c>
      <c r="I18" s="487" t="n">
        <f aca="false">IF($E18="",0,IFERROR(DITARI!$F22,0))</f>
        <v>0</v>
      </c>
      <c r="J18" s="487" t="n">
        <f aca="false">IF($E18="",0,IFERROR(DITARI!$G22,0))</f>
        <v>0</v>
      </c>
      <c r="K18" s="484" t="str">
        <f aca="false">IF($E18="","",IFERROR(VLOOKUP($E18,PLANI_LLOGARIVE!$A:$I,9,FALSE()),""))</f>
        <v/>
      </c>
      <c r="L18" s="487" t="str">
        <f aca="false">IF($E18="","",$I18-$J18)</f>
        <v/>
      </c>
      <c r="M18" s="484" t="str">
        <f aca="false">IF($E18="","",IF($I18&gt;0,"DEBIT",IF($J18&gt;0,"KREDIT","ZERO")))</f>
        <v/>
      </c>
      <c r="N18" s="484" t="str">
        <f aca="false">IF($E18="","",TEXT($B18,"yyyymmdd")&amp;"-"&amp;TEXT(ROW(),"0000"))</f>
        <v/>
      </c>
      <c r="O18" s="101" t="str">
        <f aca="false">IF($E18="","",$E18&amp;"")</f>
        <v/>
      </c>
      <c r="P18" s="101" t="str">
        <f aca="false">IF(AND($O18&lt;&gt;"",$I18&lt;&gt;0),COUNTIFS($O$2:O18,$O18,$I$2:I18,"&gt;0"),"")</f>
        <v/>
      </c>
      <c r="Q18" s="101" t="str">
        <f aca="false">IF(AND($O18&lt;&gt;"",$J18&lt;&gt;0),COUNTIFS($O$2:O18,$O18,$J$2:J18,"&gt;0"),"")</f>
        <v/>
      </c>
      <c r="R18" s="101" t="str">
        <f aca="false">IF($P18="","",$O18&amp;"|"&amp;$P18)</f>
        <v/>
      </c>
      <c r="S18" s="101" t="str">
        <f aca="false">IF($Q18="","",$O18&amp;"|"&amp;$Q18)</f>
        <v/>
      </c>
      <c r="T18" s="101" t="str">
        <f aca="false">IF($O18="","",COUNTIF($O$2:O18,$O18))</f>
        <v/>
      </c>
      <c r="U18" s="101" t="str">
        <f aca="false">IF($O18="","",$O18&amp;"|"&amp;$T18)</f>
        <v/>
      </c>
      <c r="V18" s="488" t="n">
        <f aca="false">IF(OR(LEFT($D18,5)="MB-CL",LEFT($D18,6)="MB-RES"),0,$I18)</f>
        <v>0</v>
      </c>
      <c r="W18" s="488" t="n">
        <f aca="false">IF(OR(LEFT($D18,5)="MB-CL",LEFT($D18,6)="MB-RES"),0,$J18)</f>
        <v>0</v>
      </c>
      <c r="X18" s="101" t="str">
        <f aca="false">IF($E18="","",LEFT($E18,1))</f>
        <v/>
      </c>
      <c r="Y18" s="101" t="str">
        <f aca="false">IF($E18="","",LEFT($E18,2))</f>
        <v/>
      </c>
      <c r="Z18" s="101" t="str">
        <f aca="false">IF($E18="","",LEFT($E18,3))</f>
        <v/>
      </c>
      <c r="AA18" s="101" t="str">
        <f aca="false">IF($E18="","",LEFT($E18,4))</f>
        <v/>
      </c>
    </row>
    <row r="19" customFormat="false" ht="15" hidden="false" customHeight="true" outlineLevel="0" collapsed="false">
      <c r="A19" s="484" t="str">
        <f aca="false">IF(DITARI!$D23="","",ROW()-1)</f>
        <v/>
      </c>
      <c r="B19" s="485" t="str">
        <f aca="false">IF(DITARI!$D23="","",DITARI!$A23)</f>
        <v/>
      </c>
      <c r="C19" s="484" t="str">
        <f aca="false">IF(DITARI!$D23="","",DITARI!$B23)</f>
        <v/>
      </c>
      <c r="D19" s="484" t="str">
        <f aca="false">IF(DITARI!$D23="","",DITARI!$C23)</f>
        <v/>
      </c>
      <c r="E19" s="484" t="str">
        <f aca="false">IF(DITARI!$D23="","",TRIM(DITARI!$D23&amp;""))</f>
        <v/>
      </c>
      <c r="F19" s="484" t="str">
        <f aca="false">IF($E19="","",IFERROR(VLOOKUP($E19,PLANI_LLOGARIVE!$A:$I,2,FALSE()),DITARI!$E23))</f>
        <v/>
      </c>
      <c r="G19" s="484" t="str">
        <f aca="false">IF($E19="","",DITARI!$I23)</f>
        <v/>
      </c>
      <c r="H19" s="486" t="str">
        <f aca="false">IFERROR(IF($E19="","",DITARI!$H23),"")</f>
        <v/>
      </c>
      <c r="I19" s="487" t="n">
        <f aca="false">IF($E19="",0,IFERROR(DITARI!$F23,0))</f>
        <v>0</v>
      </c>
      <c r="J19" s="487" t="n">
        <f aca="false">IF($E19="",0,IFERROR(DITARI!$G23,0))</f>
        <v>0</v>
      </c>
      <c r="K19" s="484" t="str">
        <f aca="false">IF($E19="","",IFERROR(VLOOKUP($E19,PLANI_LLOGARIVE!$A:$I,9,FALSE()),""))</f>
        <v/>
      </c>
      <c r="L19" s="487" t="str">
        <f aca="false">IF($E19="","",$I19-$J19)</f>
        <v/>
      </c>
      <c r="M19" s="484" t="str">
        <f aca="false">IF($E19="","",IF($I19&gt;0,"DEBIT",IF($J19&gt;0,"KREDIT","ZERO")))</f>
        <v/>
      </c>
      <c r="N19" s="484" t="str">
        <f aca="false">IF($E19="","",TEXT($B19,"yyyymmdd")&amp;"-"&amp;TEXT(ROW(),"0000"))</f>
        <v/>
      </c>
      <c r="O19" s="101" t="str">
        <f aca="false">IF($E19="","",$E19&amp;"")</f>
        <v/>
      </c>
      <c r="P19" s="101" t="str">
        <f aca="false">IF(AND($O19&lt;&gt;"",$I19&lt;&gt;0),COUNTIFS($O$2:O19,$O19,$I$2:I19,"&gt;0"),"")</f>
        <v/>
      </c>
      <c r="Q19" s="101" t="str">
        <f aca="false">IF(AND($O19&lt;&gt;"",$J19&lt;&gt;0),COUNTIFS($O$2:O19,$O19,$J$2:J19,"&gt;0"),"")</f>
        <v/>
      </c>
      <c r="R19" s="101" t="str">
        <f aca="false">IF($P19="","",$O19&amp;"|"&amp;$P19)</f>
        <v/>
      </c>
      <c r="S19" s="101" t="str">
        <f aca="false">IF($Q19="","",$O19&amp;"|"&amp;$Q19)</f>
        <v/>
      </c>
      <c r="T19" s="101" t="str">
        <f aca="false">IF($O19="","",COUNTIF($O$2:O19,$O19))</f>
        <v/>
      </c>
      <c r="U19" s="101" t="str">
        <f aca="false">IF($O19="","",$O19&amp;"|"&amp;$T19)</f>
        <v/>
      </c>
      <c r="V19" s="488" t="n">
        <f aca="false">IF(OR(LEFT($D19,5)="MB-CL",LEFT($D19,6)="MB-RES"),0,$I19)</f>
        <v>0</v>
      </c>
      <c r="W19" s="488" t="n">
        <f aca="false">IF(OR(LEFT($D19,5)="MB-CL",LEFT($D19,6)="MB-RES"),0,$J19)</f>
        <v>0</v>
      </c>
      <c r="X19" s="101" t="str">
        <f aca="false">IF($E19="","",LEFT($E19,1))</f>
        <v/>
      </c>
      <c r="Y19" s="101" t="str">
        <f aca="false">IF($E19="","",LEFT($E19,2))</f>
        <v/>
      </c>
      <c r="Z19" s="101" t="str">
        <f aca="false">IF($E19="","",LEFT($E19,3))</f>
        <v/>
      </c>
      <c r="AA19" s="101" t="str">
        <f aca="false">IF($E19="","",LEFT($E19,4))</f>
        <v/>
      </c>
    </row>
    <row r="20" customFormat="false" ht="15" hidden="false" customHeight="true" outlineLevel="0" collapsed="false">
      <c r="A20" s="484" t="str">
        <f aca="false">IF(DITARI!$D24="","",ROW()-1)</f>
        <v/>
      </c>
      <c r="B20" s="485" t="str">
        <f aca="false">IF(DITARI!$D24="","",DITARI!$A24)</f>
        <v/>
      </c>
      <c r="C20" s="484" t="str">
        <f aca="false">IF(DITARI!$D24="","",DITARI!$B24)</f>
        <v/>
      </c>
      <c r="D20" s="484" t="str">
        <f aca="false">IF(DITARI!$D24="","",DITARI!$C24)</f>
        <v/>
      </c>
      <c r="E20" s="484" t="str">
        <f aca="false">IF(DITARI!$D24="","",TRIM(DITARI!$D24&amp;""))</f>
        <v/>
      </c>
      <c r="F20" s="484" t="str">
        <f aca="false">IF($E20="","",IFERROR(VLOOKUP($E20,PLANI_LLOGARIVE!$A:$I,2,FALSE()),DITARI!$E24))</f>
        <v/>
      </c>
      <c r="G20" s="484" t="str">
        <f aca="false">IF($E20="","",DITARI!$I24)</f>
        <v/>
      </c>
      <c r="H20" s="486" t="str">
        <f aca="false">IFERROR(IF($E20="","",DITARI!$H24),"")</f>
        <v/>
      </c>
      <c r="I20" s="487" t="n">
        <f aca="false">IF($E20="",0,IFERROR(DITARI!$F24,0))</f>
        <v>0</v>
      </c>
      <c r="J20" s="487" t="n">
        <f aca="false">IF($E20="",0,IFERROR(DITARI!$G24,0))</f>
        <v>0</v>
      </c>
      <c r="K20" s="484" t="str">
        <f aca="false">IF($E20="","",IFERROR(VLOOKUP($E20,PLANI_LLOGARIVE!$A:$I,9,FALSE()),""))</f>
        <v/>
      </c>
      <c r="L20" s="487" t="str">
        <f aca="false">IF($E20="","",$I20-$J20)</f>
        <v/>
      </c>
      <c r="M20" s="484" t="str">
        <f aca="false">IF($E20="","",IF($I20&gt;0,"DEBIT",IF($J20&gt;0,"KREDIT","ZERO")))</f>
        <v/>
      </c>
      <c r="N20" s="484" t="str">
        <f aca="false">IF($E20="","",TEXT($B20,"yyyymmdd")&amp;"-"&amp;TEXT(ROW(),"0000"))</f>
        <v/>
      </c>
      <c r="O20" s="101" t="str">
        <f aca="false">IF($E20="","",$E20&amp;"")</f>
        <v/>
      </c>
      <c r="P20" s="101" t="str">
        <f aca="false">IF(AND($O20&lt;&gt;"",$I20&lt;&gt;0),COUNTIFS($O$2:O20,$O20,$I$2:I20,"&gt;0"),"")</f>
        <v/>
      </c>
      <c r="Q20" s="101" t="str">
        <f aca="false">IF(AND($O20&lt;&gt;"",$J20&lt;&gt;0),COUNTIFS($O$2:O20,$O20,$J$2:J20,"&gt;0"),"")</f>
        <v/>
      </c>
      <c r="R20" s="101" t="str">
        <f aca="false">IF($P20="","",$O20&amp;"|"&amp;$P20)</f>
        <v/>
      </c>
      <c r="S20" s="101" t="str">
        <f aca="false">IF($Q20="","",$O20&amp;"|"&amp;$Q20)</f>
        <v/>
      </c>
      <c r="T20" s="101" t="str">
        <f aca="false">IF($O20="","",COUNTIF($O$2:O20,$O20))</f>
        <v/>
      </c>
      <c r="U20" s="101" t="str">
        <f aca="false">IF($O20="","",$O20&amp;"|"&amp;$T20)</f>
        <v/>
      </c>
      <c r="V20" s="488" t="n">
        <f aca="false">IF(OR(LEFT($D20,5)="MB-CL",LEFT($D20,6)="MB-RES"),0,$I20)</f>
        <v>0</v>
      </c>
      <c r="W20" s="488" t="n">
        <f aca="false">IF(OR(LEFT($D20,5)="MB-CL",LEFT($D20,6)="MB-RES"),0,$J20)</f>
        <v>0</v>
      </c>
      <c r="X20" s="101" t="str">
        <f aca="false">IF($E20="","",LEFT($E20,1))</f>
        <v/>
      </c>
      <c r="Y20" s="101" t="str">
        <f aca="false">IF($E20="","",LEFT($E20,2))</f>
        <v/>
      </c>
      <c r="Z20" s="101" t="str">
        <f aca="false">IF($E20="","",LEFT($E20,3))</f>
        <v/>
      </c>
      <c r="AA20" s="101" t="str">
        <f aca="false">IF($E20="","",LEFT($E20,4))</f>
        <v/>
      </c>
    </row>
    <row r="21" customFormat="false" ht="15" hidden="false" customHeight="true" outlineLevel="0" collapsed="false">
      <c r="A21" s="484" t="str">
        <f aca="false">IF(DITARI!$D25="","",ROW()-1)</f>
        <v/>
      </c>
      <c r="B21" s="485" t="str">
        <f aca="false">IF(DITARI!$D25="","",DITARI!$A25)</f>
        <v/>
      </c>
      <c r="C21" s="484" t="str">
        <f aca="false">IF(DITARI!$D25="","",DITARI!$B25)</f>
        <v/>
      </c>
      <c r="D21" s="484" t="str">
        <f aca="false">IF(DITARI!$D25="","",DITARI!$C25)</f>
        <v/>
      </c>
      <c r="E21" s="484" t="str">
        <f aca="false">IF(DITARI!$D25="","",TRIM(DITARI!$D25&amp;""))</f>
        <v/>
      </c>
      <c r="F21" s="484" t="str">
        <f aca="false">IF($E21="","",IFERROR(VLOOKUP($E21,PLANI_LLOGARIVE!$A:$I,2,FALSE()),DITARI!$E25))</f>
        <v/>
      </c>
      <c r="G21" s="484" t="str">
        <f aca="false">IF($E21="","",DITARI!$I25)</f>
        <v/>
      </c>
      <c r="H21" s="486" t="str">
        <f aca="false">IFERROR(IF($E21="","",DITARI!$H25),"")</f>
        <v/>
      </c>
      <c r="I21" s="487" t="n">
        <f aca="false">IF($E21="",0,IFERROR(DITARI!$F25,0))</f>
        <v>0</v>
      </c>
      <c r="J21" s="487" t="n">
        <f aca="false">IF($E21="",0,IFERROR(DITARI!$G25,0))</f>
        <v>0</v>
      </c>
      <c r="K21" s="484" t="str">
        <f aca="false">IF($E21="","",IFERROR(VLOOKUP($E21,PLANI_LLOGARIVE!$A:$I,9,FALSE()),""))</f>
        <v/>
      </c>
      <c r="L21" s="487" t="str">
        <f aca="false">IF($E21="","",$I21-$J21)</f>
        <v/>
      </c>
      <c r="M21" s="484" t="str">
        <f aca="false">IF($E21="","",IF($I21&gt;0,"DEBIT",IF($J21&gt;0,"KREDIT","ZERO")))</f>
        <v/>
      </c>
      <c r="N21" s="484" t="str">
        <f aca="false">IF($E21="","",TEXT($B21,"yyyymmdd")&amp;"-"&amp;TEXT(ROW(),"0000"))</f>
        <v/>
      </c>
      <c r="O21" s="101" t="str">
        <f aca="false">IF($E21="","",$E21&amp;"")</f>
        <v/>
      </c>
      <c r="P21" s="101" t="str">
        <f aca="false">IF(AND($O21&lt;&gt;"",$I21&lt;&gt;0),COUNTIFS($O$2:O21,$O21,$I$2:I21,"&gt;0"),"")</f>
        <v/>
      </c>
      <c r="Q21" s="101" t="str">
        <f aca="false">IF(AND($O21&lt;&gt;"",$J21&lt;&gt;0),COUNTIFS($O$2:O21,$O21,$J$2:J21,"&gt;0"),"")</f>
        <v/>
      </c>
      <c r="R21" s="101" t="str">
        <f aca="false">IF($P21="","",$O21&amp;"|"&amp;$P21)</f>
        <v/>
      </c>
      <c r="S21" s="101" t="str">
        <f aca="false">IF($Q21="","",$O21&amp;"|"&amp;$Q21)</f>
        <v/>
      </c>
      <c r="T21" s="101" t="str">
        <f aca="false">IF($O21="","",COUNTIF($O$2:O21,$O21))</f>
        <v/>
      </c>
      <c r="U21" s="101" t="str">
        <f aca="false">IF($O21="","",$O21&amp;"|"&amp;$T21)</f>
        <v/>
      </c>
      <c r="V21" s="488" t="n">
        <f aca="false">IF(OR(LEFT($D21,5)="MB-CL",LEFT($D21,6)="MB-RES"),0,$I21)</f>
        <v>0</v>
      </c>
      <c r="W21" s="488" t="n">
        <f aca="false">IF(OR(LEFT($D21,5)="MB-CL",LEFT($D21,6)="MB-RES"),0,$J21)</f>
        <v>0</v>
      </c>
      <c r="X21" s="101" t="str">
        <f aca="false">IF($E21="","",LEFT($E21,1))</f>
        <v/>
      </c>
      <c r="Y21" s="101" t="str">
        <f aca="false">IF($E21="","",LEFT($E21,2))</f>
        <v/>
      </c>
      <c r="Z21" s="101" t="str">
        <f aca="false">IF($E21="","",LEFT($E21,3))</f>
        <v/>
      </c>
      <c r="AA21" s="101" t="str">
        <f aca="false">IF($E21="","",LEFT($E21,4))</f>
        <v/>
      </c>
    </row>
    <row r="22" customFormat="false" ht="15" hidden="false" customHeight="true" outlineLevel="0" collapsed="false">
      <c r="A22" s="484" t="str">
        <f aca="false">IF(DITARI!$D26="","",ROW()-1)</f>
        <v/>
      </c>
      <c r="B22" s="485" t="str">
        <f aca="false">IF(DITARI!$D26="","",DITARI!$A26)</f>
        <v/>
      </c>
      <c r="C22" s="484" t="str">
        <f aca="false">IF(DITARI!$D26="","",DITARI!$B26)</f>
        <v/>
      </c>
      <c r="D22" s="484" t="str">
        <f aca="false">IF(DITARI!$D26="","",DITARI!$C26)</f>
        <v/>
      </c>
      <c r="E22" s="484" t="str">
        <f aca="false">IF(DITARI!$D26="","",TRIM(DITARI!$D26&amp;""))</f>
        <v/>
      </c>
      <c r="F22" s="484" t="str">
        <f aca="false">IF($E22="","",IFERROR(VLOOKUP($E22,PLANI_LLOGARIVE!$A:$I,2,FALSE()),DITARI!$E26))</f>
        <v/>
      </c>
      <c r="G22" s="484" t="str">
        <f aca="false">IF($E22="","",DITARI!$I26)</f>
        <v/>
      </c>
      <c r="H22" s="486" t="str">
        <f aca="false">IFERROR(IF($E22="","",DITARI!$H26),"")</f>
        <v/>
      </c>
      <c r="I22" s="487" t="n">
        <f aca="false">IF($E22="",0,IFERROR(DITARI!$F26,0))</f>
        <v>0</v>
      </c>
      <c r="J22" s="487" t="n">
        <f aca="false">IF($E22="",0,IFERROR(DITARI!$G26,0))</f>
        <v>0</v>
      </c>
      <c r="K22" s="484" t="str">
        <f aca="false">IF($E22="","",IFERROR(VLOOKUP($E22,PLANI_LLOGARIVE!$A:$I,9,FALSE()),""))</f>
        <v/>
      </c>
      <c r="L22" s="487" t="str">
        <f aca="false">IF($E22="","",$I22-$J22)</f>
        <v/>
      </c>
      <c r="M22" s="484" t="str">
        <f aca="false">IF($E22="","",IF($I22&gt;0,"DEBIT",IF($J22&gt;0,"KREDIT","ZERO")))</f>
        <v/>
      </c>
      <c r="N22" s="484" t="str">
        <f aca="false">IF($E22="","",TEXT($B22,"yyyymmdd")&amp;"-"&amp;TEXT(ROW(),"0000"))</f>
        <v/>
      </c>
      <c r="O22" s="101" t="str">
        <f aca="false">IF($E22="","",$E22&amp;"")</f>
        <v/>
      </c>
      <c r="P22" s="101" t="str">
        <f aca="false">IF(AND($O22&lt;&gt;"",$I22&lt;&gt;0),COUNTIFS($O$2:O22,$O22,$I$2:I22,"&gt;0"),"")</f>
        <v/>
      </c>
      <c r="Q22" s="101" t="str">
        <f aca="false">IF(AND($O22&lt;&gt;"",$J22&lt;&gt;0),COUNTIFS($O$2:O22,$O22,$J$2:J22,"&gt;0"),"")</f>
        <v/>
      </c>
      <c r="R22" s="101" t="str">
        <f aca="false">IF($P22="","",$O22&amp;"|"&amp;$P22)</f>
        <v/>
      </c>
      <c r="S22" s="101" t="str">
        <f aca="false">IF($Q22="","",$O22&amp;"|"&amp;$Q22)</f>
        <v/>
      </c>
      <c r="T22" s="101" t="str">
        <f aca="false">IF($O22="","",COUNTIF($O$2:O22,$O22))</f>
        <v/>
      </c>
      <c r="U22" s="101" t="str">
        <f aca="false">IF($O22="","",$O22&amp;"|"&amp;$T22)</f>
        <v/>
      </c>
      <c r="V22" s="488" t="n">
        <f aca="false">IF(OR(LEFT($D22,5)="MB-CL",LEFT($D22,6)="MB-RES"),0,$I22)</f>
        <v>0</v>
      </c>
      <c r="W22" s="488" t="n">
        <f aca="false">IF(OR(LEFT($D22,5)="MB-CL",LEFT($D22,6)="MB-RES"),0,$J22)</f>
        <v>0</v>
      </c>
      <c r="X22" s="101" t="str">
        <f aca="false">IF($E22="","",LEFT($E22,1))</f>
        <v/>
      </c>
      <c r="Y22" s="101" t="str">
        <f aca="false">IF($E22="","",LEFT($E22,2))</f>
        <v/>
      </c>
      <c r="Z22" s="101" t="str">
        <f aca="false">IF($E22="","",LEFT($E22,3))</f>
        <v/>
      </c>
      <c r="AA22" s="101" t="str">
        <f aca="false">IF($E22="","",LEFT($E22,4))</f>
        <v/>
      </c>
    </row>
    <row r="23" customFormat="false" ht="15" hidden="false" customHeight="true" outlineLevel="0" collapsed="false">
      <c r="A23" s="484" t="str">
        <f aca="false">IF(DITARI!$D27="","",ROW()-1)</f>
        <v/>
      </c>
      <c r="B23" s="485" t="str">
        <f aca="false">IF(DITARI!$D27="","",DITARI!$A27)</f>
        <v/>
      </c>
      <c r="C23" s="484" t="str">
        <f aca="false">IF(DITARI!$D27="","",DITARI!$B27)</f>
        <v/>
      </c>
      <c r="D23" s="484" t="str">
        <f aca="false">IF(DITARI!$D27="","",DITARI!$C27)</f>
        <v/>
      </c>
      <c r="E23" s="484" t="str">
        <f aca="false">IF(DITARI!$D27="","",TRIM(DITARI!$D27&amp;""))</f>
        <v/>
      </c>
      <c r="F23" s="484" t="str">
        <f aca="false">IF($E23="","",IFERROR(VLOOKUP($E23,PLANI_LLOGARIVE!$A:$I,2,FALSE()),DITARI!$E27))</f>
        <v/>
      </c>
      <c r="G23" s="484" t="str">
        <f aca="false">IF($E23="","",DITARI!$I27)</f>
        <v/>
      </c>
      <c r="H23" s="486" t="str">
        <f aca="false">IFERROR(IF($E23="","",DITARI!$H27),"")</f>
        <v/>
      </c>
      <c r="I23" s="487" t="n">
        <f aca="false">IF($E23="",0,IFERROR(DITARI!$F27,0))</f>
        <v>0</v>
      </c>
      <c r="J23" s="487" t="n">
        <f aca="false">IF($E23="",0,IFERROR(DITARI!$G27,0))</f>
        <v>0</v>
      </c>
      <c r="K23" s="484" t="str">
        <f aca="false">IF($E23="","",IFERROR(VLOOKUP($E23,PLANI_LLOGARIVE!$A:$I,9,FALSE()),""))</f>
        <v/>
      </c>
      <c r="L23" s="487" t="str">
        <f aca="false">IF($E23="","",$I23-$J23)</f>
        <v/>
      </c>
      <c r="M23" s="484" t="str">
        <f aca="false">IF($E23="","",IF($I23&gt;0,"DEBIT",IF($J23&gt;0,"KREDIT","ZERO")))</f>
        <v/>
      </c>
      <c r="N23" s="484" t="str">
        <f aca="false">IF($E23="","",TEXT($B23,"yyyymmdd")&amp;"-"&amp;TEXT(ROW(),"0000"))</f>
        <v/>
      </c>
      <c r="O23" s="101" t="str">
        <f aca="false">IF($E23="","",$E23&amp;"")</f>
        <v/>
      </c>
      <c r="P23" s="101" t="str">
        <f aca="false">IF(AND($O23&lt;&gt;"",$I23&lt;&gt;0),COUNTIFS($O$2:O23,$O23,$I$2:I23,"&gt;0"),"")</f>
        <v/>
      </c>
      <c r="Q23" s="101" t="str">
        <f aca="false">IF(AND($O23&lt;&gt;"",$J23&lt;&gt;0),COUNTIFS($O$2:O23,$O23,$J$2:J23,"&gt;0"),"")</f>
        <v/>
      </c>
      <c r="R23" s="101" t="str">
        <f aca="false">IF($P23="","",$O23&amp;"|"&amp;$P23)</f>
        <v/>
      </c>
      <c r="S23" s="101" t="str">
        <f aca="false">IF($Q23="","",$O23&amp;"|"&amp;$Q23)</f>
        <v/>
      </c>
      <c r="T23" s="101" t="str">
        <f aca="false">IF($O23="","",COUNTIF($O$2:O23,$O23))</f>
        <v/>
      </c>
      <c r="U23" s="101" t="str">
        <f aca="false">IF($O23="","",$O23&amp;"|"&amp;$T23)</f>
        <v/>
      </c>
      <c r="V23" s="488" t="n">
        <f aca="false">IF(OR(LEFT($D23,5)="MB-CL",LEFT($D23,6)="MB-RES"),0,$I23)</f>
        <v>0</v>
      </c>
      <c r="W23" s="488" t="n">
        <f aca="false">IF(OR(LEFT($D23,5)="MB-CL",LEFT($D23,6)="MB-RES"),0,$J23)</f>
        <v>0</v>
      </c>
      <c r="X23" s="101" t="str">
        <f aca="false">IF($E23="","",LEFT($E23,1))</f>
        <v/>
      </c>
      <c r="Y23" s="101" t="str">
        <f aca="false">IF($E23="","",LEFT($E23,2))</f>
        <v/>
      </c>
      <c r="Z23" s="101" t="str">
        <f aca="false">IF($E23="","",LEFT($E23,3))</f>
        <v/>
      </c>
      <c r="AA23" s="101" t="str">
        <f aca="false">IF($E23="","",LEFT($E23,4))</f>
        <v/>
      </c>
    </row>
    <row r="24" customFormat="false" ht="15" hidden="false" customHeight="true" outlineLevel="0" collapsed="false">
      <c r="A24" s="484" t="str">
        <f aca="false">IF(DITARI!$D28="","",ROW()-1)</f>
        <v/>
      </c>
      <c r="B24" s="485" t="str">
        <f aca="false">IF(DITARI!$D28="","",DITARI!$A28)</f>
        <v/>
      </c>
      <c r="C24" s="484" t="str">
        <f aca="false">IF(DITARI!$D28="","",DITARI!$B28)</f>
        <v/>
      </c>
      <c r="D24" s="484" t="str">
        <f aca="false">IF(DITARI!$D28="","",DITARI!$C28)</f>
        <v/>
      </c>
      <c r="E24" s="484" t="str">
        <f aca="false">IF(DITARI!$D28="","",TRIM(DITARI!$D28&amp;""))</f>
        <v/>
      </c>
      <c r="F24" s="484" t="str">
        <f aca="false">IF($E24="","",IFERROR(VLOOKUP($E24,PLANI_LLOGARIVE!$A:$I,2,FALSE()),DITARI!$E28))</f>
        <v/>
      </c>
      <c r="G24" s="484" t="str">
        <f aca="false">IF($E24="","",DITARI!$I28)</f>
        <v/>
      </c>
      <c r="H24" s="486" t="str">
        <f aca="false">IFERROR(IF($E24="","",DITARI!$H28),"")</f>
        <v/>
      </c>
      <c r="I24" s="487" t="n">
        <f aca="false">IF($E24="",0,IFERROR(DITARI!$F28,0))</f>
        <v>0</v>
      </c>
      <c r="J24" s="487" t="n">
        <f aca="false">IF($E24="",0,IFERROR(DITARI!$G28,0))</f>
        <v>0</v>
      </c>
      <c r="K24" s="484" t="str">
        <f aca="false">IF($E24="","",IFERROR(VLOOKUP($E24,PLANI_LLOGARIVE!$A:$I,9,FALSE()),""))</f>
        <v/>
      </c>
      <c r="L24" s="487" t="str">
        <f aca="false">IF($E24="","",$I24-$J24)</f>
        <v/>
      </c>
      <c r="M24" s="484" t="str">
        <f aca="false">IF($E24="","",IF($I24&gt;0,"DEBIT",IF($J24&gt;0,"KREDIT","ZERO")))</f>
        <v/>
      </c>
      <c r="N24" s="484" t="str">
        <f aca="false">IF($E24="","",TEXT($B24,"yyyymmdd")&amp;"-"&amp;TEXT(ROW(),"0000"))</f>
        <v/>
      </c>
      <c r="O24" s="101" t="str">
        <f aca="false">IF($E24="","",$E24&amp;"")</f>
        <v/>
      </c>
      <c r="P24" s="101" t="str">
        <f aca="false">IF(AND($O24&lt;&gt;"",$I24&lt;&gt;0),COUNTIFS($O$2:O24,$O24,$I$2:I24,"&gt;0"),"")</f>
        <v/>
      </c>
      <c r="Q24" s="101" t="str">
        <f aca="false">IF(AND($O24&lt;&gt;"",$J24&lt;&gt;0),COUNTIFS($O$2:O24,$O24,$J$2:J24,"&gt;0"),"")</f>
        <v/>
      </c>
      <c r="R24" s="101" t="str">
        <f aca="false">IF($P24="","",$O24&amp;"|"&amp;$P24)</f>
        <v/>
      </c>
      <c r="S24" s="101" t="str">
        <f aca="false">IF($Q24="","",$O24&amp;"|"&amp;$Q24)</f>
        <v/>
      </c>
      <c r="T24" s="101" t="str">
        <f aca="false">IF($O24="","",COUNTIF($O$2:O24,$O24))</f>
        <v/>
      </c>
      <c r="U24" s="101" t="str">
        <f aca="false">IF($O24="","",$O24&amp;"|"&amp;$T24)</f>
        <v/>
      </c>
      <c r="V24" s="488" t="n">
        <f aca="false">IF(OR(LEFT($D24,5)="MB-CL",LEFT($D24,6)="MB-RES"),0,$I24)</f>
        <v>0</v>
      </c>
      <c r="W24" s="488" t="n">
        <f aca="false">IF(OR(LEFT($D24,5)="MB-CL",LEFT($D24,6)="MB-RES"),0,$J24)</f>
        <v>0</v>
      </c>
      <c r="X24" s="101" t="str">
        <f aca="false">IF($E24="","",LEFT($E24,1))</f>
        <v/>
      </c>
      <c r="Y24" s="101" t="str">
        <f aca="false">IF($E24="","",LEFT($E24,2))</f>
        <v/>
      </c>
      <c r="Z24" s="101" t="str">
        <f aca="false">IF($E24="","",LEFT($E24,3))</f>
        <v/>
      </c>
      <c r="AA24" s="101" t="str">
        <f aca="false">IF($E24="","",LEFT($E24,4))</f>
        <v/>
      </c>
    </row>
    <row r="25" customFormat="false" ht="15" hidden="false" customHeight="true" outlineLevel="0" collapsed="false">
      <c r="A25" s="484" t="str">
        <f aca="false">IF(DITARI!$D29="","",ROW()-1)</f>
        <v/>
      </c>
      <c r="B25" s="485" t="str">
        <f aca="false">IF(DITARI!$D29="","",DITARI!$A29)</f>
        <v/>
      </c>
      <c r="C25" s="484" t="str">
        <f aca="false">IF(DITARI!$D29="","",DITARI!$B29)</f>
        <v/>
      </c>
      <c r="D25" s="484" t="str">
        <f aca="false">IF(DITARI!$D29="","",DITARI!$C29)</f>
        <v/>
      </c>
      <c r="E25" s="484" t="str">
        <f aca="false">IF(DITARI!$D29="","",TRIM(DITARI!$D29&amp;""))</f>
        <v/>
      </c>
      <c r="F25" s="484" t="str">
        <f aca="false">IF($E25="","",IFERROR(VLOOKUP($E25,PLANI_LLOGARIVE!$A:$I,2,FALSE()),DITARI!$E29))</f>
        <v/>
      </c>
      <c r="G25" s="484" t="str">
        <f aca="false">IF($E25="","",DITARI!$I29)</f>
        <v/>
      </c>
      <c r="H25" s="486" t="str">
        <f aca="false">IFERROR(IF($E25="","",DITARI!$H29),"")</f>
        <v/>
      </c>
      <c r="I25" s="487" t="n">
        <f aca="false">IF($E25="",0,IFERROR(DITARI!$F29,0))</f>
        <v>0</v>
      </c>
      <c r="J25" s="487" t="n">
        <f aca="false">IF($E25="",0,IFERROR(DITARI!$G29,0))</f>
        <v>0</v>
      </c>
      <c r="K25" s="484" t="str">
        <f aca="false">IF($E25="","",IFERROR(VLOOKUP($E25,PLANI_LLOGARIVE!$A:$I,9,FALSE()),""))</f>
        <v/>
      </c>
      <c r="L25" s="487" t="str">
        <f aca="false">IF($E25="","",$I25-$J25)</f>
        <v/>
      </c>
      <c r="M25" s="484" t="str">
        <f aca="false">IF($E25="","",IF($I25&gt;0,"DEBIT",IF($J25&gt;0,"KREDIT","ZERO")))</f>
        <v/>
      </c>
      <c r="N25" s="484" t="str">
        <f aca="false">IF($E25="","",TEXT($B25,"yyyymmdd")&amp;"-"&amp;TEXT(ROW(),"0000"))</f>
        <v/>
      </c>
      <c r="O25" s="101" t="str">
        <f aca="false">IF($E25="","",$E25&amp;"")</f>
        <v/>
      </c>
      <c r="P25" s="101" t="str">
        <f aca="false">IF(AND($O25&lt;&gt;"",$I25&lt;&gt;0),COUNTIFS($O$2:O25,$O25,$I$2:I25,"&gt;0"),"")</f>
        <v/>
      </c>
      <c r="Q25" s="101" t="str">
        <f aca="false">IF(AND($O25&lt;&gt;"",$J25&lt;&gt;0),COUNTIFS($O$2:O25,$O25,$J$2:J25,"&gt;0"),"")</f>
        <v/>
      </c>
      <c r="R25" s="101" t="str">
        <f aca="false">IF($P25="","",$O25&amp;"|"&amp;$P25)</f>
        <v/>
      </c>
      <c r="S25" s="101" t="str">
        <f aca="false">IF($Q25="","",$O25&amp;"|"&amp;$Q25)</f>
        <v/>
      </c>
      <c r="T25" s="101" t="str">
        <f aca="false">IF($O25="","",COUNTIF($O$2:O25,$O25))</f>
        <v/>
      </c>
      <c r="U25" s="101" t="str">
        <f aca="false">IF($O25="","",$O25&amp;"|"&amp;$T25)</f>
        <v/>
      </c>
      <c r="V25" s="488" t="n">
        <f aca="false">IF(OR(LEFT($D25,5)="MB-CL",LEFT($D25,6)="MB-RES"),0,$I25)</f>
        <v>0</v>
      </c>
      <c r="W25" s="488" t="n">
        <f aca="false">IF(OR(LEFT($D25,5)="MB-CL",LEFT($D25,6)="MB-RES"),0,$J25)</f>
        <v>0</v>
      </c>
      <c r="X25" s="101" t="str">
        <f aca="false">IF($E25="","",LEFT($E25,1))</f>
        <v/>
      </c>
      <c r="Y25" s="101" t="str">
        <f aca="false">IF($E25="","",LEFT($E25,2))</f>
        <v/>
      </c>
      <c r="Z25" s="101" t="str">
        <f aca="false">IF($E25="","",LEFT($E25,3))</f>
        <v/>
      </c>
      <c r="AA25" s="101" t="str">
        <f aca="false">IF($E25="","",LEFT($E25,4))</f>
        <v/>
      </c>
    </row>
    <row r="26" customFormat="false" ht="15" hidden="false" customHeight="true" outlineLevel="0" collapsed="false">
      <c r="A26" s="484" t="str">
        <f aca="false">IF(DITARI!$D30="","",ROW()-1)</f>
        <v/>
      </c>
      <c r="B26" s="485" t="str">
        <f aca="false">IF(DITARI!$D30="","",DITARI!$A30)</f>
        <v/>
      </c>
      <c r="C26" s="484" t="str">
        <f aca="false">IF(DITARI!$D30="","",DITARI!$B30)</f>
        <v/>
      </c>
      <c r="D26" s="484" t="str">
        <f aca="false">IF(DITARI!$D30="","",DITARI!$C30)</f>
        <v/>
      </c>
      <c r="E26" s="484" t="str">
        <f aca="false">IF(DITARI!$D30="","",TRIM(DITARI!$D30&amp;""))</f>
        <v/>
      </c>
      <c r="F26" s="484" t="str">
        <f aca="false">IF($E26="","",IFERROR(VLOOKUP($E26,PLANI_LLOGARIVE!$A:$I,2,FALSE()),DITARI!$E30))</f>
        <v/>
      </c>
      <c r="G26" s="484" t="str">
        <f aca="false">IF($E26="","",DITARI!$I30)</f>
        <v/>
      </c>
      <c r="H26" s="486" t="str">
        <f aca="false">IFERROR(IF($E26="","",DITARI!$H30),"")</f>
        <v/>
      </c>
      <c r="I26" s="487" t="n">
        <f aca="false">IF($E26="",0,IFERROR(DITARI!$F30,0))</f>
        <v>0</v>
      </c>
      <c r="J26" s="487" t="n">
        <f aca="false">IF($E26="",0,IFERROR(DITARI!$G30,0))</f>
        <v>0</v>
      </c>
      <c r="K26" s="484" t="str">
        <f aca="false">IF($E26="","",IFERROR(VLOOKUP($E26,PLANI_LLOGARIVE!$A:$I,9,FALSE()),""))</f>
        <v/>
      </c>
      <c r="L26" s="487" t="str">
        <f aca="false">IF($E26="","",$I26-$J26)</f>
        <v/>
      </c>
      <c r="M26" s="484" t="str">
        <f aca="false">IF($E26="","",IF($I26&gt;0,"DEBIT",IF($J26&gt;0,"KREDIT","ZERO")))</f>
        <v/>
      </c>
      <c r="N26" s="484" t="str">
        <f aca="false">IF($E26="","",TEXT($B26,"yyyymmdd")&amp;"-"&amp;TEXT(ROW(),"0000"))</f>
        <v/>
      </c>
      <c r="O26" s="101" t="str">
        <f aca="false">IF($E26="","",$E26&amp;"")</f>
        <v/>
      </c>
      <c r="P26" s="101" t="str">
        <f aca="false">IF(AND($O26&lt;&gt;"",$I26&lt;&gt;0),COUNTIFS($O$2:O26,$O26,$I$2:I26,"&gt;0"),"")</f>
        <v/>
      </c>
      <c r="Q26" s="101" t="str">
        <f aca="false">IF(AND($O26&lt;&gt;"",$J26&lt;&gt;0),COUNTIFS($O$2:O26,$O26,$J$2:J26,"&gt;0"),"")</f>
        <v/>
      </c>
      <c r="R26" s="101" t="str">
        <f aca="false">IF($P26="","",$O26&amp;"|"&amp;$P26)</f>
        <v/>
      </c>
      <c r="S26" s="101" t="str">
        <f aca="false">IF($Q26="","",$O26&amp;"|"&amp;$Q26)</f>
        <v/>
      </c>
      <c r="T26" s="101" t="str">
        <f aca="false">IF($O26="","",COUNTIF($O$2:O26,$O26))</f>
        <v/>
      </c>
      <c r="U26" s="101" t="str">
        <f aca="false">IF($O26="","",$O26&amp;"|"&amp;$T26)</f>
        <v/>
      </c>
      <c r="V26" s="488" t="n">
        <f aca="false">IF(OR(LEFT($D26,5)="MB-CL",LEFT($D26,6)="MB-RES"),0,$I26)</f>
        <v>0</v>
      </c>
      <c r="W26" s="488" t="n">
        <f aca="false">IF(OR(LEFT($D26,5)="MB-CL",LEFT($D26,6)="MB-RES"),0,$J26)</f>
        <v>0</v>
      </c>
      <c r="X26" s="101" t="str">
        <f aca="false">IF($E26="","",LEFT($E26,1))</f>
        <v/>
      </c>
      <c r="Y26" s="101" t="str">
        <f aca="false">IF($E26="","",LEFT($E26,2))</f>
        <v/>
      </c>
      <c r="Z26" s="101" t="str">
        <f aca="false">IF($E26="","",LEFT($E26,3))</f>
        <v/>
      </c>
      <c r="AA26" s="101" t="str">
        <f aca="false">IF($E26="","",LEFT($E26,4))</f>
        <v/>
      </c>
    </row>
    <row r="27" customFormat="false" ht="15" hidden="false" customHeight="true" outlineLevel="0" collapsed="false">
      <c r="A27" s="484" t="str">
        <f aca="false">IF(DITARI!$D31="","",ROW()-1)</f>
        <v/>
      </c>
      <c r="B27" s="485" t="str">
        <f aca="false">IF(DITARI!$D31="","",DITARI!$A31)</f>
        <v/>
      </c>
      <c r="C27" s="484" t="str">
        <f aca="false">IF(DITARI!$D31="","",DITARI!$B31)</f>
        <v/>
      </c>
      <c r="D27" s="484" t="str">
        <f aca="false">IF(DITARI!$D31="","",DITARI!$C31)</f>
        <v/>
      </c>
      <c r="E27" s="484" t="str">
        <f aca="false">IF(DITARI!$D31="","",TRIM(DITARI!$D31&amp;""))</f>
        <v/>
      </c>
      <c r="F27" s="484" t="str">
        <f aca="false">IF($E27="","",IFERROR(VLOOKUP($E27,PLANI_LLOGARIVE!$A:$I,2,FALSE()),DITARI!$E31))</f>
        <v/>
      </c>
      <c r="G27" s="484" t="str">
        <f aca="false">IF($E27="","",DITARI!$I31)</f>
        <v/>
      </c>
      <c r="H27" s="486" t="str">
        <f aca="false">IFERROR(IF($E27="","",DITARI!$H31),"")</f>
        <v/>
      </c>
      <c r="I27" s="487" t="n">
        <f aca="false">IF($E27="",0,IFERROR(DITARI!$F31,0))</f>
        <v>0</v>
      </c>
      <c r="J27" s="487" t="n">
        <f aca="false">IF($E27="",0,IFERROR(DITARI!$G31,0))</f>
        <v>0</v>
      </c>
      <c r="K27" s="484" t="str">
        <f aca="false">IF($E27="","",IFERROR(VLOOKUP($E27,PLANI_LLOGARIVE!$A:$I,9,FALSE()),""))</f>
        <v/>
      </c>
      <c r="L27" s="487" t="str">
        <f aca="false">IF($E27="","",$I27-$J27)</f>
        <v/>
      </c>
      <c r="M27" s="484" t="str">
        <f aca="false">IF($E27="","",IF($I27&gt;0,"DEBIT",IF($J27&gt;0,"KREDIT","ZERO")))</f>
        <v/>
      </c>
      <c r="N27" s="484" t="str">
        <f aca="false">IF($E27="","",TEXT($B27,"yyyymmdd")&amp;"-"&amp;TEXT(ROW(),"0000"))</f>
        <v/>
      </c>
      <c r="O27" s="101" t="str">
        <f aca="false">IF($E27="","",$E27&amp;"")</f>
        <v/>
      </c>
      <c r="P27" s="101" t="str">
        <f aca="false">IF(AND($O27&lt;&gt;"",$I27&lt;&gt;0),COUNTIFS($O$2:O27,$O27,$I$2:I27,"&gt;0"),"")</f>
        <v/>
      </c>
      <c r="Q27" s="101" t="str">
        <f aca="false">IF(AND($O27&lt;&gt;"",$J27&lt;&gt;0),COUNTIFS($O$2:O27,$O27,$J$2:J27,"&gt;0"),"")</f>
        <v/>
      </c>
      <c r="R27" s="101" t="str">
        <f aca="false">IF($P27="","",$O27&amp;"|"&amp;$P27)</f>
        <v/>
      </c>
      <c r="S27" s="101" t="str">
        <f aca="false">IF($Q27="","",$O27&amp;"|"&amp;$Q27)</f>
        <v/>
      </c>
      <c r="T27" s="101" t="str">
        <f aca="false">IF($O27="","",COUNTIF($O$2:O27,$O27))</f>
        <v/>
      </c>
      <c r="U27" s="101" t="str">
        <f aca="false">IF($O27="","",$O27&amp;"|"&amp;$T27)</f>
        <v/>
      </c>
      <c r="V27" s="488" t="n">
        <f aca="false">IF(OR(LEFT($D27,5)="MB-CL",LEFT($D27,6)="MB-RES"),0,$I27)</f>
        <v>0</v>
      </c>
      <c r="W27" s="488" t="n">
        <f aca="false">IF(OR(LEFT($D27,5)="MB-CL",LEFT($D27,6)="MB-RES"),0,$J27)</f>
        <v>0</v>
      </c>
      <c r="X27" s="101" t="str">
        <f aca="false">IF($E27="","",LEFT($E27,1))</f>
        <v/>
      </c>
      <c r="Y27" s="101" t="str">
        <f aca="false">IF($E27="","",LEFT($E27,2))</f>
        <v/>
      </c>
      <c r="Z27" s="101" t="str">
        <f aca="false">IF($E27="","",LEFT($E27,3))</f>
        <v/>
      </c>
      <c r="AA27" s="101" t="str">
        <f aca="false">IF($E27="","",LEFT($E27,4))</f>
        <v/>
      </c>
    </row>
    <row r="28" customFormat="false" ht="15" hidden="false" customHeight="true" outlineLevel="0" collapsed="false">
      <c r="A28" s="484" t="str">
        <f aca="false">IF(DITARI!$D32="","",ROW()-1)</f>
        <v/>
      </c>
      <c r="B28" s="485" t="str">
        <f aca="false">IF(DITARI!$D32="","",DITARI!$A32)</f>
        <v/>
      </c>
      <c r="C28" s="484" t="str">
        <f aca="false">IF(DITARI!$D32="","",DITARI!$B32)</f>
        <v/>
      </c>
      <c r="D28" s="484" t="str">
        <f aca="false">IF(DITARI!$D32="","",DITARI!$C32)</f>
        <v/>
      </c>
      <c r="E28" s="484" t="str">
        <f aca="false">IF(DITARI!$D32="","",TRIM(DITARI!$D32&amp;""))</f>
        <v/>
      </c>
      <c r="F28" s="484" t="str">
        <f aca="false">IF($E28="","",IFERROR(VLOOKUP($E28,PLANI_LLOGARIVE!$A:$I,2,FALSE()),DITARI!$E32))</f>
        <v/>
      </c>
      <c r="G28" s="484" t="str">
        <f aca="false">IF($E28="","",DITARI!$I32)</f>
        <v/>
      </c>
      <c r="H28" s="486" t="str">
        <f aca="false">IFERROR(IF($E28="","",DITARI!$H32),"")</f>
        <v/>
      </c>
      <c r="I28" s="487" t="n">
        <f aca="false">IF($E28="",0,IFERROR(DITARI!$F32,0))</f>
        <v>0</v>
      </c>
      <c r="J28" s="487" t="n">
        <f aca="false">IF($E28="",0,IFERROR(DITARI!$G32,0))</f>
        <v>0</v>
      </c>
      <c r="K28" s="484" t="str">
        <f aca="false">IF($E28="","",IFERROR(VLOOKUP($E28,PLANI_LLOGARIVE!$A:$I,9,FALSE()),""))</f>
        <v/>
      </c>
      <c r="L28" s="487" t="str">
        <f aca="false">IF($E28="","",$I28-$J28)</f>
        <v/>
      </c>
      <c r="M28" s="484" t="str">
        <f aca="false">IF($E28="","",IF($I28&gt;0,"DEBIT",IF($J28&gt;0,"KREDIT","ZERO")))</f>
        <v/>
      </c>
      <c r="N28" s="484" t="str">
        <f aca="false">IF($E28="","",TEXT($B28,"yyyymmdd")&amp;"-"&amp;TEXT(ROW(),"0000"))</f>
        <v/>
      </c>
      <c r="O28" s="101" t="str">
        <f aca="false">IF($E28="","",$E28&amp;"")</f>
        <v/>
      </c>
      <c r="P28" s="101" t="str">
        <f aca="false">IF(AND($O28&lt;&gt;"",$I28&lt;&gt;0),COUNTIFS($O$2:O28,$O28,$I$2:I28,"&gt;0"),"")</f>
        <v/>
      </c>
      <c r="Q28" s="101" t="str">
        <f aca="false">IF(AND($O28&lt;&gt;"",$J28&lt;&gt;0),COUNTIFS($O$2:O28,$O28,$J$2:J28,"&gt;0"),"")</f>
        <v/>
      </c>
      <c r="R28" s="101" t="str">
        <f aca="false">IF($P28="","",$O28&amp;"|"&amp;$P28)</f>
        <v/>
      </c>
      <c r="S28" s="101" t="str">
        <f aca="false">IF($Q28="","",$O28&amp;"|"&amp;$Q28)</f>
        <v/>
      </c>
      <c r="T28" s="101" t="str">
        <f aca="false">IF($O28="","",COUNTIF($O$2:O28,$O28))</f>
        <v/>
      </c>
      <c r="U28" s="101" t="str">
        <f aca="false">IF($O28="","",$O28&amp;"|"&amp;$T28)</f>
        <v/>
      </c>
      <c r="V28" s="488" t="n">
        <f aca="false">IF(OR(LEFT($D28,5)="MB-CL",LEFT($D28,6)="MB-RES"),0,$I28)</f>
        <v>0</v>
      </c>
      <c r="W28" s="488" t="n">
        <f aca="false">IF(OR(LEFT($D28,5)="MB-CL",LEFT($D28,6)="MB-RES"),0,$J28)</f>
        <v>0</v>
      </c>
      <c r="X28" s="101" t="str">
        <f aca="false">IF($E28="","",LEFT($E28,1))</f>
        <v/>
      </c>
      <c r="Y28" s="101" t="str">
        <f aca="false">IF($E28="","",LEFT($E28,2))</f>
        <v/>
      </c>
      <c r="Z28" s="101" t="str">
        <f aca="false">IF($E28="","",LEFT($E28,3))</f>
        <v/>
      </c>
      <c r="AA28" s="101" t="str">
        <f aca="false">IF($E28="","",LEFT($E28,4))</f>
        <v/>
      </c>
    </row>
    <row r="29" customFormat="false" ht="15" hidden="false" customHeight="true" outlineLevel="0" collapsed="false">
      <c r="A29" s="484" t="str">
        <f aca="false">IF(DITARI!$D33="","",ROW()-1)</f>
        <v/>
      </c>
      <c r="B29" s="485" t="str">
        <f aca="false">IF(DITARI!$D33="","",DITARI!$A33)</f>
        <v/>
      </c>
      <c r="C29" s="484" t="str">
        <f aca="false">IF(DITARI!$D33="","",DITARI!$B33)</f>
        <v/>
      </c>
      <c r="D29" s="484" t="str">
        <f aca="false">IF(DITARI!$D33="","",DITARI!$C33)</f>
        <v/>
      </c>
      <c r="E29" s="484" t="str">
        <f aca="false">IF(DITARI!$D33="","",TRIM(DITARI!$D33&amp;""))</f>
        <v/>
      </c>
      <c r="F29" s="484" t="str">
        <f aca="false">IF($E29="","",IFERROR(VLOOKUP($E29,PLANI_LLOGARIVE!$A:$I,2,FALSE()),DITARI!$E33))</f>
        <v/>
      </c>
      <c r="G29" s="484" t="str">
        <f aca="false">IF($E29="","",DITARI!$I33)</f>
        <v/>
      </c>
      <c r="H29" s="486" t="str">
        <f aca="false">IFERROR(IF($E29="","",DITARI!$H33),"")</f>
        <v/>
      </c>
      <c r="I29" s="487" t="n">
        <f aca="false">IF($E29="",0,IFERROR(DITARI!$F33,0))</f>
        <v>0</v>
      </c>
      <c r="J29" s="487" t="n">
        <f aca="false">IF($E29="",0,IFERROR(DITARI!$G33,0))</f>
        <v>0</v>
      </c>
      <c r="K29" s="484" t="str">
        <f aca="false">IF($E29="","",IFERROR(VLOOKUP($E29,PLANI_LLOGARIVE!$A:$I,9,FALSE()),""))</f>
        <v/>
      </c>
      <c r="L29" s="487" t="str">
        <f aca="false">IF($E29="","",$I29-$J29)</f>
        <v/>
      </c>
      <c r="M29" s="484" t="str">
        <f aca="false">IF($E29="","",IF($I29&gt;0,"DEBIT",IF($J29&gt;0,"KREDIT","ZERO")))</f>
        <v/>
      </c>
      <c r="N29" s="484" t="str">
        <f aca="false">IF($E29="","",TEXT($B29,"yyyymmdd")&amp;"-"&amp;TEXT(ROW(),"0000"))</f>
        <v/>
      </c>
      <c r="O29" s="101" t="str">
        <f aca="false">IF($E29="","",$E29&amp;"")</f>
        <v/>
      </c>
      <c r="P29" s="101" t="str">
        <f aca="false">IF(AND($O29&lt;&gt;"",$I29&lt;&gt;0),COUNTIFS($O$2:O29,$O29,$I$2:I29,"&gt;0"),"")</f>
        <v/>
      </c>
      <c r="Q29" s="101" t="str">
        <f aca="false">IF(AND($O29&lt;&gt;"",$J29&lt;&gt;0),COUNTIFS($O$2:O29,$O29,$J$2:J29,"&gt;0"),"")</f>
        <v/>
      </c>
      <c r="R29" s="101" t="str">
        <f aca="false">IF($P29="","",$O29&amp;"|"&amp;$P29)</f>
        <v/>
      </c>
      <c r="S29" s="101" t="str">
        <f aca="false">IF($Q29="","",$O29&amp;"|"&amp;$Q29)</f>
        <v/>
      </c>
      <c r="T29" s="101" t="str">
        <f aca="false">IF($O29="","",COUNTIF($O$2:O29,$O29))</f>
        <v/>
      </c>
      <c r="U29" s="101" t="str">
        <f aca="false">IF($O29="","",$O29&amp;"|"&amp;$T29)</f>
        <v/>
      </c>
      <c r="V29" s="488" t="n">
        <f aca="false">IF(OR(LEFT($D29,5)="MB-CL",LEFT($D29,6)="MB-RES"),0,$I29)</f>
        <v>0</v>
      </c>
      <c r="W29" s="488" t="n">
        <f aca="false">IF(OR(LEFT($D29,5)="MB-CL",LEFT($D29,6)="MB-RES"),0,$J29)</f>
        <v>0</v>
      </c>
      <c r="X29" s="101" t="str">
        <f aca="false">IF($E29="","",LEFT($E29,1))</f>
        <v/>
      </c>
      <c r="Y29" s="101" t="str">
        <f aca="false">IF($E29="","",LEFT($E29,2))</f>
        <v/>
      </c>
      <c r="Z29" s="101" t="str">
        <f aca="false">IF($E29="","",LEFT($E29,3))</f>
        <v/>
      </c>
      <c r="AA29" s="101" t="str">
        <f aca="false">IF($E29="","",LEFT($E29,4))</f>
        <v/>
      </c>
    </row>
    <row r="30" customFormat="false" ht="15" hidden="false" customHeight="true" outlineLevel="0" collapsed="false">
      <c r="A30" s="484" t="str">
        <f aca="false">IF(DITARI!$D34="","",ROW()-1)</f>
        <v/>
      </c>
      <c r="B30" s="485" t="str">
        <f aca="false">IF(DITARI!$D34="","",DITARI!$A34)</f>
        <v/>
      </c>
      <c r="C30" s="484" t="str">
        <f aca="false">IF(DITARI!$D34="","",DITARI!$B34)</f>
        <v/>
      </c>
      <c r="D30" s="484" t="str">
        <f aca="false">IF(DITARI!$D34="","",DITARI!$C34)</f>
        <v/>
      </c>
      <c r="E30" s="484" t="str">
        <f aca="false">IF(DITARI!$D34="","",TRIM(DITARI!$D34&amp;""))</f>
        <v/>
      </c>
      <c r="F30" s="484" t="str">
        <f aca="false">IF($E30="","",IFERROR(VLOOKUP($E30,PLANI_LLOGARIVE!$A:$I,2,FALSE()),DITARI!$E34))</f>
        <v/>
      </c>
      <c r="G30" s="484" t="str">
        <f aca="false">IF($E30="","",DITARI!$I34)</f>
        <v/>
      </c>
      <c r="H30" s="486" t="str">
        <f aca="false">IFERROR(IF($E30="","",DITARI!$H34),"")</f>
        <v/>
      </c>
      <c r="I30" s="487" t="n">
        <f aca="false">IF($E30="",0,IFERROR(DITARI!$F34,0))</f>
        <v>0</v>
      </c>
      <c r="J30" s="487" t="n">
        <f aca="false">IF($E30="",0,IFERROR(DITARI!$G34,0))</f>
        <v>0</v>
      </c>
      <c r="K30" s="484" t="str">
        <f aca="false">IF($E30="","",IFERROR(VLOOKUP($E30,PLANI_LLOGARIVE!$A:$I,9,FALSE()),""))</f>
        <v/>
      </c>
      <c r="L30" s="487" t="str">
        <f aca="false">IF($E30="","",$I30-$J30)</f>
        <v/>
      </c>
      <c r="M30" s="484" t="str">
        <f aca="false">IF($E30="","",IF($I30&gt;0,"DEBIT",IF($J30&gt;0,"KREDIT","ZERO")))</f>
        <v/>
      </c>
      <c r="N30" s="484" t="str">
        <f aca="false">IF($E30="","",TEXT($B30,"yyyymmdd")&amp;"-"&amp;TEXT(ROW(),"0000"))</f>
        <v/>
      </c>
      <c r="O30" s="101" t="str">
        <f aca="false">IF($E30="","",$E30&amp;"")</f>
        <v/>
      </c>
      <c r="P30" s="101" t="str">
        <f aca="false">IF(AND($O30&lt;&gt;"",$I30&lt;&gt;0),COUNTIFS($O$2:O30,$O30,$I$2:I30,"&gt;0"),"")</f>
        <v/>
      </c>
      <c r="Q30" s="101" t="str">
        <f aca="false">IF(AND($O30&lt;&gt;"",$J30&lt;&gt;0),COUNTIFS($O$2:O30,$O30,$J$2:J30,"&gt;0"),"")</f>
        <v/>
      </c>
      <c r="R30" s="101" t="str">
        <f aca="false">IF($P30="","",$O30&amp;"|"&amp;$P30)</f>
        <v/>
      </c>
      <c r="S30" s="101" t="str">
        <f aca="false">IF($Q30="","",$O30&amp;"|"&amp;$Q30)</f>
        <v/>
      </c>
      <c r="T30" s="101" t="str">
        <f aca="false">IF($O30="","",COUNTIF($O$2:O30,$O30))</f>
        <v/>
      </c>
      <c r="U30" s="101" t="str">
        <f aca="false">IF($O30="","",$O30&amp;"|"&amp;$T30)</f>
        <v/>
      </c>
      <c r="V30" s="488" t="n">
        <f aca="false">IF(OR(LEFT($D30,5)="MB-CL",LEFT($D30,6)="MB-RES"),0,$I30)</f>
        <v>0</v>
      </c>
      <c r="W30" s="488" t="n">
        <f aca="false">IF(OR(LEFT($D30,5)="MB-CL",LEFT($D30,6)="MB-RES"),0,$J30)</f>
        <v>0</v>
      </c>
      <c r="X30" s="101" t="str">
        <f aca="false">IF($E30="","",LEFT($E30,1))</f>
        <v/>
      </c>
      <c r="Y30" s="101" t="str">
        <f aca="false">IF($E30="","",LEFT($E30,2))</f>
        <v/>
      </c>
      <c r="Z30" s="101" t="str">
        <f aca="false">IF($E30="","",LEFT($E30,3))</f>
        <v/>
      </c>
      <c r="AA30" s="101" t="str">
        <f aca="false">IF($E30="","",LEFT($E30,4))</f>
        <v/>
      </c>
    </row>
    <row r="31" customFormat="false" ht="15" hidden="false" customHeight="true" outlineLevel="0" collapsed="false">
      <c r="A31" s="484" t="str">
        <f aca="false">IF(DITARI!$D35="","",ROW()-1)</f>
        <v/>
      </c>
      <c r="B31" s="485" t="str">
        <f aca="false">IF(DITARI!$D35="","",DITARI!$A35)</f>
        <v/>
      </c>
      <c r="C31" s="484" t="str">
        <f aca="false">IF(DITARI!$D35="","",DITARI!$B35)</f>
        <v/>
      </c>
      <c r="D31" s="484" t="str">
        <f aca="false">IF(DITARI!$D35="","",DITARI!$C35)</f>
        <v/>
      </c>
      <c r="E31" s="484" t="str">
        <f aca="false">IF(DITARI!$D35="","",TRIM(DITARI!$D35&amp;""))</f>
        <v/>
      </c>
      <c r="F31" s="484" t="str">
        <f aca="false">IF($E31="","",IFERROR(VLOOKUP($E31,PLANI_LLOGARIVE!$A:$I,2,FALSE()),DITARI!$E35))</f>
        <v/>
      </c>
      <c r="G31" s="484" t="str">
        <f aca="false">IF($E31="","",DITARI!$I35)</f>
        <v/>
      </c>
      <c r="H31" s="486" t="str">
        <f aca="false">IFERROR(IF($E31="","",DITARI!$H35),"")</f>
        <v/>
      </c>
      <c r="I31" s="487" t="n">
        <f aca="false">IF($E31="",0,IFERROR(DITARI!$F35,0))</f>
        <v>0</v>
      </c>
      <c r="J31" s="487" t="n">
        <f aca="false">IF($E31="",0,IFERROR(DITARI!$G35,0))</f>
        <v>0</v>
      </c>
      <c r="K31" s="484" t="str">
        <f aca="false">IF($E31="","",IFERROR(VLOOKUP($E31,PLANI_LLOGARIVE!$A:$I,9,FALSE()),""))</f>
        <v/>
      </c>
      <c r="L31" s="487" t="str">
        <f aca="false">IF($E31="","",$I31-$J31)</f>
        <v/>
      </c>
      <c r="M31" s="484" t="str">
        <f aca="false">IF($E31="","",IF($I31&gt;0,"DEBIT",IF($J31&gt;0,"KREDIT","ZERO")))</f>
        <v/>
      </c>
      <c r="N31" s="484" t="str">
        <f aca="false">IF($E31="","",TEXT($B31,"yyyymmdd")&amp;"-"&amp;TEXT(ROW(),"0000"))</f>
        <v/>
      </c>
      <c r="O31" s="101" t="str">
        <f aca="false">IF($E31="","",$E31&amp;"")</f>
        <v/>
      </c>
      <c r="P31" s="101" t="str">
        <f aca="false">IF(AND($O31&lt;&gt;"",$I31&lt;&gt;0),COUNTIFS($O$2:O31,$O31,$I$2:I31,"&gt;0"),"")</f>
        <v/>
      </c>
      <c r="Q31" s="101" t="str">
        <f aca="false">IF(AND($O31&lt;&gt;"",$J31&lt;&gt;0),COUNTIFS($O$2:O31,$O31,$J$2:J31,"&gt;0"),"")</f>
        <v/>
      </c>
      <c r="R31" s="101" t="str">
        <f aca="false">IF($P31="","",$O31&amp;"|"&amp;$P31)</f>
        <v/>
      </c>
      <c r="S31" s="101" t="str">
        <f aca="false">IF($Q31="","",$O31&amp;"|"&amp;$Q31)</f>
        <v/>
      </c>
      <c r="T31" s="101" t="str">
        <f aca="false">IF($O31="","",COUNTIF($O$2:O31,$O31))</f>
        <v/>
      </c>
      <c r="U31" s="101" t="str">
        <f aca="false">IF($O31="","",$O31&amp;"|"&amp;$T31)</f>
        <v/>
      </c>
      <c r="V31" s="488" t="n">
        <f aca="false">IF(OR(LEFT($D31,5)="MB-CL",LEFT($D31,6)="MB-RES"),0,$I31)</f>
        <v>0</v>
      </c>
      <c r="W31" s="488" t="n">
        <f aca="false">IF(OR(LEFT($D31,5)="MB-CL",LEFT($D31,6)="MB-RES"),0,$J31)</f>
        <v>0</v>
      </c>
      <c r="X31" s="101" t="str">
        <f aca="false">IF($E31="","",LEFT($E31,1))</f>
        <v/>
      </c>
      <c r="Y31" s="101" t="str">
        <f aca="false">IF($E31="","",LEFT($E31,2))</f>
        <v/>
      </c>
      <c r="Z31" s="101" t="str">
        <f aca="false">IF($E31="","",LEFT($E31,3))</f>
        <v/>
      </c>
      <c r="AA31" s="101" t="str">
        <f aca="false">IF($E31="","",LEFT($E31,4))</f>
        <v/>
      </c>
    </row>
    <row r="32" customFormat="false" ht="15" hidden="false" customHeight="true" outlineLevel="0" collapsed="false">
      <c r="A32" s="484" t="str">
        <f aca="false">IF(DITARI!$D36="","",ROW()-1)</f>
        <v/>
      </c>
      <c r="B32" s="485" t="str">
        <f aca="false">IF(DITARI!$D36="","",DITARI!$A36)</f>
        <v/>
      </c>
      <c r="C32" s="484" t="str">
        <f aca="false">IF(DITARI!$D36="","",DITARI!$B36)</f>
        <v/>
      </c>
      <c r="D32" s="484" t="str">
        <f aca="false">IF(DITARI!$D36="","",DITARI!$C36)</f>
        <v/>
      </c>
      <c r="E32" s="484" t="str">
        <f aca="false">IF(DITARI!$D36="","",TRIM(DITARI!$D36&amp;""))</f>
        <v/>
      </c>
      <c r="F32" s="484" t="str">
        <f aca="false">IF($E32="","",IFERROR(VLOOKUP($E32,PLANI_LLOGARIVE!$A:$I,2,FALSE()),DITARI!$E36))</f>
        <v/>
      </c>
      <c r="G32" s="484" t="str">
        <f aca="false">IF($E32="","",DITARI!$I36)</f>
        <v/>
      </c>
      <c r="H32" s="486" t="str">
        <f aca="false">IFERROR(IF($E32="","",DITARI!$H36),"")</f>
        <v/>
      </c>
      <c r="I32" s="487" t="n">
        <f aca="false">IF($E32="",0,IFERROR(DITARI!$F36,0))</f>
        <v>0</v>
      </c>
      <c r="J32" s="487" t="n">
        <f aca="false">IF($E32="",0,IFERROR(DITARI!$G36,0))</f>
        <v>0</v>
      </c>
      <c r="K32" s="484" t="str">
        <f aca="false">IF($E32="","",IFERROR(VLOOKUP($E32,PLANI_LLOGARIVE!$A:$I,9,FALSE()),""))</f>
        <v/>
      </c>
      <c r="L32" s="487" t="str">
        <f aca="false">IF($E32="","",$I32-$J32)</f>
        <v/>
      </c>
      <c r="M32" s="484" t="str">
        <f aca="false">IF($E32="","",IF($I32&gt;0,"DEBIT",IF($J32&gt;0,"KREDIT","ZERO")))</f>
        <v/>
      </c>
      <c r="N32" s="484" t="str">
        <f aca="false">IF($E32="","",TEXT($B32,"yyyymmdd")&amp;"-"&amp;TEXT(ROW(),"0000"))</f>
        <v/>
      </c>
      <c r="O32" s="101" t="str">
        <f aca="false">IF($E32="","",$E32&amp;"")</f>
        <v/>
      </c>
      <c r="P32" s="101" t="str">
        <f aca="false">IF(AND($O32&lt;&gt;"",$I32&lt;&gt;0),COUNTIFS($O$2:O32,$O32,$I$2:I32,"&gt;0"),"")</f>
        <v/>
      </c>
      <c r="Q32" s="101" t="str">
        <f aca="false">IF(AND($O32&lt;&gt;"",$J32&lt;&gt;0),COUNTIFS($O$2:O32,$O32,$J$2:J32,"&gt;0"),"")</f>
        <v/>
      </c>
      <c r="R32" s="101" t="str">
        <f aca="false">IF($P32="","",$O32&amp;"|"&amp;$P32)</f>
        <v/>
      </c>
      <c r="S32" s="101" t="str">
        <f aca="false">IF($Q32="","",$O32&amp;"|"&amp;$Q32)</f>
        <v/>
      </c>
      <c r="T32" s="101" t="str">
        <f aca="false">IF($O32="","",COUNTIF($O$2:O32,$O32))</f>
        <v/>
      </c>
      <c r="U32" s="101" t="str">
        <f aca="false">IF($O32="","",$O32&amp;"|"&amp;$T32)</f>
        <v/>
      </c>
      <c r="V32" s="488" t="n">
        <f aca="false">IF(OR(LEFT($D32,5)="MB-CL",LEFT($D32,6)="MB-RES"),0,$I32)</f>
        <v>0</v>
      </c>
      <c r="W32" s="488" t="n">
        <f aca="false">IF(OR(LEFT($D32,5)="MB-CL",LEFT($D32,6)="MB-RES"),0,$J32)</f>
        <v>0</v>
      </c>
      <c r="X32" s="101" t="str">
        <f aca="false">IF($E32="","",LEFT($E32,1))</f>
        <v/>
      </c>
      <c r="Y32" s="101" t="str">
        <f aca="false">IF($E32="","",LEFT($E32,2))</f>
        <v/>
      </c>
      <c r="Z32" s="101" t="str">
        <f aca="false">IF($E32="","",LEFT($E32,3))</f>
        <v/>
      </c>
      <c r="AA32" s="101" t="str">
        <f aca="false">IF($E32="","",LEFT($E32,4))</f>
        <v/>
      </c>
    </row>
    <row r="33" customFormat="false" ht="15" hidden="false" customHeight="true" outlineLevel="0" collapsed="false">
      <c r="A33" s="484" t="str">
        <f aca="false">IF(DITARI!$D37="","",ROW()-1)</f>
        <v/>
      </c>
      <c r="B33" s="485" t="str">
        <f aca="false">IF(DITARI!$D37="","",DITARI!$A37)</f>
        <v/>
      </c>
      <c r="C33" s="484" t="str">
        <f aca="false">IF(DITARI!$D37="","",DITARI!$B37)</f>
        <v/>
      </c>
      <c r="D33" s="484" t="str">
        <f aca="false">IF(DITARI!$D37="","",DITARI!$C37)</f>
        <v/>
      </c>
      <c r="E33" s="484" t="str">
        <f aca="false">IF(DITARI!$D37="","",TRIM(DITARI!$D37&amp;""))</f>
        <v/>
      </c>
      <c r="F33" s="484" t="str">
        <f aca="false">IF($E33="","",IFERROR(VLOOKUP($E33,PLANI_LLOGARIVE!$A:$I,2,FALSE()),DITARI!$E37))</f>
        <v/>
      </c>
      <c r="G33" s="484" t="str">
        <f aca="false">IF($E33="","",DITARI!$I37)</f>
        <v/>
      </c>
      <c r="H33" s="486" t="str">
        <f aca="false">IFERROR(IF($E33="","",DITARI!$H37),"")</f>
        <v/>
      </c>
      <c r="I33" s="487" t="n">
        <f aca="false">IF($E33="",0,IFERROR(DITARI!$F37,0))</f>
        <v>0</v>
      </c>
      <c r="J33" s="487" t="n">
        <f aca="false">IF($E33="",0,IFERROR(DITARI!$G37,0))</f>
        <v>0</v>
      </c>
      <c r="K33" s="484" t="str">
        <f aca="false">IF($E33="","",IFERROR(VLOOKUP($E33,PLANI_LLOGARIVE!$A:$I,9,FALSE()),""))</f>
        <v/>
      </c>
      <c r="L33" s="487" t="str">
        <f aca="false">IF($E33="","",$I33-$J33)</f>
        <v/>
      </c>
      <c r="M33" s="484" t="str">
        <f aca="false">IF($E33="","",IF($I33&gt;0,"DEBIT",IF($J33&gt;0,"KREDIT","ZERO")))</f>
        <v/>
      </c>
      <c r="N33" s="484" t="str">
        <f aca="false">IF($E33="","",TEXT($B33,"yyyymmdd")&amp;"-"&amp;TEXT(ROW(),"0000"))</f>
        <v/>
      </c>
      <c r="O33" s="101" t="str">
        <f aca="false">IF($E33="","",$E33&amp;"")</f>
        <v/>
      </c>
      <c r="P33" s="101" t="str">
        <f aca="false">IF(AND($O33&lt;&gt;"",$I33&lt;&gt;0),COUNTIFS($O$2:O33,$O33,$I$2:I33,"&gt;0"),"")</f>
        <v/>
      </c>
      <c r="Q33" s="101" t="str">
        <f aca="false">IF(AND($O33&lt;&gt;"",$J33&lt;&gt;0),COUNTIFS($O$2:O33,$O33,$J$2:J33,"&gt;0"),"")</f>
        <v/>
      </c>
      <c r="R33" s="101" t="str">
        <f aca="false">IF($P33="","",$O33&amp;"|"&amp;$P33)</f>
        <v/>
      </c>
      <c r="S33" s="101" t="str">
        <f aca="false">IF($Q33="","",$O33&amp;"|"&amp;$Q33)</f>
        <v/>
      </c>
      <c r="T33" s="101" t="str">
        <f aca="false">IF($O33="","",COUNTIF($O$2:O33,$O33))</f>
        <v/>
      </c>
      <c r="U33" s="101" t="str">
        <f aca="false">IF($O33="","",$O33&amp;"|"&amp;$T33)</f>
        <v/>
      </c>
      <c r="V33" s="488" t="n">
        <f aca="false">IF(OR(LEFT($D33,5)="MB-CL",LEFT($D33,6)="MB-RES"),0,$I33)</f>
        <v>0</v>
      </c>
      <c r="W33" s="488" t="n">
        <f aca="false">IF(OR(LEFT($D33,5)="MB-CL",LEFT($D33,6)="MB-RES"),0,$J33)</f>
        <v>0</v>
      </c>
      <c r="X33" s="101" t="str">
        <f aca="false">IF($E33="","",LEFT($E33,1))</f>
        <v/>
      </c>
      <c r="Y33" s="101" t="str">
        <f aca="false">IF($E33="","",LEFT($E33,2))</f>
        <v/>
      </c>
      <c r="Z33" s="101" t="str">
        <f aca="false">IF($E33="","",LEFT($E33,3))</f>
        <v/>
      </c>
      <c r="AA33" s="101" t="str">
        <f aca="false">IF($E33="","",LEFT($E33,4))</f>
        <v/>
      </c>
    </row>
    <row r="34" customFormat="false" ht="15" hidden="false" customHeight="true" outlineLevel="0" collapsed="false">
      <c r="A34" s="484" t="str">
        <f aca="false">IF(DITARI!$D38="","",ROW()-1)</f>
        <v/>
      </c>
      <c r="B34" s="485" t="str">
        <f aca="false">IF(DITARI!$D38="","",DITARI!$A38)</f>
        <v/>
      </c>
      <c r="C34" s="484" t="str">
        <f aca="false">IF(DITARI!$D38="","",DITARI!$B38)</f>
        <v/>
      </c>
      <c r="D34" s="484" t="str">
        <f aca="false">IF(DITARI!$D38="","",DITARI!$C38)</f>
        <v/>
      </c>
      <c r="E34" s="484" t="str">
        <f aca="false">IF(DITARI!$D38="","",TRIM(DITARI!$D38&amp;""))</f>
        <v/>
      </c>
      <c r="F34" s="484" t="str">
        <f aca="false">IF($E34="","",IFERROR(VLOOKUP($E34,PLANI_LLOGARIVE!$A:$I,2,FALSE()),DITARI!$E38))</f>
        <v/>
      </c>
      <c r="G34" s="484" t="str">
        <f aca="false">IF($E34="","",DITARI!$I38)</f>
        <v/>
      </c>
      <c r="H34" s="486" t="str">
        <f aca="false">IFERROR(IF($E34="","",DITARI!$H38),"")</f>
        <v/>
      </c>
      <c r="I34" s="487" t="n">
        <f aca="false">IF($E34="",0,IFERROR(DITARI!$F38,0))</f>
        <v>0</v>
      </c>
      <c r="J34" s="487" t="n">
        <f aca="false">IF($E34="",0,IFERROR(DITARI!$G38,0))</f>
        <v>0</v>
      </c>
      <c r="K34" s="484" t="str">
        <f aca="false">IF($E34="","",IFERROR(VLOOKUP($E34,PLANI_LLOGARIVE!$A:$I,9,FALSE()),""))</f>
        <v/>
      </c>
      <c r="L34" s="487" t="str">
        <f aca="false">IF($E34="","",$I34-$J34)</f>
        <v/>
      </c>
      <c r="M34" s="484" t="str">
        <f aca="false">IF($E34="","",IF($I34&gt;0,"DEBIT",IF($J34&gt;0,"KREDIT","ZERO")))</f>
        <v/>
      </c>
      <c r="N34" s="484" t="str">
        <f aca="false">IF($E34="","",TEXT($B34,"yyyymmdd")&amp;"-"&amp;TEXT(ROW(),"0000"))</f>
        <v/>
      </c>
      <c r="O34" s="101" t="str">
        <f aca="false">IF($E34="","",$E34&amp;"")</f>
        <v/>
      </c>
      <c r="P34" s="101" t="str">
        <f aca="false">IF(AND($O34&lt;&gt;"",$I34&lt;&gt;0),COUNTIFS($O$2:O34,$O34,$I$2:I34,"&gt;0"),"")</f>
        <v/>
      </c>
      <c r="Q34" s="101" t="str">
        <f aca="false">IF(AND($O34&lt;&gt;"",$J34&lt;&gt;0),COUNTIFS($O$2:O34,$O34,$J$2:J34,"&gt;0"),"")</f>
        <v/>
      </c>
      <c r="R34" s="101" t="str">
        <f aca="false">IF($P34="","",$O34&amp;"|"&amp;$P34)</f>
        <v/>
      </c>
      <c r="S34" s="101" t="str">
        <f aca="false">IF($Q34="","",$O34&amp;"|"&amp;$Q34)</f>
        <v/>
      </c>
      <c r="T34" s="101" t="str">
        <f aca="false">IF($O34="","",COUNTIF($O$2:O34,$O34))</f>
        <v/>
      </c>
      <c r="U34" s="101" t="str">
        <f aca="false">IF($O34="","",$O34&amp;"|"&amp;$T34)</f>
        <v/>
      </c>
      <c r="V34" s="488" t="n">
        <f aca="false">IF(OR(LEFT($D34,5)="MB-CL",LEFT($D34,6)="MB-RES"),0,$I34)</f>
        <v>0</v>
      </c>
      <c r="W34" s="488" t="n">
        <f aca="false">IF(OR(LEFT($D34,5)="MB-CL",LEFT($D34,6)="MB-RES"),0,$J34)</f>
        <v>0</v>
      </c>
      <c r="X34" s="101" t="str">
        <f aca="false">IF($E34="","",LEFT($E34,1))</f>
        <v/>
      </c>
      <c r="Y34" s="101" t="str">
        <f aca="false">IF($E34="","",LEFT($E34,2))</f>
        <v/>
      </c>
      <c r="Z34" s="101" t="str">
        <f aca="false">IF($E34="","",LEFT($E34,3))</f>
        <v/>
      </c>
      <c r="AA34" s="101" t="str">
        <f aca="false">IF($E34="","",LEFT($E34,4))</f>
        <v/>
      </c>
    </row>
    <row r="35" customFormat="false" ht="15" hidden="false" customHeight="true" outlineLevel="0" collapsed="false">
      <c r="A35" s="484" t="str">
        <f aca="false">IF(DITARI!$D39="","",ROW()-1)</f>
        <v/>
      </c>
      <c r="B35" s="485" t="str">
        <f aca="false">IF(DITARI!$D39="","",DITARI!$A39)</f>
        <v/>
      </c>
      <c r="C35" s="484" t="str">
        <f aca="false">IF(DITARI!$D39="","",DITARI!$B39)</f>
        <v/>
      </c>
      <c r="D35" s="484" t="str">
        <f aca="false">IF(DITARI!$D39="","",DITARI!$C39)</f>
        <v/>
      </c>
      <c r="E35" s="484" t="str">
        <f aca="false">IF(DITARI!$D39="","",TRIM(DITARI!$D39&amp;""))</f>
        <v/>
      </c>
      <c r="F35" s="484" t="str">
        <f aca="false">IF($E35="","",IFERROR(VLOOKUP($E35,PLANI_LLOGARIVE!$A:$I,2,FALSE()),DITARI!$E39))</f>
        <v/>
      </c>
      <c r="G35" s="484" t="str">
        <f aca="false">IF($E35="","",DITARI!$I39)</f>
        <v/>
      </c>
      <c r="H35" s="486" t="str">
        <f aca="false">IFERROR(IF($E35="","",DITARI!$H39),"")</f>
        <v/>
      </c>
      <c r="I35" s="487" t="n">
        <f aca="false">IF($E35="",0,IFERROR(DITARI!$F39,0))</f>
        <v>0</v>
      </c>
      <c r="J35" s="487" t="n">
        <f aca="false">IF($E35="",0,IFERROR(DITARI!$G39,0))</f>
        <v>0</v>
      </c>
      <c r="K35" s="484" t="str">
        <f aca="false">IF($E35="","",IFERROR(VLOOKUP($E35,PLANI_LLOGARIVE!$A:$I,9,FALSE()),""))</f>
        <v/>
      </c>
      <c r="L35" s="487" t="str">
        <f aca="false">IF($E35="","",$I35-$J35)</f>
        <v/>
      </c>
      <c r="M35" s="484" t="str">
        <f aca="false">IF($E35="","",IF($I35&gt;0,"DEBIT",IF($J35&gt;0,"KREDIT","ZERO")))</f>
        <v/>
      </c>
      <c r="N35" s="484" t="str">
        <f aca="false">IF($E35="","",TEXT($B35,"yyyymmdd")&amp;"-"&amp;TEXT(ROW(),"0000"))</f>
        <v/>
      </c>
      <c r="O35" s="101" t="str">
        <f aca="false">IF($E35="","",$E35&amp;"")</f>
        <v/>
      </c>
      <c r="P35" s="101" t="str">
        <f aca="false">IF(AND($O35&lt;&gt;"",$I35&lt;&gt;0),COUNTIFS($O$2:O35,$O35,$I$2:I35,"&gt;0"),"")</f>
        <v/>
      </c>
      <c r="Q35" s="101" t="str">
        <f aca="false">IF(AND($O35&lt;&gt;"",$J35&lt;&gt;0),COUNTIFS($O$2:O35,$O35,$J$2:J35,"&gt;0"),"")</f>
        <v/>
      </c>
      <c r="R35" s="101" t="str">
        <f aca="false">IF($P35="","",$O35&amp;"|"&amp;$P35)</f>
        <v/>
      </c>
      <c r="S35" s="101" t="str">
        <f aca="false">IF($Q35="","",$O35&amp;"|"&amp;$Q35)</f>
        <v/>
      </c>
      <c r="T35" s="101" t="str">
        <f aca="false">IF($O35="","",COUNTIF($O$2:O35,$O35))</f>
        <v/>
      </c>
      <c r="U35" s="101" t="str">
        <f aca="false">IF($O35="","",$O35&amp;"|"&amp;$T35)</f>
        <v/>
      </c>
      <c r="V35" s="488" t="n">
        <f aca="false">IF(OR(LEFT($D35,5)="MB-CL",LEFT($D35,6)="MB-RES"),0,$I35)</f>
        <v>0</v>
      </c>
      <c r="W35" s="488" t="n">
        <f aca="false">IF(OR(LEFT($D35,5)="MB-CL",LEFT($D35,6)="MB-RES"),0,$J35)</f>
        <v>0</v>
      </c>
      <c r="X35" s="101" t="str">
        <f aca="false">IF($E35="","",LEFT($E35,1))</f>
        <v/>
      </c>
      <c r="Y35" s="101" t="str">
        <f aca="false">IF($E35="","",LEFT($E35,2))</f>
        <v/>
      </c>
      <c r="Z35" s="101" t="str">
        <f aca="false">IF($E35="","",LEFT($E35,3))</f>
        <v/>
      </c>
      <c r="AA35" s="101" t="str">
        <f aca="false">IF($E35="","",LEFT($E35,4))</f>
        <v/>
      </c>
    </row>
    <row r="36" customFormat="false" ht="15" hidden="false" customHeight="true" outlineLevel="0" collapsed="false">
      <c r="A36" s="484" t="str">
        <f aca="false">IF(DITARI!$D40="","",ROW()-1)</f>
        <v/>
      </c>
      <c r="B36" s="485" t="str">
        <f aca="false">IF(DITARI!$D40="","",DITARI!$A40)</f>
        <v/>
      </c>
      <c r="C36" s="484" t="str">
        <f aca="false">IF(DITARI!$D40="","",DITARI!$B40)</f>
        <v/>
      </c>
      <c r="D36" s="484" t="str">
        <f aca="false">IF(DITARI!$D40="","",DITARI!$C40)</f>
        <v/>
      </c>
      <c r="E36" s="484" t="str">
        <f aca="false">IF(DITARI!$D40="","",TRIM(DITARI!$D40&amp;""))</f>
        <v/>
      </c>
      <c r="F36" s="484" t="str">
        <f aca="false">IF($E36="","",IFERROR(VLOOKUP($E36,PLANI_LLOGARIVE!$A:$I,2,FALSE()),DITARI!$E40))</f>
        <v/>
      </c>
      <c r="G36" s="484" t="str">
        <f aca="false">IF($E36="","",DITARI!$I40)</f>
        <v/>
      </c>
      <c r="H36" s="486" t="str">
        <f aca="false">IFERROR(IF($E36="","",DITARI!$H40),"")</f>
        <v/>
      </c>
      <c r="I36" s="487" t="n">
        <f aca="false">IF($E36="",0,IFERROR(DITARI!$F40,0))</f>
        <v>0</v>
      </c>
      <c r="J36" s="487" t="n">
        <f aca="false">IF($E36="",0,IFERROR(DITARI!$G40,0))</f>
        <v>0</v>
      </c>
      <c r="K36" s="484" t="str">
        <f aca="false">IF($E36="","",IFERROR(VLOOKUP($E36,PLANI_LLOGARIVE!$A:$I,9,FALSE()),""))</f>
        <v/>
      </c>
      <c r="L36" s="487" t="str">
        <f aca="false">IF($E36="","",$I36-$J36)</f>
        <v/>
      </c>
      <c r="M36" s="484" t="str">
        <f aca="false">IF($E36="","",IF($I36&gt;0,"DEBIT",IF($J36&gt;0,"KREDIT","ZERO")))</f>
        <v/>
      </c>
      <c r="N36" s="484" t="str">
        <f aca="false">IF($E36="","",TEXT($B36,"yyyymmdd")&amp;"-"&amp;TEXT(ROW(),"0000"))</f>
        <v/>
      </c>
      <c r="O36" s="101" t="str">
        <f aca="false">IF($E36="","",$E36&amp;"")</f>
        <v/>
      </c>
      <c r="P36" s="101" t="str">
        <f aca="false">IF(AND($O36&lt;&gt;"",$I36&lt;&gt;0),COUNTIFS($O$2:O36,$O36,$I$2:I36,"&gt;0"),"")</f>
        <v/>
      </c>
      <c r="Q36" s="101" t="str">
        <f aca="false">IF(AND($O36&lt;&gt;"",$J36&lt;&gt;0),COUNTIFS($O$2:O36,$O36,$J$2:J36,"&gt;0"),"")</f>
        <v/>
      </c>
      <c r="R36" s="101" t="str">
        <f aca="false">IF($P36="","",$O36&amp;"|"&amp;$P36)</f>
        <v/>
      </c>
      <c r="S36" s="101" t="str">
        <f aca="false">IF($Q36="","",$O36&amp;"|"&amp;$Q36)</f>
        <v/>
      </c>
      <c r="T36" s="101" t="str">
        <f aca="false">IF($O36="","",COUNTIF($O$2:O36,$O36))</f>
        <v/>
      </c>
      <c r="U36" s="101" t="str">
        <f aca="false">IF($O36="","",$O36&amp;"|"&amp;$T36)</f>
        <v/>
      </c>
      <c r="V36" s="488" t="n">
        <f aca="false">IF(OR(LEFT($D36,5)="MB-CL",LEFT($D36,6)="MB-RES"),0,$I36)</f>
        <v>0</v>
      </c>
      <c r="W36" s="488" t="n">
        <f aca="false">IF(OR(LEFT($D36,5)="MB-CL",LEFT($D36,6)="MB-RES"),0,$J36)</f>
        <v>0</v>
      </c>
      <c r="X36" s="101" t="str">
        <f aca="false">IF($E36="","",LEFT($E36,1))</f>
        <v/>
      </c>
      <c r="Y36" s="101" t="str">
        <f aca="false">IF($E36="","",LEFT($E36,2))</f>
        <v/>
      </c>
      <c r="Z36" s="101" t="str">
        <f aca="false">IF($E36="","",LEFT($E36,3))</f>
        <v/>
      </c>
      <c r="AA36" s="101" t="str">
        <f aca="false">IF($E36="","",LEFT($E36,4))</f>
        <v/>
      </c>
    </row>
    <row r="37" customFormat="false" ht="15" hidden="false" customHeight="true" outlineLevel="0" collapsed="false">
      <c r="A37" s="484" t="str">
        <f aca="false">IF(DITARI!$D41="","",ROW()-1)</f>
        <v/>
      </c>
      <c r="B37" s="485" t="str">
        <f aca="false">IF(DITARI!$D41="","",DITARI!$A41)</f>
        <v/>
      </c>
      <c r="C37" s="484" t="str">
        <f aca="false">IF(DITARI!$D41="","",DITARI!$B41)</f>
        <v/>
      </c>
      <c r="D37" s="484" t="str">
        <f aca="false">IF(DITARI!$D41="","",DITARI!$C41)</f>
        <v/>
      </c>
      <c r="E37" s="484" t="str">
        <f aca="false">IF(DITARI!$D41="","",TRIM(DITARI!$D41&amp;""))</f>
        <v/>
      </c>
      <c r="F37" s="484" t="str">
        <f aca="false">IF($E37="","",IFERROR(VLOOKUP($E37,PLANI_LLOGARIVE!$A:$I,2,FALSE()),DITARI!$E41))</f>
        <v/>
      </c>
      <c r="G37" s="484" t="str">
        <f aca="false">IF($E37="","",DITARI!$I41)</f>
        <v/>
      </c>
      <c r="H37" s="486" t="str">
        <f aca="false">IFERROR(IF($E37="","",DITARI!$H41),"")</f>
        <v/>
      </c>
      <c r="I37" s="487" t="n">
        <f aca="false">IF($E37="",0,IFERROR(DITARI!$F41,0))</f>
        <v>0</v>
      </c>
      <c r="J37" s="487" t="n">
        <f aca="false">IF($E37="",0,IFERROR(DITARI!$G41,0))</f>
        <v>0</v>
      </c>
      <c r="K37" s="484" t="str">
        <f aca="false">IF($E37="","",IFERROR(VLOOKUP($E37,PLANI_LLOGARIVE!$A:$I,9,FALSE()),""))</f>
        <v/>
      </c>
      <c r="L37" s="487" t="str">
        <f aca="false">IF($E37="","",$I37-$J37)</f>
        <v/>
      </c>
      <c r="M37" s="484" t="str">
        <f aca="false">IF($E37="","",IF($I37&gt;0,"DEBIT",IF($J37&gt;0,"KREDIT","ZERO")))</f>
        <v/>
      </c>
      <c r="N37" s="484" t="str">
        <f aca="false">IF($E37="","",TEXT($B37,"yyyymmdd")&amp;"-"&amp;TEXT(ROW(),"0000"))</f>
        <v/>
      </c>
      <c r="O37" s="101" t="str">
        <f aca="false">IF($E37="","",$E37&amp;"")</f>
        <v/>
      </c>
      <c r="P37" s="101" t="str">
        <f aca="false">IF(AND($O37&lt;&gt;"",$I37&lt;&gt;0),COUNTIFS($O$2:O37,$O37,$I$2:I37,"&gt;0"),"")</f>
        <v/>
      </c>
      <c r="Q37" s="101" t="str">
        <f aca="false">IF(AND($O37&lt;&gt;"",$J37&lt;&gt;0),COUNTIFS($O$2:O37,$O37,$J$2:J37,"&gt;0"),"")</f>
        <v/>
      </c>
      <c r="R37" s="101" t="str">
        <f aca="false">IF($P37="","",$O37&amp;"|"&amp;$P37)</f>
        <v/>
      </c>
      <c r="S37" s="101" t="str">
        <f aca="false">IF($Q37="","",$O37&amp;"|"&amp;$Q37)</f>
        <v/>
      </c>
      <c r="T37" s="101" t="str">
        <f aca="false">IF($O37="","",COUNTIF($O$2:O37,$O37))</f>
        <v/>
      </c>
      <c r="U37" s="101" t="str">
        <f aca="false">IF($O37="","",$O37&amp;"|"&amp;$T37)</f>
        <v/>
      </c>
      <c r="V37" s="488" t="n">
        <f aca="false">IF(OR(LEFT($D37,5)="MB-CL",LEFT($D37,6)="MB-RES"),0,$I37)</f>
        <v>0</v>
      </c>
      <c r="W37" s="488" t="n">
        <f aca="false">IF(OR(LEFT($D37,5)="MB-CL",LEFT($D37,6)="MB-RES"),0,$J37)</f>
        <v>0</v>
      </c>
      <c r="X37" s="101" t="str">
        <f aca="false">IF($E37="","",LEFT($E37,1))</f>
        <v/>
      </c>
      <c r="Y37" s="101" t="str">
        <f aca="false">IF($E37="","",LEFT($E37,2))</f>
        <v/>
      </c>
      <c r="Z37" s="101" t="str">
        <f aca="false">IF($E37="","",LEFT($E37,3))</f>
        <v/>
      </c>
      <c r="AA37" s="101" t="str">
        <f aca="false">IF($E37="","",LEFT($E37,4))</f>
        <v/>
      </c>
    </row>
    <row r="38" customFormat="false" ht="15" hidden="false" customHeight="true" outlineLevel="0" collapsed="false">
      <c r="A38" s="484" t="str">
        <f aca="false">IF(DITARI!$D42="","",ROW()-1)</f>
        <v/>
      </c>
      <c r="B38" s="485" t="str">
        <f aca="false">IF(DITARI!$D42="","",DITARI!$A42)</f>
        <v/>
      </c>
      <c r="C38" s="484" t="str">
        <f aca="false">IF(DITARI!$D42="","",DITARI!$B42)</f>
        <v/>
      </c>
      <c r="D38" s="484" t="str">
        <f aca="false">IF(DITARI!$D42="","",DITARI!$C42)</f>
        <v/>
      </c>
      <c r="E38" s="484" t="str">
        <f aca="false">IF(DITARI!$D42="","",TRIM(DITARI!$D42&amp;""))</f>
        <v/>
      </c>
      <c r="F38" s="484" t="str">
        <f aca="false">IF($E38="","",IFERROR(VLOOKUP($E38,PLANI_LLOGARIVE!$A:$I,2,FALSE()),DITARI!$E42))</f>
        <v/>
      </c>
      <c r="G38" s="484" t="str">
        <f aca="false">IF($E38="","",DITARI!$I42)</f>
        <v/>
      </c>
      <c r="H38" s="486" t="str">
        <f aca="false">IFERROR(IF($E38="","",DITARI!$H42),"")</f>
        <v/>
      </c>
      <c r="I38" s="487" t="n">
        <f aca="false">IF($E38="",0,IFERROR(DITARI!$F42,0))</f>
        <v>0</v>
      </c>
      <c r="J38" s="487" t="n">
        <f aca="false">IF($E38="",0,IFERROR(DITARI!$G42,0))</f>
        <v>0</v>
      </c>
      <c r="K38" s="484" t="str">
        <f aca="false">IF($E38="","",IFERROR(VLOOKUP($E38,PLANI_LLOGARIVE!$A:$I,9,FALSE()),""))</f>
        <v/>
      </c>
      <c r="L38" s="487" t="str">
        <f aca="false">IF($E38="","",$I38-$J38)</f>
        <v/>
      </c>
      <c r="M38" s="484" t="str">
        <f aca="false">IF($E38="","",IF($I38&gt;0,"DEBIT",IF($J38&gt;0,"KREDIT","ZERO")))</f>
        <v/>
      </c>
      <c r="N38" s="484" t="str">
        <f aca="false">IF($E38="","",TEXT($B38,"yyyymmdd")&amp;"-"&amp;TEXT(ROW(),"0000"))</f>
        <v/>
      </c>
      <c r="O38" s="101" t="str">
        <f aca="false">IF($E38="","",$E38&amp;"")</f>
        <v/>
      </c>
      <c r="P38" s="101" t="str">
        <f aca="false">IF(AND($O38&lt;&gt;"",$I38&lt;&gt;0),COUNTIFS($O$2:O38,$O38,$I$2:I38,"&gt;0"),"")</f>
        <v/>
      </c>
      <c r="Q38" s="101" t="str">
        <f aca="false">IF(AND($O38&lt;&gt;"",$J38&lt;&gt;0),COUNTIFS($O$2:O38,$O38,$J$2:J38,"&gt;0"),"")</f>
        <v/>
      </c>
      <c r="R38" s="101" t="str">
        <f aca="false">IF($P38="","",$O38&amp;"|"&amp;$P38)</f>
        <v/>
      </c>
      <c r="S38" s="101" t="str">
        <f aca="false">IF($Q38="","",$O38&amp;"|"&amp;$Q38)</f>
        <v/>
      </c>
      <c r="T38" s="101" t="str">
        <f aca="false">IF($O38="","",COUNTIF($O$2:O38,$O38))</f>
        <v/>
      </c>
      <c r="U38" s="101" t="str">
        <f aca="false">IF($O38="","",$O38&amp;"|"&amp;$T38)</f>
        <v/>
      </c>
      <c r="V38" s="488" t="n">
        <f aca="false">IF(OR(LEFT($D38,5)="MB-CL",LEFT($D38,6)="MB-RES"),0,$I38)</f>
        <v>0</v>
      </c>
      <c r="W38" s="488" t="n">
        <f aca="false">IF(OR(LEFT($D38,5)="MB-CL",LEFT($D38,6)="MB-RES"),0,$J38)</f>
        <v>0</v>
      </c>
      <c r="X38" s="101" t="str">
        <f aca="false">IF($E38="","",LEFT($E38,1))</f>
        <v/>
      </c>
      <c r="Y38" s="101" t="str">
        <f aca="false">IF($E38="","",LEFT($E38,2))</f>
        <v/>
      </c>
      <c r="Z38" s="101" t="str">
        <f aca="false">IF($E38="","",LEFT($E38,3))</f>
        <v/>
      </c>
      <c r="AA38" s="101" t="str">
        <f aca="false">IF($E38="","",LEFT($E38,4))</f>
        <v/>
      </c>
    </row>
    <row r="39" customFormat="false" ht="15" hidden="false" customHeight="true" outlineLevel="0" collapsed="false">
      <c r="A39" s="484" t="str">
        <f aca="false">IF(DITARI!$D43="","",ROW()-1)</f>
        <v/>
      </c>
      <c r="B39" s="485" t="str">
        <f aca="false">IF(DITARI!$D43="","",DITARI!$A43)</f>
        <v/>
      </c>
      <c r="C39" s="484" t="str">
        <f aca="false">IF(DITARI!$D43="","",DITARI!$B43)</f>
        <v/>
      </c>
      <c r="D39" s="484" t="str">
        <f aca="false">IF(DITARI!$D43="","",DITARI!$C43)</f>
        <v/>
      </c>
      <c r="E39" s="484" t="str">
        <f aca="false">IF(DITARI!$D43="","",TRIM(DITARI!$D43&amp;""))</f>
        <v/>
      </c>
      <c r="F39" s="484" t="str">
        <f aca="false">IF($E39="","",IFERROR(VLOOKUP($E39,PLANI_LLOGARIVE!$A:$I,2,FALSE()),DITARI!$E43))</f>
        <v/>
      </c>
      <c r="G39" s="484" t="str">
        <f aca="false">IF($E39="","",DITARI!$I43)</f>
        <v/>
      </c>
      <c r="H39" s="486" t="str">
        <f aca="false">IFERROR(IF($E39="","",DITARI!$H43),"")</f>
        <v/>
      </c>
      <c r="I39" s="487" t="n">
        <f aca="false">IF($E39="",0,IFERROR(DITARI!$F43,0))</f>
        <v>0</v>
      </c>
      <c r="J39" s="487" t="n">
        <f aca="false">IF($E39="",0,IFERROR(DITARI!$G43,0))</f>
        <v>0</v>
      </c>
      <c r="K39" s="484" t="str">
        <f aca="false">IF($E39="","",IFERROR(VLOOKUP($E39,PLANI_LLOGARIVE!$A:$I,9,FALSE()),""))</f>
        <v/>
      </c>
      <c r="L39" s="487" t="str">
        <f aca="false">IF($E39="","",$I39-$J39)</f>
        <v/>
      </c>
      <c r="M39" s="484" t="str">
        <f aca="false">IF($E39="","",IF($I39&gt;0,"DEBIT",IF($J39&gt;0,"KREDIT","ZERO")))</f>
        <v/>
      </c>
      <c r="N39" s="484" t="str">
        <f aca="false">IF($E39="","",TEXT($B39,"yyyymmdd")&amp;"-"&amp;TEXT(ROW(),"0000"))</f>
        <v/>
      </c>
      <c r="O39" s="101" t="str">
        <f aca="false">IF($E39="","",$E39&amp;"")</f>
        <v/>
      </c>
      <c r="P39" s="101" t="str">
        <f aca="false">IF(AND($O39&lt;&gt;"",$I39&lt;&gt;0),COUNTIFS($O$2:O39,$O39,$I$2:I39,"&gt;0"),"")</f>
        <v/>
      </c>
      <c r="Q39" s="101" t="str">
        <f aca="false">IF(AND($O39&lt;&gt;"",$J39&lt;&gt;0),COUNTIFS($O$2:O39,$O39,$J$2:J39,"&gt;0"),"")</f>
        <v/>
      </c>
      <c r="R39" s="101" t="str">
        <f aca="false">IF($P39="","",$O39&amp;"|"&amp;$P39)</f>
        <v/>
      </c>
      <c r="S39" s="101" t="str">
        <f aca="false">IF($Q39="","",$O39&amp;"|"&amp;$Q39)</f>
        <v/>
      </c>
      <c r="T39" s="101" t="str">
        <f aca="false">IF($O39="","",COUNTIF($O$2:O39,$O39))</f>
        <v/>
      </c>
      <c r="U39" s="101" t="str">
        <f aca="false">IF($O39="","",$O39&amp;"|"&amp;$T39)</f>
        <v/>
      </c>
      <c r="V39" s="488" t="n">
        <f aca="false">IF(OR(LEFT($D39,5)="MB-CL",LEFT($D39,6)="MB-RES"),0,$I39)</f>
        <v>0</v>
      </c>
      <c r="W39" s="488" t="n">
        <f aca="false">IF(OR(LEFT($D39,5)="MB-CL",LEFT($D39,6)="MB-RES"),0,$J39)</f>
        <v>0</v>
      </c>
      <c r="X39" s="101" t="str">
        <f aca="false">IF($E39="","",LEFT($E39,1))</f>
        <v/>
      </c>
      <c r="Y39" s="101" t="str">
        <f aca="false">IF($E39="","",LEFT($E39,2))</f>
        <v/>
      </c>
      <c r="Z39" s="101" t="str">
        <f aca="false">IF($E39="","",LEFT($E39,3))</f>
        <v/>
      </c>
      <c r="AA39" s="101" t="str">
        <f aca="false">IF($E39="","",LEFT($E39,4))</f>
        <v/>
      </c>
    </row>
    <row r="40" customFormat="false" ht="15" hidden="false" customHeight="true" outlineLevel="0" collapsed="false">
      <c r="A40" s="484" t="str">
        <f aca="false">IF(DITARI!$D44="","",ROW()-1)</f>
        <v/>
      </c>
      <c r="B40" s="485" t="str">
        <f aca="false">IF(DITARI!$D44="","",DITARI!$A44)</f>
        <v/>
      </c>
      <c r="C40" s="484" t="str">
        <f aca="false">IF(DITARI!$D44="","",DITARI!$B44)</f>
        <v/>
      </c>
      <c r="D40" s="484" t="str">
        <f aca="false">IF(DITARI!$D44="","",DITARI!$C44)</f>
        <v/>
      </c>
      <c r="E40" s="484" t="str">
        <f aca="false">IF(DITARI!$D44="","",TRIM(DITARI!$D44&amp;""))</f>
        <v/>
      </c>
      <c r="F40" s="484" t="str">
        <f aca="false">IF($E40="","",IFERROR(VLOOKUP($E40,PLANI_LLOGARIVE!$A:$I,2,FALSE()),DITARI!$E44))</f>
        <v/>
      </c>
      <c r="G40" s="484" t="str">
        <f aca="false">IF($E40="","",DITARI!$I44)</f>
        <v/>
      </c>
      <c r="H40" s="486" t="str">
        <f aca="false">IFERROR(IF($E40="","",DITARI!$H44),"")</f>
        <v/>
      </c>
      <c r="I40" s="487" t="n">
        <f aca="false">IF($E40="",0,IFERROR(DITARI!$F44,0))</f>
        <v>0</v>
      </c>
      <c r="J40" s="487" t="n">
        <f aca="false">IF($E40="",0,IFERROR(DITARI!$G44,0))</f>
        <v>0</v>
      </c>
      <c r="K40" s="484" t="str">
        <f aca="false">IF($E40="","",IFERROR(VLOOKUP($E40,PLANI_LLOGARIVE!$A:$I,9,FALSE()),""))</f>
        <v/>
      </c>
      <c r="L40" s="487" t="str">
        <f aca="false">IF($E40="","",$I40-$J40)</f>
        <v/>
      </c>
      <c r="M40" s="484" t="str">
        <f aca="false">IF($E40="","",IF($I40&gt;0,"DEBIT",IF($J40&gt;0,"KREDIT","ZERO")))</f>
        <v/>
      </c>
      <c r="N40" s="484" t="str">
        <f aca="false">IF($E40="","",TEXT($B40,"yyyymmdd")&amp;"-"&amp;TEXT(ROW(),"0000"))</f>
        <v/>
      </c>
      <c r="O40" s="101" t="str">
        <f aca="false">IF($E40="","",$E40&amp;"")</f>
        <v/>
      </c>
      <c r="P40" s="101" t="str">
        <f aca="false">IF(AND($O40&lt;&gt;"",$I40&lt;&gt;0),COUNTIFS($O$2:O40,$O40,$I$2:I40,"&gt;0"),"")</f>
        <v/>
      </c>
      <c r="Q40" s="101" t="str">
        <f aca="false">IF(AND($O40&lt;&gt;"",$J40&lt;&gt;0),COUNTIFS($O$2:O40,$O40,$J$2:J40,"&gt;0"),"")</f>
        <v/>
      </c>
      <c r="R40" s="101" t="str">
        <f aca="false">IF($P40="","",$O40&amp;"|"&amp;$P40)</f>
        <v/>
      </c>
      <c r="S40" s="101" t="str">
        <f aca="false">IF($Q40="","",$O40&amp;"|"&amp;$Q40)</f>
        <v/>
      </c>
      <c r="T40" s="101" t="str">
        <f aca="false">IF($O40="","",COUNTIF($O$2:O40,$O40))</f>
        <v/>
      </c>
      <c r="U40" s="101" t="str">
        <f aca="false">IF($O40="","",$O40&amp;"|"&amp;$T40)</f>
        <v/>
      </c>
      <c r="V40" s="488" t="n">
        <f aca="false">IF(OR(LEFT($D40,5)="MB-CL",LEFT($D40,6)="MB-RES"),0,$I40)</f>
        <v>0</v>
      </c>
      <c r="W40" s="488" t="n">
        <f aca="false">IF(OR(LEFT($D40,5)="MB-CL",LEFT($D40,6)="MB-RES"),0,$J40)</f>
        <v>0</v>
      </c>
      <c r="X40" s="101" t="str">
        <f aca="false">IF($E40="","",LEFT($E40,1))</f>
        <v/>
      </c>
      <c r="Y40" s="101" t="str">
        <f aca="false">IF($E40="","",LEFT($E40,2))</f>
        <v/>
      </c>
      <c r="Z40" s="101" t="str">
        <f aca="false">IF($E40="","",LEFT($E40,3))</f>
        <v/>
      </c>
      <c r="AA40" s="101" t="str">
        <f aca="false">IF($E40="","",LEFT($E40,4))</f>
        <v/>
      </c>
    </row>
    <row r="41" customFormat="false" ht="15" hidden="false" customHeight="true" outlineLevel="0" collapsed="false">
      <c r="A41" s="484" t="str">
        <f aca="false">IF(DITARI!$D45="","",ROW()-1)</f>
        <v/>
      </c>
      <c r="B41" s="485" t="str">
        <f aca="false">IF(DITARI!$D45="","",DITARI!$A45)</f>
        <v/>
      </c>
      <c r="C41" s="484" t="str">
        <f aca="false">IF(DITARI!$D45="","",DITARI!$B45)</f>
        <v/>
      </c>
      <c r="D41" s="484" t="str">
        <f aca="false">IF(DITARI!$D45="","",DITARI!$C45)</f>
        <v/>
      </c>
      <c r="E41" s="484" t="str">
        <f aca="false">IF(DITARI!$D45="","",TRIM(DITARI!$D45&amp;""))</f>
        <v/>
      </c>
      <c r="F41" s="484" t="str">
        <f aca="false">IF($E41="","",IFERROR(VLOOKUP($E41,PLANI_LLOGARIVE!$A:$I,2,FALSE()),DITARI!$E45))</f>
        <v/>
      </c>
      <c r="G41" s="484" t="str">
        <f aca="false">IF($E41="","",DITARI!$I45)</f>
        <v/>
      </c>
      <c r="H41" s="486" t="str">
        <f aca="false">IFERROR(IF($E41="","",DITARI!$H45),"")</f>
        <v/>
      </c>
      <c r="I41" s="487" t="n">
        <f aca="false">IF($E41="",0,IFERROR(DITARI!$F45,0))</f>
        <v>0</v>
      </c>
      <c r="J41" s="487" t="n">
        <f aca="false">IF($E41="",0,IFERROR(DITARI!$G45,0))</f>
        <v>0</v>
      </c>
      <c r="K41" s="484" t="str">
        <f aca="false">IF($E41="","",IFERROR(VLOOKUP($E41,PLANI_LLOGARIVE!$A:$I,9,FALSE()),""))</f>
        <v/>
      </c>
      <c r="L41" s="487" t="str">
        <f aca="false">IF($E41="","",$I41-$J41)</f>
        <v/>
      </c>
      <c r="M41" s="484" t="str">
        <f aca="false">IF($E41="","",IF($I41&gt;0,"DEBIT",IF($J41&gt;0,"KREDIT","ZERO")))</f>
        <v/>
      </c>
      <c r="N41" s="484" t="str">
        <f aca="false">IF($E41="","",TEXT($B41,"yyyymmdd")&amp;"-"&amp;TEXT(ROW(),"0000"))</f>
        <v/>
      </c>
      <c r="O41" s="101" t="str">
        <f aca="false">IF($E41="","",$E41&amp;"")</f>
        <v/>
      </c>
      <c r="P41" s="101" t="str">
        <f aca="false">IF(AND($O41&lt;&gt;"",$I41&lt;&gt;0),COUNTIFS($O$2:O41,$O41,$I$2:I41,"&gt;0"),"")</f>
        <v/>
      </c>
      <c r="Q41" s="101" t="str">
        <f aca="false">IF(AND($O41&lt;&gt;"",$J41&lt;&gt;0),COUNTIFS($O$2:O41,$O41,$J$2:J41,"&gt;0"),"")</f>
        <v/>
      </c>
      <c r="R41" s="101" t="str">
        <f aca="false">IF($P41="","",$O41&amp;"|"&amp;$P41)</f>
        <v/>
      </c>
      <c r="S41" s="101" t="str">
        <f aca="false">IF($Q41="","",$O41&amp;"|"&amp;$Q41)</f>
        <v/>
      </c>
      <c r="T41" s="101" t="str">
        <f aca="false">IF($O41="","",COUNTIF($O$2:O41,$O41))</f>
        <v/>
      </c>
      <c r="U41" s="101" t="str">
        <f aca="false">IF($O41="","",$O41&amp;"|"&amp;$T41)</f>
        <v/>
      </c>
      <c r="V41" s="488" t="n">
        <f aca="false">IF(OR(LEFT($D41,5)="MB-CL",LEFT($D41,6)="MB-RES"),0,$I41)</f>
        <v>0</v>
      </c>
      <c r="W41" s="488" t="n">
        <f aca="false">IF(OR(LEFT($D41,5)="MB-CL",LEFT($D41,6)="MB-RES"),0,$J41)</f>
        <v>0</v>
      </c>
      <c r="X41" s="101" t="str">
        <f aca="false">IF($E41="","",LEFT($E41,1))</f>
        <v/>
      </c>
      <c r="Y41" s="101" t="str">
        <f aca="false">IF($E41="","",LEFT($E41,2))</f>
        <v/>
      </c>
      <c r="Z41" s="101" t="str">
        <f aca="false">IF($E41="","",LEFT($E41,3))</f>
        <v/>
      </c>
      <c r="AA41" s="101" t="str">
        <f aca="false">IF($E41="","",LEFT($E41,4))</f>
        <v/>
      </c>
    </row>
    <row r="42" customFormat="false" ht="15" hidden="false" customHeight="true" outlineLevel="0" collapsed="false">
      <c r="A42" s="484" t="str">
        <f aca="false">IF(DITARI!$D46="","",ROW()-1)</f>
        <v/>
      </c>
      <c r="B42" s="485" t="str">
        <f aca="false">IF(DITARI!$D46="","",DITARI!$A46)</f>
        <v/>
      </c>
      <c r="C42" s="484" t="str">
        <f aca="false">IF(DITARI!$D46="","",DITARI!$B46)</f>
        <v/>
      </c>
      <c r="D42" s="484" t="str">
        <f aca="false">IF(DITARI!$D46="","",DITARI!$C46)</f>
        <v/>
      </c>
      <c r="E42" s="484" t="str">
        <f aca="false">IF(DITARI!$D46="","",TRIM(DITARI!$D46&amp;""))</f>
        <v/>
      </c>
      <c r="F42" s="484" t="str">
        <f aca="false">IF($E42="","",IFERROR(VLOOKUP($E42,PLANI_LLOGARIVE!$A:$I,2,FALSE()),DITARI!$E46))</f>
        <v/>
      </c>
      <c r="G42" s="484" t="str">
        <f aca="false">IF($E42="","",DITARI!$I46)</f>
        <v/>
      </c>
      <c r="H42" s="486" t="str">
        <f aca="false">IFERROR(IF($E42="","",DITARI!$H46),"")</f>
        <v/>
      </c>
      <c r="I42" s="487" t="n">
        <f aca="false">IF($E42="",0,IFERROR(DITARI!$F46,0))</f>
        <v>0</v>
      </c>
      <c r="J42" s="487" t="n">
        <f aca="false">IF($E42="",0,IFERROR(DITARI!$G46,0))</f>
        <v>0</v>
      </c>
      <c r="K42" s="484" t="str">
        <f aca="false">IF($E42="","",IFERROR(VLOOKUP($E42,PLANI_LLOGARIVE!$A:$I,9,FALSE()),""))</f>
        <v/>
      </c>
      <c r="L42" s="487" t="str">
        <f aca="false">IF($E42="","",$I42-$J42)</f>
        <v/>
      </c>
      <c r="M42" s="484" t="str">
        <f aca="false">IF($E42="","",IF($I42&gt;0,"DEBIT",IF($J42&gt;0,"KREDIT","ZERO")))</f>
        <v/>
      </c>
      <c r="N42" s="484" t="str">
        <f aca="false">IF($E42="","",TEXT($B42,"yyyymmdd")&amp;"-"&amp;TEXT(ROW(),"0000"))</f>
        <v/>
      </c>
      <c r="O42" s="101" t="str">
        <f aca="false">IF($E42="","",$E42&amp;"")</f>
        <v/>
      </c>
      <c r="P42" s="101" t="str">
        <f aca="false">IF(AND($O42&lt;&gt;"",$I42&lt;&gt;0),COUNTIFS($O$2:O42,$O42,$I$2:I42,"&gt;0"),"")</f>
        <v/>
      </c>
      <c r="Q42" s="101" t="str">
        <f aca="false">IF(AND($O42&lt;&gt;"",$J42&lt;&gt;0),COUNTIFS($O$2:O42,$O42,$J$2:J42,"&gt;0"),"")</f>
        <v/>
      </c>
      <c r="R42" s="101" t="str">
        <f aca="false">IF($P42="","",$O42&amp;"|"&amp;$P42)</f>
        <v/>
      </c>
      <c r="S42" s="101" t="str">
        <f aca="false">IF($Q42="","",$O42&amp;"|"&amp;$Q42)</f>
        <v/>
      </c>
      <c r="T42" s="101" t="str">
        <f aca="false">IF($O42="","",COUNTIF($O$2:O42,$O42))</f>
        <v/>
      </c>
      <c r="U42" s="101" t="str">
        <f aca="false">IF($O42="","",$O42&amp;"|"&amp;$T42)</f>
        <v/>
      </c>
      <c r="V42" s="488" t="n">
        <f aca="false">IF(OR(LEFT($D42,5)="MB-CL",LEFT($D42,6)="MB-RES"),0,$I42)</f>
        <v>0</v>
      </c>
      <c r="W42" s="488" t="n">
        <f aca="false">IF(OR(LEFT($D42,5)="MB-CL",LEFT($D42,6)="MB-RES"),0,$J42)</f>
        <v>0</v>
      </c>
      <c r="X42" s="101" t="str">
        <f aca="false">IF($E42="","",LEFT($E42,1))</f>
        <v/>
      </c>
      <c r="Y42" s="101" t="str">
        <f aca="false">IF($E42="","",LEFT($E42,2))</f>
        <v/>
      </c>
      <c r="Z42" s="101" t="str">
        <f aca="false">IF($E42="","",LEFT($E42,3))</f>
        <v/>
      </c>
      <c r="AA42" s="101" t="str">
        <f aca="false">IF($E42="","",LEFT($E42,4))</f>
        <v/>
      </c>
    </row>
    <row r="43" customFormat="false" ht="15" hidden="false" customHeight="true" outlineLevel="0" collapsed="false">
      <c r="A43" s="484" t="str">
        <f aca="false">IF(DITARI!$D47="","",ROW()-1)</f>
        <v/>
      </c>
      <c r="B43" s="485" t="str">
        <f aca="false">IF(DITARI!$D47="","",DITARI!$A47)</f>
        <v/>
      </c>
      <c r="C43" s="484" t="str">
        <f aca="false">IF(DITARI!$D47="","",DITARI!$B47)</f>
        <v/>
      </c>
      <c r="D43" s="484" t="str">
        <f aca="false">IF(DITARI!$D47="","",DITARI!$C47)</f>
        <v/>
      </c>
      <c r="E43" s="484" t="str">
        <f aca="false">IF(DITARI!$D47="","",TRIM(DITARI!$D47&amp;""))</f>
        <v/>
      </c>
      <c r="F43" s="484" t="str">
        <f aca="false">IF($E43="","",IFERROR(VLOOKUP($E43,PLANI_LLOGARIVE!$A:$I,2,FALSE()),DITARI!$E47))</f>
        <v/>
      </c>
      <c r="G43" s="484" t="str">
        <f aca="false">IF($E43="","",DITARI!$I47)</f>
        <v/>
      </c>
      <c r="H43" s="486" t="str">
        <f aca="false">IFERROR(IF($E43="","",DITARI!$H47),"")</f>
        <v/>
      </c>
      <c r="I43" s="487" t="n">
        <f aca="false">IF($E43="",0,IFERROR(DITARI!$F47,0))</f>
        <v>0</v>
      </c>
      <c r="J43" s="487" t="n">
        <f aca="false">IF($E43="",0,IFERROR(DITARI!$G47,0))</f>
        <v>0</v>
      </c>
      <c r="K43" s="484" t="str">
        <f aca="false">IF($E43="","",IFERROR(VLOOKUP($E43,PLANI_LLOGARIVE!$A:$I,9,FALSE()),""))</f>
        <v/>
      </c>
      <c r="L43" s="487" t="str">
        <f aca="false">IF($E43="","",$I43-$J43)</f>
        <v/>
      </c>
      <c r="M43" s="484" t="str">
        <f aca="false">IF($E43="","",IF($I43&gt;0,"DEBIT",IF($J43&gt;0,"KREDIT","ZERO")))</f>
        <v/>
      </c>
      <c r="N43" s="484" t="str">
        <f aca="false">IF($E43="","",TEXT($B43,"yyyymmdd")&amp;"-"&amp;TEXT(ROW(),"0000"))</f>
        <v/>
      </c>
      <c r="O43" s="101" t="str">
        <f aca="false">IF($E43="","",$E43&amp;"")</f>
        <v/>
      </c>
      <c r="P43" s="101" t="str">
        <f aca="false">IF(AND($O43&lt;&gt;"",$I43&lt;&gt;0),COUNTIFS($O$2:O43,$O43,$I$2:I43,"&gt;0"),"")</f>
        <v/>
      </c>
      <c r="Q43" s="101" t="str">
        <f aca="false">IF(AND($O43&lt;&gt;"",$J43&lt;&gt;0),COUNTIFS($O$2:O43,$O43,$J$2:J43,"&gt;0"),"")</f>
        <v/>
      </c>
      <c r="R43" s="101" t="str">
        <f aca="false">IF($P43="","",$O43&amp;"|"&amp;$P43)</f>
        <v/>
      </c>
      <c r="S43" s="101" t="str">
        <f aca="false">IF($Q43="","",$O43&amp;"|"&amp;$Q43)</f>
        <v/>
      </c>
      <c r="T43" s="101" t="str">
        <f aca="false">IF($O43="","",COUNTIF($O$2:O43,$O43))</f>
        <v/>
      </c>
      <c r="U43" s="101" t="str">
        <f aca="false">IF($O43="","",$O43&amp;"|"&amp;$T43)</f>
        <v/>
      </c>
      <c r="V43" s="488" t="n">
        <f aca="false">IF(OR(LEFT($D43,5)="MB-CL",LEFT($D43,6)="MB-RES"),0,$I43)</f>
        <v>0</v>
      </c>
      <c r="W43" s="488" t="n">
        <f aca="false">IF(OR(LEFT($D43,5)="MB-CL",LEFT($D43,6)="MB-RES"),0,$J43)</f>
        <v>0</v>
      </c>
      <c r="X43" s="101" t="str">
        <f aca="false">IF($E43="","",LEFT($E43,1))</f>
        <v/>
      </c>
      <c r="Y43" s="101" t="str">
        <f aca="false">IF($E43="","",LEFT($E43,2))</f>
        <v/>
      </c>
      <c r="Z43" s="101" t="str">
        <f aca="false">IF($E43="","",LEFT($E43,3))</f>
        <v/>
      </c>
      <c r="AA43" s="101" t="str">
        <f aca="false">IF($E43="","",LEFT($E43,4))</f>
        <v/>
      </c>
    </row>
    <row r="44" customFormat="false" ht="15" hidden="false" customHeight="true" outlineLevel="0" collapsed="false">
      <c r="A44" s="484" t="str">
        <f aca="false">IF(DITARI!$D48="","",ROW()-1)</f>
        <v/>
      </c>
      <c r="B44" s="485" t="str">
        <f aca="false">IF(DITARI!$D48="","",DITARI!$A48)</f>
        <v/>
      </c>
      <c r="C44" s="484" t="str">
        <f aca="false">IF(DITARI!$D48="","",DITARI!$B48)</f>
        <v/>
      </c>
      <c r="D44" s="484" t="str">
        <f aca="false">IF(DITARI!$D48="","",DITARI!$C48)</f>
        <v/>
      </c>
      <c r="E44" s="484" t="str">
        <f aca="false">IF(DITARI!$D48="","",TRIM(DITARI!$D48&amp;""))</f>
        <v/>
      </c>
      <c r="F44" s="484" t="str">
        <f aca="false">IF($E44="","",IFERROR(VLOOKUP($E44,PLANI_LLOGARIVE!$A:$I,2,FALSE()),DITARI!$E48))</f>
        <v/>
      </c>
      <c r="G44" s="489" t="str">
        <f aca="false">IF($E44="","",DITARI!$I48)</f>
        <v/>
      </c>
      <c r="H44" s="486" t="str">
        <f aca="false">IFERROR(IF($E44="","",DITARI!$H48),"")</f>
        <v/>
      </c>
      <c r="I44" s="487" t="n">
        <f aca="false">IF($E44="",0,IFERROR(DITARI!$F48,0))</f>
        <v>0</v>
      </c>
      <c r="J44" s="487" t="n">
        <f aca="false">IF($E44="",0,IFERROR(DITARI!$G48,0))</f>
        <v>0</v>
      </c>
      <c r="K44" s="484" t="str">
        <f aca="false">IF($E44="","",IFERROR(VLOOKUP($E44,PLANI_LLOGARIVE!$A:$I,9,FALSE()),""))</f>
        <v/>
      </c>
      <c r="L44" s="487" t="str">
        <f aca="false">IF($E44="","",$I44-$J44)</f>
        <v/>
      </c>
      <c r="M44" s="484" t="str">
        <f aca="false">IF($E44="","",IF($I44&gt;0,"DEBIT",IF($J44&gt;0,"KREDIT","ZERO")))</f>
        <v/>
      </c>
      <c r="N44" s="484" t="str">
        <f aca="false">IF($E44="","",TEXT($B44,"yyyymmdd")&amp;"-"&amp;TEXT(ROW(),"0000"))</f>
        <v/>
      </c>
      <c r="O44" s="101" t="str">
        <f aca="false">IF($E44="","",$E44&amp;"")</f>
        <v/>
      </c>
      <c r="P44" s="101" t="str">
        <f aca="false">IF(AND($O44&lt;&gt;"",$I44&lt;&gt;0),COUNTIFS($O$2:O44,$O44,$I$2:I44,"&gt;0"),"")</f>
        <v/>
      </c>
      <c r="Q44" s="101" t="str">
        <f aca="false">IF(AND($O44&lt;&gt;"",$J44&lt;&gt;0),COUNTIFS($O$2:O44,$O44,$J$2:J44,"&gt;0"),"")</f>
        <v/>
      </c>
      <c r="R44" s="101" t="str">
        <f aca="false">IF($P44="","",$O44&amp;"|"&amp;$P44)</f>
        <v/>
      </c>
      <c r="S44" s="101" t="str">
        <f aca="false">IF($Q44="","",$O44&amp;"|"&amp;$Q44)</f>
        <v/>
      </c>
      <c r="T44" s="101" t="str">
        <f aca="false">IF($O44="","",COUNTIF($O$2:O44,$O44))</f>
        <v/>
      </c>
      <c r="U44" s="101" t="str">
        <f aca="false">IF($O44="","",$O44&amp;"|"&amp;$T44)</f>
        <v/>
      </c>
      <c r="V44" s="488" t="n">
        <f aca="false">IF(OR(LEFT($D44,5)="MB-CL",LEFT($D44,6)="MB-RES"),0,$I44)</f>
        <v>0</v>
      </c>
      <c r="W44" s="488" t="n">
        <f aca="false">IF(OR(LEFT($D44,5)="MB-CL",LEFT($D44,6)="MB-RES"),0,$J44)</f>
        <v>0</v>
      </c>
      <c r="X44" s="101" t="str">
        <f aca="false">IF($E44="","",LEFT($E44,1))</f>
        <v/>
      </c>
      <c r="Y44" s="101" t="str">
        <f aca="false">IF($E44="","",LEFT($E44,2))</f>
        <v/>
      </c>
      <c r="Z44" s="101" t="str">
        <f aca="false">IF($E44="","",LEFT($E44,3))</f>
        <v/>
      </c>
      <c r="AA44" s="101" t="str">
        <f aca="false">IF($E44="","",LEFT($E44,4))</f>
        <v/>
      </c>
    </row>
    <row r="45" customFormat="false" ht="15" hidden="false" customHeight="true" outlineLevel="0" collapsed="false">
      <c r="A45" s="484" t="str">
        <f aca="false">IF(DITARI!$D49="","",ROW()-1)</f>
        <v/>
      </c>
      <c r="B45" s="485" t="str">
        <f aca="false">IF(DITARI!$D49="","",DITARI!$A49)</f>
        <v/>
      </c>
      <c r="C45" s="484" t="str">
        <f aca="false">IF(DITARI!$D49="","",DITARI!$B49)</f>
        <v/>
      </c>
      <c r="D45" s="484" t="str">
        <f aca="false">IF(DITARI!$D49="","",DITARI!$C49)</f>
        <v/>
      </c>
      <c r="E45" s="484" t="str">
        <f aca="false">IF(DITARI!$D49="","",TRIM(DITARI!$D49&amp;""))</f>
        <v/>
      </c>
      <c r="F45" s="484" t="str">
        <f aca="false">IF($E45="","",IFERROR(VLOOKUP($E45,PLANI_LLOGARIVE!$A:$I,2,FALSE()),DITARI!$E49))</f>
        <v/>
      </c>
      <c r="G45" s="489" t="str">
        <f aca="false">IF($E45="","",DITARI!$I49)</f>
        <v/>
      </c>
      <c r="H45" s="486" t="str">
        <f aca="false">IFERROR(IF($E45="","",DITARI!$H49),"")</f>
        <v/>
      </c>
      <c r="I45" s="487" t="n">
        <f aca="false">IF($E45="",0,IFERROR(DITARI!$F49,0))</f>
        <v>0</v>
      </c>
      <c r="J45" s="487" t="n">
        <f aca="false">IF($E45="",0,IFERROR(DITARI!$G49,0))</f>
        <v>0</v>
      </c>
      <c r="K45" s="484" t="str">
        <f aca="false">IF($E45="","",IFERROR(VLOOKUP($E45,PLANI_LLOGARIVE!$A:$I,9,FALSE()),""))</f>
        <v/>
      </c>
      <c r="L45" s="487" t="str">
        <f aca="false">IF($E45="","",$I45-$J45)</f>
        <v/>
      </c>
      <c r="M45" s="484" t="str">
        <f aca="false">IF($E45="","",IF($I45&gt;0,"DEBIT",IF($J45&gt;0,"KREDIT","ZERO")))</f>
        <v/>
      </c>
      <c r="N45" s="484" t="str">
        <f aca="false">IF($E45="","",TEXT($B45,"yyyymmdd")&amp;"-"&amp;TEXT(ROW(),"0000"))</f>
        <v/>
      </c>
      <c r="O45" s="101" t="str">
        <f aca="false">IF($E45="","",$E45&amp;"")</f>
        <v/>
      </c>
      <c r="P45" s="101" t="str">
        <f aca="false">IF(AND($O45&lt;&gt;"",$I45&lt;&gt;0),COUNTIFS($O$2:O45,$O45,$I$2:I45,"&gt;0"),"")</f>
        <v/>
      </c>
      <c r="Q45" s="101" t="str">
        <f aca="false">IF(AND($O45&lt;&gt;"",$J45&lt;&gt;0),COUNTIFS($O$2:O45,$O45,$J$2:J45,"&gt;0"),"")</f>
        <v/>
      </c>
      <c r="R45" s="101" t="str">
        <f aca="false">IF($P45="","",$O45&amp;"|"&amp;$P45)</f>
        <v/>
      </c>
      <c r="S45" s="101" t="str">
        <f aca="false">IF($Q45="","",$O45&amp;"|"&amp;$Q45)</f>
        <v/>
      </c>
      <c r="T45" s="101" t="str">
        <f aca="false">IF($O45="","",COUNTIF($O$2:O45,$O45))</f>
        <v/>
      </c>
      <c r="U45" s="101" t="str">
        <f aca="false">IF($O45="","",$O45&amp;"|"&amp;$T45)</f>
        <v/>
      </c>
      <c r="V45" s="488" t="n">
        <f aca="false">IF(OR(LEFT($D45,5)="MB-CL",LEFT($D45,6)="MB-RES"),0,$I45)</f>
        <v>0</v>
      </c>
      <c r="W45" s="488" t="n">
        <f aca="false">IF(OR(LEFT($D45,5)="MB-CL",LEFT($D45,6)="MB-RES"),0,$J45)</f>
        <v>0</v>
      </c>
      <c r="X45" s="101" t="str">
        <f aca="false">IF($E45="","",LEFT($E45,1))</f>
        <v/>
      </c>
      <c r="Y45" s="101" t="str">
        <f aca="false">IF($E45="","",LEFT($E45,2))</f>
        <v/>
      </c>
      <c r="Z45" s="101" t="str">
        <f aca="false">IF($E45="","",LEFT($E45,3))</f>
        <v/>
      </c>
      <c r="AA45" s="101" t="str">
        <f aca="false">IF($E45="","",LEFT($E45,4))</f>
        <v/>
      </c>
    </row>
    <row r="46" customFormat="false" ht="15" hidden="false" customHeight="true" outlineLevel="0" collapsed="false">
      <c r="A46" s="484" t="str">
        <f aca="false">IF(DITARI!$D50="","",ROW()-1)</f>
        <v/>
      </c>
      <c r="B46" s="485" t="str">
        <f aca="false">IF(DITARI!$D50="","",DITARI!$A50)</f>
        <v/>
      </c>
      <c r="C46" s="484" t="str">
        <f aca="false">IF(DITARI!$D50="","",DITARI!$B50)</f>
        <v/>
      </c>
      <c r="D46" s="484" t="str">
        <f aca="false">IF(DITARI!$D50="","",DITARI!$C50)</f>
        <v/>
      </c>
      <c r="E46" s="484" t="str">
        <f aca="false">IF(DITARI!$D50="","",TRIM(DITARI!$D50&amp;""))</f>
        <v/>
      </c>
      <c r="F46" s="484" t="str">
        <f aca="false">IF($E46="","",IFERROR(VLOOKUP($E46,PLANI_LLOGARIVE!$A:$I,2,FALSE()),DITARI!$E50))</f>
        <v/>
      </c>
      <c r="G46" s="484" t="str">
        <f aca="false">IF($E46="","",DITARI!$I50)</f>
        <v/>
      </c>
      <c r="H46" s="486" t="str">
        <f aca="false">IFERROR(IF($E46="","",DITARI!$H50),"")</f>
        <v/>
      </c>
      <c r="I46" s="487" t="n">
        <f aca="false">IF($E46="",0,IFERROR(DITARI!$F50,0))</f>
        <v>0</v>
      </c>
      <c r="J46" s="487" t="n">
        <f aca="false">IF($E46="",0,IFERROR(DITARI!$G50,0))</f>
        <v>0</v>
      </c>
      <c r="K46" s="484" t="str">
        <f aca="false">IF($E46="","",IFERROR(VLOOKUP($E46,PLANI_LLOGARIVE!$A:$I,9,FALSE()),""))</f>
        <v/>
      </c>
      <c r="L46" s="487" t="str">
        <f aca="false">IF($E46="","",$I46-$J46)</f>
        <v/>
      </c>
      <c r="M46" s="484" t="str">
        <f aca="false">IF($E46="","",IF($I46&gt;0,"DEBIT",IF($J46&gt;0,"KREDIT","ZERO")))</f>
        <v/>
      </c>
      <c r="N46" s="484" t="str">
        <f aca="false">IF($E46="","",TEXT($B46,"yyyymmdd")&amp;"-"&amp;TEXT(ROW(),"0000"))</f>
        <v/>
      </c>
      <c r="O46" s="101" t="str">
        <f aca="false">IF($E46="","",$E46&amp;"")</f>
        <v/>
      </c>
      <c r="P46" s="101" t="str">
        <f aca="false">IF(AND($O46&lt;&gt;"",$I46&lt;&gt;0),COUNTIFS($O$2:O46,$O46,$I$2:I46,"&gt;0"),"")</f>
        <v/>
      </c>
      <c r="Q46" s="101" t="str">
        <f aca="false">IF(AND($O46&lt;&gt;"",$J46&lt;&gt;0),COUNTIFS($O$2:O46,$O46,$J$2:J46,"&gt;0"),"")</f>
        <v/>
      </c>
      <c r="R46" s="101" t="str">
        <f aca="false">IF($P46="","",$O46&amp;"|"&amp;$P46)</f>
        <v/>
      </c>
      <c r="S46" s="101" t="str">
        <f aca="false">IF($Q46="","",$O46&amp;"|"&amp;$Q46)</f>
        <v/>
      </c>
      <c r="T46" s="101" t="str">
        <f aca="false">IF($O46="","",COUNTIF($O$2:O46,$O46))</f>
        <v/>
      </c>
      <c r="U46" s="101" t="str">
        <f aca="false">IF($O46="","",$O46&amp;"|"&amp;$T46)</f>
        <v/>
      </c>
      <c r="V46" s="488" t="n">
        <f aca="false">IF(OR(LEFT($D46,5)="MB-CL",LEFT($D46,6)="MB-RES"),0,$I46)</f>
        <v>0</v>
      </c>
      <c r="W46" s="488" t="n">
        <f aca="false">IF(OR(LEFT($D46,5)="MB-CL",LEFT($D46,6)="MB-RES"),0,$J46)</f>
        <v>0</v>
      </c>
      <c r="X46" s="101" t="str">
        <f aca="false">IF($E46="","",LEFT($E46,1))</f>
        <v/>
      </c>
      <c r="Y46" s="101" t="str">
        <f aca="false">IF($E46="","",LEFT($E46,2))</f>
        <v/>
      </c>
      <c r="Z46" s="101" t="str">
        <f aca="false">IF($E46="","",LEFT($E46,3))</f>
        <v/>
      </c>
      <c r="AA46" s="101" t="str">
        <f aca="false">IF($E46="","",LEFT($E46,4))</f>
        <v/>
      </c>
    </row>
    <row r="47" customFormat="false" ht="15" hidden="false" customHeight="true" outlineLevel="0" collapsed="false">
      <c r="A47" s="484" t="str">
        <f aca="false">IF(DITARI!$D51="","",ROW()-1)</f>
        <v/>
      </c>
      <c r="B47" s="485" t="str">
        <f aca="false">IF(DITARI!$D51="","",DITARI!$A51)</f>
        <v/>
      </c>
      <c r="C47" s="484" t="str">
        <f aca="false">IF(DITARI!$D51="","",DITARI!$B51)</f>
        <v/>
      </c>
      <c r="D47" s="484" t="str">
        <f aca="false">IF(DITARI!$D51="","",DITARI!$C51)</f>
        <v/>
      </c>
      <c r="E47" s="484" t="str">
        <f aca="false">IF(DITARI!$D51="","",TRIM(DITARI!$D51&amp;""))</f>
        <v/>
      </c>
      <c r="F47" s="484" t="str">
        <f aca="false">IF($E47="","",IFERROR(VLOOKUP($E47,PLANI_LLOGARIVE!$A:$I,2,FALSE()),DITARI!$E51))</f>
        <v/>
      </c>
      <c r="G47" s="484" t="str">
        <f aca="false">IF($E47="","",DITARI!$I51)</f>
        <v/>
      </c>
      <c r="H47" s="486" t="str">
        <f aca="false">IFERROR(IF($E47="","",DITARI!$H51),"")</f>
        <v/>
      </c>
      <c r="I47" s="487" t="n">
        <f aca="false">IF($E47="",0,IFERROR(DITARI!$F51,0))</f>
        <v>0</v>
      </c>
      <c r="J47" s="487" t="n">
        <f aca="false">IF($E47="",0,IFERROR(DITARI!$G51,0))</f>
        <v>0</v>
      </c>
      <c r="K47" s="484" t="str">
        <f aca="false">IF($E47="","",IFERROR(VLOOKUP($E47,PLANI_LLOGARIVE!$A:$I,9,FALSE()),""))</f>
        <v/>
      </c>
      <c r="L47" s="487" t="str">
        <f aca="false">IF($E47="","",$I47-$J47)</f>
        <v/>
      </c>
      <c r="M47" s="484" t="str">
        <f aca="false">IF($E47="","",IF($I47&gt;0,"DEBIT",IF($J47&gt;0,"KREDIT","ZERO")))</f>
        <v/>
      </c>
      <c r="N47" s="484" t="str">
        <f aca="false">IF($E47="","",TEXT($B47,"yyyymmdd")&amp;"-"&amp;TEXT(ROW(),"0000"))</f>
        <v/>
      </c>
      <c r="O47" s="101" t="str">
        <f aca="false">IF($E47="","",$E47&amp;"")</f>
        <v/>
      </c>
      <c r="P47" s="101" t="str">
        <f aca="false">IF(AND($O47&lt;&gt;"",$I47&lt;&gt;0),COUNTIFS($O$2:O47,$O47,$I$2:I47,"&gt;0"),"")</f>
        <v/>
      </c>
      <c r="Q47" s="101" t="str">
        <f aca="false">IF(AND($O47&lt;&gt;"",$J47&lt;&gt;0),COUNTIFS($O$2:O47,$O47,$J$2:J47,"&gt;0"),"")</f>
        <v/>
      </c>
      <c r="R47" s="101" t="str">
        <f aca="false">IF($P47="","",$O47&amp;"|"&amp;$P47)</f>
        <v/>
      </c>
      <c r="S47" s="101" t="str">
        <f aca="false">IF($Q47="","",$O47&amp;"|"&amp;$Q47)</f>
        <v/>
      </c>
      <c r="T47" s="101" t="str">
        <f aca="false">IF($O47="","",COUNTIF($O$2:O47,$O47))</f>
        <v/>
      </c>
      <c r="U47" s="101" t="str">
        <f aca="false">IF($O47="","",$O47&amp;"|"&amp;$T47)</f>
        <v/>
      </c>
      <c r="V47" s="488" t="n">
        <f aca="false">IF(OR(LEFT($D47,5)="MB-CL",LEFT($D47,6)="MB-RES"),0,$I47)</f>
        <v>0</v>
      </c>
      <c r="W47" s="488" t="n">
        <f aca="false">IF(OR(LEFT($D47,5)="MB-CL",LEFT($D47,6)="MB-RES"),0,$J47)</f>
        <v>0</v>
      </c>
      <c r="X47" s="101" t="str">
        <f aca="false">IF($E47="","",LEFT($E47,1))</f>
        <v/>
      </c>
      <c r="Y47" s="101" t="str">
        <f aca="false">IF($E47="","",LEFT($E47,2))</f>
        <v/>
      </c>
      <c r="Z47" s="101" t="str">
        <f aca="false">IF($E47="","",LEFT($E47,3))</f>
        <v/>
      </c>
      <c r="AA47" s="101" t="str">
        <f aca="false">IF($E47="","",LEFT($E47,4))</f>
        <v/>
      </c>
    </row>
    <row r="48" customFormat="false" ht="15" hidden="false" customHeight="true" outlineLevel="0" collapsed="false">
      <c r="A48" s="484" t="str">
        <f aca="false">IF(DITARI!$D52="","",ROW()-1)</f>
        <v/>
      </c>
      <c r="B48" s="485" t="str">
        <f aca="false">IF(DITARI!$D52="","",DITARI!$A52)</f>
        <v/>
      </c>
      <c r="C48" s="484" t="str">
        <f aca="false">IF(DITARI!$D52="","",DITARI!$B52)</f>
        <v/>
      </c>
      <c r="D48" s="484" t="str">
        <f aca="false">IF(DITARI!$D52="","",DITARI!$C52)</f>
        <v/>
      </c>
      <c r="E48" s="484" t="str">
        <f aca="false">IF(DITARI!$D52="","",TRIM(DITARI!$D52&amp;""))</f>
        <v/>
      </c>
      <c r="F48" s="484" t="str">
        <f aca="false">IF($E48="","",IFERROR(VLOOKUP($E48,PLANI_LLOGARIVE!$A:$I,2,FALSE()),DITARI!$E52))</f>
        <v/>
      </c>
      <c r="G48" s="484" t="str">
        <f aca="false">IF($E48="","",DITARI!$I52)</f>
        <v/>
      </c>
      <c r="H48" s="486" t="str">
        <f aca="false">IFERROR(IF($E48="","",DITARI!$H52),"")</f>
        <v/>
      </c>
      <c r="I48" s="487" t="n">
        <f aca="false">IF($E48="",0,IFERROR(DITARI!$F52,0))</f>
        <v>0</v>
      </c>
      <c r="J48" s="487" t="n">
        <f aca="false">IF($E48="",0,IFERROR(DITARI!$G52,0))</f>
        <v>0</v>
      </c>
      <c r="K48" s="484" t="str">
        <f aca="false">IF($E48="","",IFERROR(VLOOKUP($E48,PLANI_LLOGARIVE!$A:$I,9,FALSE()),""))</f>
        <v/>
      </c>
      <c r="L48" s="487" t="str">
        <f aca="false">IF($E48="","",$I48-$J48)</f>
        <v/>
      </c>
      <c r="M48" s="484" t="str">
        <f aca="false">IF($E48="","",IF($I48&gt;0,"DEBIT",IF($J48&gt;0,"KREDIT","ZERO")))</f>
        <v/>
      </c>
      <c r="N48" s="484" t="str">
        <f aca="false">IF($E48="","",TEXT($B48,"yyyymmdd")&amp;"-"&amp;TEXT(ROW(),"0000"))</f>
        <v/>
      </c>
      <c r="O48" s="101" t="str">
        <f aca="false">IF($E48="","",$E48&amp;"")</f>
        <v/>
      </c>
      <c r="P48" s="101" t="str">
        <f aca="false">IF(AND($O48&lt;&gt;"",$I48&lt;&gt;0),COUNTIFS($O$2:O48,$O48,$I$2:I48,"&gt;0"),"")</f>
        <v/>
      </c>
      <c r="Q48" s="101" t="str">
        <f aca="false">IF(AND($O48&lt;&gt;"",$J48&lt;&gt;0),COUNTIFS($O$2:O48,$O48,$J$2:J48,"&gt;0"),"")</f>
        <v/>
      </c>
      <c r="R48" s="101" t="str">
        <f aca="false">IF($P48="","",$O48&amp;"|"&amp;$P48)</f>
        <v/>
      </c>
      <c r="S48" s="101" t="str">
        <f aca="false">IF($Q48="","",$O48&amp;"|"&amp;$Q48)</f>
        <v/>
      </c>
      <c r="T48" s="101" t="str">
        <f aca="false">IF($O48="","",COUNTIF($O$2:O48,$O48))</f>
        <v/>
      </c>
      <c r="U48" s="101" t="str">
        <f aca="false">IF($O48="","",$O48&amp;"|"&amp;$T48)</f>
        <v/>
      </c>
      <c r="V48" s="488" t="n">
        <f aca="false">IF(OR(LEFT($D48,5)="MB-CL",LEFT($D48,6)="MB-RES"),0,$I48)</f>
        <v>0</v>
      </c>
      <c r="W48" s="488" t="n">
        <f aca="false">IF(OR(LEFT($D48,5)="MB-CL",LEFT($D48,6)="MB-RES"),0,$J48)</f>
        <v>0</v>
      </c>
      <c r="X48" s="101" t="str">
        <f aca="false">IF($E48="","",LEFT($E48,1))</f>
        <v/>
      </c>
      <c r="Y48" s="101" t="str">
        <f aca="false">IF($E48="","",LEFT($E48,2))</f>
        <v/>
      </c>
      <c r="Z48" s="101" t="str">
        <f aca="false">IF($E48="","",LEFT($E48,3))</f>
        <v/>
      </c>
      <c r="AA48" s="101" t="str">
        <f aca="false">IF($E48="","",LEFT($E48,4))</f>
        <v/>
      </c>
    </row>
    <row r="49" customFormat="false" ht="15" hidden="false" customHeight="true" outlineLevel="0" collapsed="false">
      <c r="A49" s="484" t="str">
        <f aca="false">IF(DITARI!$D53="","",ROW()-1)</f>
        <v/>
      </c>
      <c r="B49" s="485" t="str">
        <f aca="false">IF(DITARI!$D53="","",DITARI!$A53)</f>
        <v/>
      </c>
      <c r="C49" s="484" t="str">
        <f aca="false">IF(DITARI!$D53="","",DITARI!$B53)</f>
        <v/>
      </c>
      <c r="D49" s="484" t="str">
        <f aca="false">IF(DITARI!$D53="","",DITARI!$C53)</f>
        <v/>
      </c>
      <c r="E49" s="484" t="str">
        <f aca="false">IF(DITARI!$D53="","",TRIM(DITARI!$D53&amp;""))</f>
        <v/>
      </c>
      <c r="F49" s="484" t="str">
        <f aca="false">IF($E49="","",IFERROR(VLOOKUP($E49,PLANI_LLOGARIVE!$A:$I,2,FALSE()),DITARI!$E53))</f>
        <v/>
      </c>
      <c r="G49" s="484" t="str">
        <f aca="false">IF($E49="","",DITARI!$I53)</f>
        <v/>
      </c>
      <c r="H49" s="486" t="str">
        <f aca="false">IFERROR(IF($E49="","",DITARI!$H53),"")</f>
        <v/>
      </c>
      <c r="I49" s="487" t="n">
        <f aca="false">IF($E49="",0,IFERROR(DITARI!$F53,0))</f>
        <v>0</v>
      </c>
      <c r="J49" s="487" t="n">
        <f aca="false">IF($E49="",0,IFERROR(DITARI!$G53,0))</f>
        <v>0</v>
      </c>
      <c r="K49" s="484" t="str">
        <f aca="false">IF($E49="","",IFERROR(VLOOKUP($E49,PLANI_LLOGARIVE!$A:$I,9,FALSE()),""))</f>
        <v/>
      </c>
      <c r="L49" s="487" t="str">
        <f aca="false">IF($E49="","",$I49-$J49)</f>
        <v/>
      </c>
      <c r="M49" s="484" t="str">
        <f aca="false">IF($E49="","",IF($I49&gt;0,"DEBIT",IF($J49&gt;0,"KREDIT","ZERO")))</f>
        <v/>
      </c>
      <c r="N49" s="484" t="str">
        <f aca="false">IF($E49="","",TEXT($B49,"yyyymmdd")&amp;"-"&amp;TEXT(ROW(),"0000"))</f>
        <v/>
      </c>
      <c r="O49" s="101" t="str">
        <f aca="false">IF($E49="","",$E49&amp;"")</f>
        <v/>
      </c>
      <c r="P49" s="101" t="str">
        <f aca="false">IF(AND($O49&lt;&gt;"",$I49&lt;&gt;0),COUNTIFS($O$2:O49,$O49,$I$2:I49,"&gt;0"),"")</f>
        <v/>
      </c>
      <c r="Q49" s="101" t="str">
        <f aca="false">IF(AND($O49&lt;&gt;"",$J49&lt;&gt;0),COUNTIFS($O$2:O49,$O49,$J$2:J49,"&gt;0"),"")</f>
        <v/>
      </c>
      <c r="R49" s="101" t="str">
        <f aca="false">IF($P49="","",$O49&amp;"|"&amp;$P49)</f>
        <v/>
      </c>
      <c r="S49" s="101" t="str">
        <f aca="false">IF($Q49="","",$O49&amp;"|"&amp;$Q49)</f>
        <v/>
      </c>
      <c r="T49" s="101" t="str">
        <f aca="false">IF($O49="","",COUNTIF($O$2:O49,$O49))</f>
        <v/>
      </c>
      <c r="U49" s="101" t="str">
        <f aca="false">IF($O49="","",$O49&amp;"|"&amp;$T49)</f>
        <v/>
      </c>
      <c r="V49" s="488" t="n">
        <f aca="false">IF(OR(LEFT($D49,5)="MB-CL",LEFT($D49,6)="MB-RES"),0,$I49)</f>
        <v>0</v>
      </c>
      <c r="W49" s="488" t="n">
        <f aca="false">IF(OR(LEFT($D49,5)="MB-CL",LEFT($D49,6)="MB-RES"),0,$J49)</f>
        <v>0</v>
      </c>
      <c r="X49" s="101" t="str">
        <f aca="false">IF($E49="","",LEFT($E49,1))</f>
        <v/>
      </c>
      <c r="Y49" s="101" t="str">
        <f aca="false">IF($E49="","",LEFT($E49,2))</f>
        <v/>
      </c>
      <c r="Z49" s="101" t="str">
        <f aca="false">IF($E49="","",LEFT($E49,3))</f>
        <v/>
      </c>
      <c r="AA49" s="101" t="str">
        <f aca="false">IF($E49="","",LEFT($E49,4))</f>
        <v/>
      </c>
    </row>
    <row r="50" customFormat="false" ht="15" hidden="false" customHeight="true" outlineLevel="0" collapsed="false">
      <c r="A50" s="484" t="str">
        <f aca="false">IF(DITARI!$D54="","",ROW()-1)</f>
        <v/>
      </c>
      <c r="B50" s="485" t="str">
        <f aca="false">IF(DITARI!$D54="","",DITARI!$A54)</f>
        <v/>
      </c>
      <c r="C50" s="484" t="str">
        <f aca="false">IF(DITARI!$D54="","",DITARI!$B54)</f>
        <v/>
      </c>
      <c r="D50" s="484" t="str">
        <f aca="false">IF(DITARI!$D54="","",DITARI!$C54)</f>
        <v/>
      </c>
      <c r="E50" s="484" t="str">
        <f aca="false">IF(DITARI!$D54="","",TRIM(DITARI!$D54&amp;""))</f>
        <v/>
      </c>
      <c r="F50" s="484" t="str">
        <f aca="false">IF($E50="","",IFERROR(VLOOKUP($E50,PLANI_LLOGARIVE!$A:$I,2,FALSE()),DITARI!$E54))</f>
        <v/>
      </c>
      <c r="G50" s="484" t="str">
        <f aca="false">IF($E50="","",DITARI!$I54)</f>
        <v/>
      </c>
      <c r="H50" s="486" t="str">
        <f aca="false">IFERROR(IF($E50="","",DITARI!$H54),"")</f>
        <v/>
      </c>
      <c r="I50" s="487" t="n">
        <f aca="false">IF($E50="",0,IFERROR(DITARI!$F54,0))</f>
        <v>0</v>
      </c>
      <c r="J50" s="487" t="n">
        <f aca="false">IF($E50="",0,IFERROR(DITARI!$G54,0))</f>
        <v>0</v>
      </c>
      <c r="K50" s="484" t="str">
        <f aca="false">IF($E50="","",IFERROR(VLOOKUP($E50,PLANI_LLOGARIVE!$A:$I,9,FALSE()),""))</f>
        <v/>
      </c>
      <c r="L50" s="487" t="str">
        <f aca="false">IF($E50="","",$I50-$J50)</f>
        <v/>
      </c>
      <c r="M50" s="484" t="str">
        <f aca="false">IF($E50="","",IF($I50&gt;0,"DEBIT",IF($J50&gt;0,"KREDIT","ZERO")))</f>
        <v/>
      </c>
      <c r="N50" s="484" t="str">
        <f aca="false">IF($E50="","",TEXT($B50,"yyyymmdd")&amp;"-"&amp;TEXT(ROW(),"0000"))</f>
        <v/>
      </c>
      <c r="O50" s="101" t="str">
        <f aca="false">IF($E50="","",$E50&amp;"")</f>
        <v/>
      </c>
      <c r="P50" s="101" t="str">
        <f aca="false">IF(AND($O50&lt;&gt;"",$I50&lt;&gt;0),COUNTIFS($O$2:O50,$O50,$I$2:I50,"&gt;0"),"")</f>
        <v/>
      </c>
      <c r="Q50" s="101" t="str">
        <f aca="false">IF(AND($O50&lt;&gt;"",$J50&lt;&gt;0),COUNTIFS($O$2:O50,$O50,$J$2:J50,"&gt;0"),"")</f>
        <v/>
      </c>
      <c r="R50" s="101" t="str">
        <f aca="false">IF($P50="","",$O50&amp;"|"&amp;$P50)</f>
        <v/>
      </c>
      <c r="S50" s="101" t="str">
        <f aca="false">IF($Q50="","",$O50&amp;"|"&amp;$Q50)</f>
        <v/>
      </c>
      <c r="T50" s="101" t="str">
        <f aca="false">IF($O50="","",COUNTIF($O$2:O50,$O50))</f>
        <v/>
      </c>
      <c r="U50" s="101" t="str">
        <f aca="false">IF($O50="","",$O50&amp;"|"&amp;$T50)</f>
        <v/>
      </c>
      <c r="V50" s="488" t="n">
        <f aca="false">IF(OR(LEFT($D50,5)="MB-CL",LEFT($D50,6)="MB-RES"),0,$I50)</f>
        <v>0</v>
      </c>
      <c r="W50" s="488" t="n">
        <f aca="false">IF(OR(LEFT($D50,5)="MB-CL",LEFT($D50,6)="MB-RES"),0,$J50)</f>
        <v>0</v>
      </c>
      <c r="X50" s="101" t="str">
        <f aca="false">IF($E50="","",LEFT($E50,1))</f>
        <v/>
      </c>
      <c r="Y50" s="101" t="str">
        <f aca="false">IF($E50="","",LEFT($E50,2))</f>
        <v/>
      </c>
      <c r="Z50" s="101" t="str">
        <f aca="false">IF($E50="","",LEFT($E50,3))</f>
        <v/>
      </c>
      <c r="AA50" s="101" t="str">
        <f aca="false">IF($E50="","",LEFT($E50,4))</f>
        <v/>
      </c>
    </row>
    <row r="51" customFormat="false" ht="15" hidden="false" customHeight="true" outlineLevel="0" collapsed="false">
      <c r="A51" s="484" t="str">
        <f aca="false">IF(DITARI!$D55="","",ROW()-1)</f>
        <v/>
      </c>
      <c r="B51" s="485" t="str">
        <f aca="false">IF(DITARI!$D55="","",DITARI!$A55)</f>
        <v/>
      </c>
      <c r="C51" s="484" t="str">
        <f aca="false">IF(DITARI!$D55="","",DITARI!$B55)</f>
        <v/>
      </c>
      <c r="D51" s="484" t="str">
        <f aca="false">IF(DITARI!$D55="","",DITARI!$C55)</f>
        <v/>
      </c>
      <c r="E51" s="484" t="str">
        <f aca="false">IF(DITARI!$D55="","",TRIM(DITARI!$D55&amp;""))</f>
        <v/>
      </c>
      <c r="F51" s="484" t="str">
        <f aca="false">IF($E51="","",IFERROR(VLOOKUP($E51,PLANI_LLOGARIVE!$A:$I,2,FALSE()),DITARI!$E55))</f>
        <v/>
      </c>
      <c r="G51" s="484" t="str">
        <f aca="false">IF($E51="","",DITARI!$I55)</f>
        <v/>
      </c>
      <c r="H51" s="486" t="str">
        <f aca="false">IFERROR(IF($E51="","",DITARI!$H55),"")</f>
        <v/>
      </c>
      <c r="I51" s="487" t="n">
        <f aca="false">IF($E51="",0,IFERROR(DITARI!$F55,0))</f>
        <v>0</v>
      </c>
      <c r="J51" s="487" t="n">
        <f aca="false">IF($E51="",0,IFERROR(DITARI!$G55,0))</f>
        <v>0</v>
      </c>
      <c r="K51" s="484" t="str">
        <f aca="false">IF($E51="","",IFERROR(VLOOKUP($E51,PLANI_LLOGARIVE!$A:$I,9,FALSE()),""))</f>
        <v/>
      </c>
      <c r="L51" s="487" t="str">
        <f aca="false">IF($E51="","",$I51-$J51)</f>
        <v/>
      </c>
      <c r="M51" s="484" t="str">
        <f aca="false">IF($E51="","",IF($I51&gt;0,"DEBIT",IF($J51&gt;0,"KREDIT","ZERO")))</f>
        <v/>
      </c>
      <c r="N51" s="484" t="str">
        <f aca="false">IF($E51="","",TEXT($B51,"yyyymmdd")&amp;"-"&amp;TEXT(ROW(),"0000"))</f>
        <v/>
      </c>
      <c r="O51" s="101" t="str">
        <f aca="false">IF($E51="","",$E51&amp;"")</f>
        <v/>
      </c>
      <c r="P51" s="101" t="str">
        <f aca="false">IF(AND($O51&lt;&gt;"",$I51&lt;&gt;0),COUNTIFS($O$2:O51,$O51,$I$2:I51,"&gt;0"),"")</f>
        <v/>
      </c>
      <c r="Q51" s="101" t="str">
        <f aca="false">IF(AND($O51&lt;&gt;"",$J51&lt;&gt;0),COUNTIFS($O$2:O51,$O51,$J$2:J51,"&gt;0"),"")</f>
        <v/>
      </c>
      <c r="R51" s="101" t="str">
        <f aca="false">IF($P51="","",$O51&amp;"|"&amp;$P51)</f>
        <v/>
      </c>
      <c r="S51" s="101" t="str">
        <f aca="false">IF($Q51="","",$O51&amp;"|"&amp;$Q51)</f>
        <v/>
      </c>
      <c r="T51" s="101" t="str">
        <f aca="false">IF($O51="","",COUNTIF($O$2:O51,$O51))</f>
        <v/>
      </c>
      <c r="U51" s="101" t="str">
        <f aca="false">IF($O51="","",$O51&amp;"|"&amp;$T51)</f>
        <v/>
      </c>
      <c r="V51" s="488" t="n">
        <f aca="false">IF(OR(LEFT($D51,5)="MB-CL",LEFT($D51,6)="MB-RES"),0,$I51)</f>
        <v>0</v>
      </c>
      <c r="W51" s="488" t="n">
        <f aca="false">IF(OR(LEFT($D51,5)="MB-CL",LEFT($D51,6)="MB-RES"),0,$J51)</f>
        <v>0</v>
      </c>
      <c r="X51" s="101" t="str">
        <f aca="false">IF($E51="","",LEFT($E51,1))</f>
        <v/>
      </c>
      <c r="Y51" s="101" t="str">
        <f aca="false">IF($E51="","",LEFT($E51,2))</f>
        <v/>
      </c>
      <c r="Z51" s="101" t="str">
        <f aca="false">IF($E51="","",LEFT($E51,3))</f>
        <v/>
      </c>
      <c r="AA51" s="101" t="str">
        <f aca="false">IF($E51="","",LEFT($E51,4))</f>
        <v/>
      </c>
    </row>
    <row r="52" customFormat="false" ht="15" hidden="false" customHeight="true" outlineLevel="0" collapsed="false">
      <c r="A52" s="484" t="str">
        <f aca="false">IF(DITARI!$D56="","",ROW()-1)</f>
        <v/>
      </c>
      <c r="B52" s="485" t="str">
        <f aca="false">IF(DITARI!$D56="","",DITARI!$A56)</f>
        <v/>
      </c>
      <c r="C52" s="484" t="str">
        <f aca="false">IF(DITARI!$D56="","",DITARI!$B56)</f>
        <v/>
      </c>
      <c r="D52" s="484" t="str">
        <f aca="false">IF(DITARI!$D56="","",DITARI!$C56)</f>
        <v/>
      </c>
      <c r="E52" s="484" t="str">
        <f aca="false">IF(DITARI!$D56="","",TRIM(DITARI!$D56&amp;""))</f>
        <v/>
      </c>
      <c r="F52" s="484" t="str">
        <f aca="false">IF($E52="","",IFERROR(VLOOKUP($E52,PLANI_LLOGARIVE!$A:$I,2,FALSE()),DITARI!$E56))</f>
        <v/>
      </c>
      <c r="G52" s="484" t="str">
        <f aca="false">IF($E52="","",DITARI!$I56)</f>
        <v/>
      </c>
      <c r="H52" s="486" t="str">
        <f aca="false">IFERROR(IF($E52="","",DITARI!$H56),"")</f>
        <v/>
      </c>
      <c r="I52" s="487" t="n">
        <f aca="false">IF($E52="",0,IFERROR(DITARI!$F56,0))</f>
        <v>0</v>
      </c>
      <c r="J52" s="487" t="n">
        <f aca="false">IF($E52="",0,IFERROR(DITARI!$G56,0))</f>
        <v>0</v>
      </c>
      <c r="K52" s="484" t="str">
        <f aca="false">IF($E52="","",IFERROR(VLOOKUP($E52,PLANI_LLOGARIVE!$A:$I,9,FALSE()),""))</f>
        <v/>
      </c>
      <c r="L52" s="487" t="str">
        <f aca="false">IF($E52="","",$I52-$J52)</f>
        <v/>
      </c>
      <c r="M52" s="484" t="str">
        <f aca="false">IF($E52="","",IF($I52&gt;0,"DEBIT",IF($J52&gt;0,"KREDIT","ZERO")))</f>
        <v/>
      </c>
      <c r="N52" s="484" t="str">
        <f aca="false">IF($E52="","",TEXT($B52,"yyyymmdd")&amp;"-"&amp;TEXT(ROW(),"0000"))</f>
        <v/>
      </c>
      <c r="O52" s="101" t="str">
        <f aca="false">IF($E52="","",$E52&amp;"")</f>
        <v/>
      </c>
      <c r="P52" s="101" t="str">
        <f aca="false">IF(AND($O52&lt;&gt;"",$I52&lt;&gt;0),COUNTIFS($O$2:O52,$O52,$I$2:I52,"&gt;0"),"")</f>
        <v/>
      </c>
      <c r="Q52" s="101" t="str">
        <f aca="false">IF(AND($O52&lt;&gt;"",$J52&lt;&gt;0),COUNTIFS($O$2:O52,$O52,$J$2:J52,"&gt;0"),"")</f>
        <v/>
      </c>
      <c r="R52" s="101" t="str">
        <f aca="false">IF($P52="","",$O52&amp;"|"&amp;$P52)</f>
        <v/>
      </c>
      <c r="S52" s="101" t="str">
        <f aca="false">IF($Q52="","",$O52&amp;"|"&amp;$Q52)</f>
        <v/>
      </c>
      <c r="T52" s="101" t="str">
        <f aca="false">IF($O52="","",COUNTIF($O$2:O52,$O52))</f>
        <v/>
      </c>
      <c r="U52" s="101" t="str">
        <f aca="false">IF($O52="","",$O52&amp;"|"&amp;$T52)</f>
        <v/>
      </c>
      <c r="V52" s="488" t="n">
        <f aca="false">IF(OR(LEFT($D52,5)="MB-CL",LEFT($D52,6)="MB-RES"),0,$I52)</f>
        <v>0</v>
      </c>
      <c r="W52" s="488" t="n">
        <f aca="false">IF(OR(LEFT($D52,5)="MB-CL",LEFT($D52,6)="MB-RES"),0,$J52)</f>
        <v>0</v>
      </c>
      <c r="X52" s="101" t="str">
        <f aca="false">IF($E52="","",LEFT($E52,1))</f>
        <v/>
      </c>
      <c r="Y52" s="101" t="str">
        <f aca="false">IF($E52="","",LEFT($E52,2))</f>
        <v/>
      </c>
      <c r="Z52" s="101" t="str">
        <f aca="false">IF($E52="","",LEFT($E52,3))</f>
        <v/>
      </c>
      <c r="AA52" s="101" t="str">
        <f aca="false">IF($E52="","",LEFT($E52,4))</f>
        <v/>
      </c>
    </row>
    <row r="53" customFormat="false" ht="15" hidden="false" customHeight="true" outlineLevel="0" collapsed="false">
      <c r="A53" s="484" t="str">
        <f aca="false">IF(DITARI!$D57="","",ROW()-1)</f>
        <v/>
      </c>
      <c r="B53" s="485" t="str">
        <f aca="false">IF(DITARI!$D57="","",DITARI!$A57)</f>
        <v/>
      </c>
      <c r="C53" s="484" t="str">
        <f aca="false">IF(DITARI!$D57="","",DITARI!$B57)</f>
        <v/>
      </c>
      <c r="D53" s="484" t="str">
        <f aca="false">IF(DITARI!$D57="","",DITARI!$C57)</f>
        <v/>
      </c>
      <c r="E53" s="484" t="str">
        <f aca="false">IF(DITARI!$D57="","",TRIM(DITARI!$D57&amp;""))</f>
        <v/>
      </c>
      <c r="F53" s="484" t="str">
        <f aca="false">IF($E53="","",IFERROR(VLOOKUP($E53,PLANI_LLOGARIVE!$A:$I,2,FALSE()),DITARI!$E57))</f>
        <v/>
      </c>
      <c r="G53" s="484" t="str">
        <f aca="false">IF($E53="","",DITARI!$I57)</f>
        <v/>
      </c>
      <c r="H53" s="486" t="str">
        <f aca="false">IFERROR(IF($E53="","",DITARI!$H57),"")</f>
        <v/>
      </c>
      <c r="I53" s="487" t="n">
        <f aca="false">IF($E53="",0,IFERROR(DITARI!$F57,0))</f>
        <v>0</v>
      </c>
      <c r="J53" s="487" t="n">
        <f aca="false">IF($E53="",0,IFERROR(DITARI!$G57,0))</f>
        <v>0</v>
      </c>
      <c r="K53" s="484" t="str">
        <f aca="false">IF($E53="","",IFERROR(VLOOKUP($E53,PLANI_LLOGARIVE!$A:$I,9,FALSE()),""))</f>
        <v/>
      </c>
      <c r="L53" s="487" t="str">
        <f aca="false">IF($E53="","",$I53-$J53)</f>
        <v/>
      </c>
      <c r="M53" s="484" t="str">
        <f aca="false">IF($E53="","",IF($I53&gt;0,"DEBIT",IF($J53&gt;0,"KREDIT","ZERO")))</f>
        <v/>
      </c>
      <c r="N53" s="484" t="str">
        <f aca="false">IF($E53="","",TEXT($B53,"yyyymmdd")&amp;"-"&amp;TEXT(ROW(),"0000"))</f>
        <v/>
      </c>
      <c r="O53" s="101" t="str">
        <f aca="false">IF($E53="","",$E53&amp;"")</f>
        <v/>
      </c>
      <c r="P53" s="101" t="str">
        <f aca="false">IF(AND($O53&lt;&gt;"",$I53&lt;&gt;0),COUNTIFS($O$2:O53,$O53,$I$2:I53,"&gt;0"),"")</f>
        <v/>
      </c>
      <c r="Q53" s="101" t="str">
        <f aca="false">IF(AND($O53&lt;&gt;"",$J53&lt;&gt;0),COUNTIFS($O$2:O53,$O53,$J$2:J53,"&gt;0"),"")</f>
        <v/>
      </c>
      <c r="R53" s="101" t="str">
        <f aca="false">IF($P53="","",$O53&amp;"|"&amp;$P53)</f>
        <v/>
      </c>
      <c r="S53" s="101" t="str">
        <f aca="false">IF($Q53="","",$O53&amp;"|"&amp;$Q53)</f>
        <v/>
      </c>
      <c r="T53" s="101" t="str">
        <f aca="false">IF($O53="","",COUNTIF($O$2:O53,$O53))</f>
        <v/>
      </c>
      <c r="U53" s="101" t="str">
        <f aca="false">IF($O53="","",$O53&amp;"|"&amp;$T53)</f>
        <v/>
      </c>
      <c r="V53" s="488" t="n">
        <f aca="false">IF(OR(LEFT($D53,5)="MB-CL",LEFT($D53,6)="MB-RES"),0,$I53)</f>
        <v>0</v>
      </c>
      <c r="W53" s="488" t="n">
        <f aca="false">IF(OR(LEFT($D53,5)="MB-CL",LEFT($D53,6)="MB-RES"),0,$J53)</f>
        <v>0</v>
      </c>
      <c r="X53" s="101" t="str">
        <f aca="false">IF($E53="","",LEFT($E53,1))</f>
        <v/>
      </c>
      <c r="Y53" s="101" t="str">
        <f aca="false">IF($E53="","",LEFT($E53,2))</f>
        <v/>
      </c>
      <c r="Z53" s="101" t="str">
        <f aca="false">IF($E53="","",LEFT($E53,3))</f>
        <v/>
      </c>
      <c r="AA53" s="101" t="str">
        <f aca="false">IF($E53="","",LEFT($E53,4))</f>
        <v/>
      </c>
    </row>
    <row r="54" customFormat="false" ht="15" hidden="false" customHeight="true" outlineLevel="0" collapsed="false">
      <c r="A54" s="484" t="str">
        <f aca="false">IF(DITARI!$D58="","",ROW()-1)</f>
        <v/>
      </c>
      <c r="B54" s="485" t="str">
        <f aca="false">IF(DITARI!$D58="","",DITARI!$A58)</f>
        <v/>
      </c>
      <c r="C54" s="484" t="str">
        <f aca="false">IF(DITARI!$D58="","",DITARI!$B58)</f>
        <v/>
      </c>
      <c r="D54" s="484" t="str">
        <f aca="false">IF(DITARI!$D58="","",DITARI!$C58)</f>
        <v/>
      </c>
      <c r="E54" s="484" t="str">
        <f aca="false">IF(DITARI!$D58="","",TRIM(DITARI!$D58&amp;""))</f>
        <v/>
      </c>
      <c r="F54" s="484" t="str">
        <f aca="false">IF($E54="","",IFERROR(VLOOKUP($E54,PLANI_LLOGARIVE!$A:$I,2,FALSE()),DITARI!$E58))</f>
        <v/>
      </c>
      <c r="G54" s="484" t="str">
        <f aca="false">IF($E54="","",DITARI!$I58)</f>
        <v/>
      </c>
      <c r="H54" s="486" t="str">
        <f aca="false">IFERROR(IF($E54="","",DITARI!$H58),"")</f>
        <v/>
      </c>
      <c r="I54" s="487" t="n">
        <f aca="false">IF($E54="",0,IFERROR(DITARI!$F58,0))</f>
        <v>0</v>
      </c>
      <c r="J54" s="487" t="n">
        <f aca="false">IF($E54="",0,IFERROR(DITARI!$G58,0))</f>
        <v>0</v>
      </c>
      <c r="K54" s="484" t="str">
        <f aca="false">IF($E54="","",IFERROR(VLOOKUP($E54,PLANI_LLOGARIVE!$A:$I,9,FALSE()),""))</f>
        <v/>
      </c>
      <c r="L54" s="487" t="str">
        <f aca="false">IF($E54="","",$I54-$J54)</f>
        <v/>
      </c>
      <c r="M54" s="484" t="str">
        <f aca="false">IF($E54="","",IF($I54&gt;0,"DEBIT",IF($J54&gt;0,"KREDIT","ZERO")))</f>
        <v/>
      </c>
      <c r="N54" s="484" t="str">
        <f aca="false">IF($E54="","",TEXT($B54,"yyyymmdd")&amp;"-"&amp;TEXT(ROW(),"0000"))</f>
        <v/>
      </c>
      <c r="O54" s="101" t="str">
        <f aca="false">IF($E54="","",$E54&amp;"")</f>
        <v/>
      </c>
      <c r="P54" s="101" t="str">
        <f aca="false">IF(AND($O54&lt;&gt;"",$I54&lt;&gt;0),COUNTIFS($O$2:O54,$O54,$I$2:I54,"&gt;0"),"")</f>
        <v/>
      </c>
      <c r="Q54" s="101" t="str">
        <f aca="false">IF(AND($O54&lt;&gt;"",$J54&lt;&gt;0),COUNTIFS($O$2:O54,$O54,$J$2:J54,"&gt;0"),"")</f>
        <v/>
      </c>
      <c r="R54" s="101" t="str">
        <f aca="false">IF($P54="","",$O54&amp;"|"&amp;$P54)</f>
        <v/>
      </c>
      <c r="S54" s="101" t="str">
        <f aca="false">IF($Q54="","",$O54&amp;"|"&amp;$Q54)</f>
        <v/>
      </c>
      <c r="T54" s="101" t="str">
        <f aca="false">IF($O54="","",COUNTIF($O$2:O54,$O54))</f>
        <v/>
      </c>
      <c r="U54" s="101" t="str">
        <f aca="false">IF($O54="","",$O54&amp;"|"&amp;$T54)</f>
        <v/>
      </c>
      <c r="V54" s="488" t="n">
        <f aca="false">IF(OR(LEFT($D54,5)="MB-CL",LEFT($D54,6)="MB-RES"),0,$I54)</f>
        <v>0</v>
      </c>
      <c r="W54" s="488" t="n">
        <f aca="false">IF(OR(LEFT($D54,5)="MB-CL",LEFT($D54,6)="MB-RES"),0,$J54)</f>
        <v>0</v>
      </c>
      <c r="X54" s="101" t="str">
        <f aca="false">IF($E54="","",LEFT($E54,1))</f>
        <v/>
      </c>
      <c r="Y54" s="101" t="str">
        <f aca="false">IF($E54="","",LEFT($E54,2))</f>
        <v/>
      </c>
      <c r="Z54" s="101" t="str">
        <f aca="false">IF($E54="","",LEFT($E54,3))</f>
        <v/>
      </c>
      <c r="AA54" s="101" t="str">
        <f aca="false">IF($E54="","",LEFT($E54,4))</f>
        <v/>
      </c>
    </row>
    <row r="55" customFormat="false" ht="15" hidden="false" customHeight="true" outlineLevel="0" collapsed="false">
      <c r="A55" s="484" t="str">
        <f aca="false">IF(DITARI!$D59="","",ROW()-1)</f>
        <v/>
      </c>
      <c r="B55" s="485" t="str">
        <f aca="false">IF(DITARI!$D59="","",DITARI!$A59)</f>
        <v/>
      </c>
      <c r="C55" s="484" t="str">
        <f aca="false">IF(DITARI!$D59="","",DITARI!$B59)</f>
        <v/>
      </c>
      <c r="D55" s="484" t="str">
        <f aca="false">IF(DITARI!$D59="","",DITARI!$C59)</f>
        <v/>
      </c>
      <c r="E55" s="484" t="str">
        <f aca="false">IF(DITARI!$D59="","",TRIM(DITARI!$D59&amp;""))</f>
        <v/>
      </c>
      <c r="F55" s="484" t="str">
        <f aca="false">IF($E55="","",IFERROR(VLOOKUP($E55,PLANI_LLOGARIVE!$A:$I,2,FALSE()),DITARI!$E59))</f>
        <v/>
      </c>
      <c r="G55" s="484" t="str">
        <f aca="false">IF($E55="","",DITARI!$I59)</f>
        <v/>
      </c>
      <c r="H55" s="486" t="str">
        <f aca="false">IFERROR(IF($E55="","",DITARI!$H59),"")</f>
        <v/>
      </c>
      <c r="I55" s="487" t="n">
        <f aca="false">IF($E55="",0,IFERROR(DITARI!$F59,0))</f>
        <v>0</v>
      </c>
      <c r="J55" s="487" t="n">
        <f aca="false">IF($E55="",0,IFERROR(DITARI!$G59,0))</f>
        <v>0</v>
      </c>
      <c r="K55" s="484" t="str">
        <f aca="false">IF($E55="","",IFERROR(VLOOKUP($E55,PLANI_LLOGARIVE!$A:$I,9,FALSE()),""))</f>
        <v/>
      </c>
      <c r="L55" s="487" t="str">
        <f aca="false">IF($E55="","",$I55-$J55)</f>
        <v/>
      </c>
      <c r="M55" s="484" t="str">
        <f aca="false">IF($E55="","",IF($I55&gt;0,"DEBIT",IF($J55&gt;0,"KREDIT","ZERO")))</f>
        <v/>
      </c>
      <c r="N55" s="484" t="str">
        <f aca="false">IF($E55="","",TEXT($B55,"yyyymmdd")&amp;"-"&amp;TEXT(ROW(),"0000"))</f>
        <v/>
      </c>
      <c r="O55" s="101" t="str">
        <f aca="false">IF($E55="","",$E55&amp;"")</f>
        <v/>
      </c>
      <c r="P55" s="101" t="str">
        <f aca="false">IF(AND($O55&lt;&gt;"",$I55&lt;&gt;0),COUNTIFS($O$2:O55,$O55,$I$2:I55,"&gt;0"),"")</f>
        <v/>
      </c>
      <c r="Q55" s="101" t="str">
        <f aca="false">IF(AND($O55&lt;&gt;"",$J55&lt;&gt;0),COUNTIFS($O$2:O55,$O55,$J$2:J55,"&gt;0"),"")</f>
        <v/>
      </c>
      <c r="R55" s="101" t="str">
        <f aca="false">IF($P55="","",$O55&amp;"|"&amp;$P55)</f>
        <v/>
      </c>
      <c r="S55" s="101" t="str">
        <f aca="false">IF($Q55="","",$O55&amp;"|"&amp;$Q55)</f>
        <v/>
      </c>
      <c r="T55" s="101" t="str">
        <f aca="false">IF($O55="","",COUNTIF($O$2:O55,$O55))</f>
        <v/>
      </c>
      <c r="U55" s="101" t="str">
        <f aca="false">IF($O55="","",$O55&amp;"|"&amp;$T55)</f>
        <v/>
      </c>
      <c r="V55" s="488" t="n">
        <f aca="false">IF(OR(LEFT($D55,5)="MB-CL",LEFT($D55,6)="MB-RES"),0,$I55)</f>
        <v>0</v>
      </c>
      <c r="W55" s="488" t="n">
        <f aca="false">IF(OR(LEFT($D55,5)="MB-CL",LEFT($D55,6)="MB-RES"),0,$J55)</f>
        <v>0</v>
      </c>
      <c r="X55" s="101" t="str">
        <f aca="false">IF($E55="","",LEFT($E55,1))</f>
        <v/>
      </c>
      <c r="Y55" s="101" t="str">
        <f aca="false">IF($E55="","",LEFT($E55,2))</f>
        <v/>
      </c>
      <c r="Z55" s="101" t="str">
        <f aca="false">IF($E55="","",LEFT($E55,3))</f>
        <v/>
      </c>
      <c r="AA55" s="101" t="str">
        <f aca="false">IF($E55="","",LEFT($E55,4))</f>
        <v/>
      </c>
    </row>
    <row r="56" customFormat="false" ht="15" hidden="false" customHeight="true" outlineLevel="0" collapsed="false">
      <c r="A56" s="484" t="str">
        <f aca="false">IF(DITARI!$D60="","",ROW()-1)</f>
        <v/>
      </c>
      <c r="B56" s="485" t="str">
        <f aca="false">IF(DITARI!$D60="","",DITARI!$A60)</f>
        <v/>
      </c>
      <c r="C56" s="484" t="str">
        <f aca="false">IF(DITARI!$D60="","",DITARI!$B60)</f>
        <v/>
      </c>
      <c r="D56" s="484" t="str">
        <f aca="false">IF(DITARI!$D60="","",DITARI!$C60)</f>
        <v/>
      </c>
      <c r="E56" s="484" t="str">
        <f aca="false">IF(DITARI!$D60="","",TRIM(DITARI!$D60&amp;""))</f>
        <v/>
      </c>
      <c r="F56" s="484" t="str">
        <f aca="false">IF($E56="","",IFERROR(VLOOKUP($E56,PLANI_LLOGARIVE!$A:$I,2,FALSE()),DITARI!$E60))</f>
        <v/>
      </c>
      <c r="G56" s="484" t="str">
        <f aca="false">IF($E56="","",DITARI!$I60)</f>
        <v/>
      </c>
      <c r="H56" s="486" t="str">
        <f aca="false">IFERROR(IF($E56="","",DITARI!$H60),"")</f>
        <v/>
      </c>
      <c r="I56" s="487" t="n">
        <f aca="false">IF($E56="",0,IFERROR(DITARI!$F60,0))</f>
        <v>0</v>
      </c>
      <c r="J56" s="487" t="n">
        <f aca="false">IF($E56="",0,IFERROR(DITARI!$G60,0))</f>
        <v>0</v>
      </c>
      <c r="K56" s="484" t="str">
        <f aca="false">IF($E56="","",IFERROR(VLOOKUP($E56,PLANI_LLOGARIVE!$A:$I,9,FALSE()),""))</f>
        <v/>
      </c>
      <c r="L56" s="487" t="str">
        <f aca="false">IF($E56="","",$I56-$J56)</f>
        <v/>
      </c>
      <c r="M56" s="484" t="str">
        <f aca="false">IF($E56="","",IF($I56&gt;0,"DEBIT",IF($J56&gt;0,"KREDIT","ZERO")))</f>
        <v/>
      </c>
      <c r="N56" s="484" t="str">
        <f aca="false">IF($E56="","",TEXT($B56,"yyyymmdd")&amp;"-"&amp;TEXT(ROW(),"0000"))</f>
        <v/>
      </c>
      <c r="O56" s="101" t="str">
        <f aca="false">IF($E56="","",$E56&amp;"")</f>
        <v/>
      </c>
      <c r="P56" s="101" t="str">
        <f aca="false">IF(AND($O56&lt;&gt;"",$I56&lt;&gt;0),COUNTIFS($O$2:O56,$O56,$I$2:I56,"&gt;0"),"")</f>
        <v/>
      </c>
      <c r="Q56" s="101" t="str">
        <f aca="false">IF(AND($O56&lt;&gt;"",$J56&lt;&gt;0),COUNTIFS($O$2:O56,$O56,$J$2:J56,"&gt;0"),"")</f>
        <v/>
      </c>
      <c r="R56" s="101" t="str">
        <f aca="false">IF($P56="","",$O56&amp;"|"&amp;$P56)</f>
        <v/>
      </c>
      <c r="S56" s="101" t="str">
        <f aca="false">IF($Q56="","",$O56&amp;"|"&amp;$Q56)</f>
        <v/>
      </c>
      <c r="T56" s="101" t="str">
        <f aca="false">IF($O56="","",COUNTIF($O$2:O56,$O56))</f>
        <v/>
      </c>
      <c r="U56" s="101" t="str">
        <f aca="false">IF($O56="","",$O56&amp;"|"&amp;$T56)</f>
        <v/>
      </c>
      <c r="V56" s="488" t="n">
        <f aca="false">IF(OR(LEFT($D56,5)="MB-CL",LEFT($D56,6)="MB-RES"),0,$I56)</f>
        <v>0</v>
      </c>
      <c r="W56" s="488" t="n">
        <f aca="false">IF(OR(LEFT($D56,5)="MB-CL",LEFT($D56,6)="MB-RES"),0,$J56)</f>
        <v>0</v>
      </c>
      <c r="X56" s="101" t="str">
        <f aca="false">IF($E56="","",LEFT($E56,1))</f>
        <v/>
      </c>
      <c r="Y56" s="101" t="str">
        <f aca="false">IF($E56="","",LEFT($E56,2))</f>
        <v/>
      </c>
      <c r="Z56" s="101" t="str">
        <f aca="false">IF($E56="","",LEFT($E56,3))</f>
        <v/>
      </c>
      <c r="AA56" s="101" t="str">
        <f aca="false">IF($E56="","",LEFT($E56,4))</f>
        <v/>
      </c>
    </row>
    <row r="57" customFormat="false" ht="15" hidden="false" customHeight="true" outlineLevel="0" collapsed="false">
      <c r="A57" s="484" t="str">
        <f aca="false">IF(DITARI!$D61="","",ROW()-1)</f>
        <v/>
      </c>
      <c r="B57" s="485" t="str">
        <f aca="false">IF(DITARI!$D61="","",DITARI!$A61)</f>
        <v/>
      </c>
      <c r="C57" s="484" t="str">
        <f aca="false">IF(DITARI!$D61="","",DITARI!$B61)</f>
        <v/>
      </c>
      <c r="D57" s="484" t="str">
        <f aca="false">IF(DITARI!$D61="","",DITARI!$C61)</f>
        <v/>
      </c>
      <c r="E57" s="484" t="str">
        <f aca="false">IF(DITARI!$D61="","",TRIM(DITARI!$D61&amp;""))</f>
        <v/>
      </c>
      <c r="F57" s="484" t="str">
        <f aca="false">IF($E57="","",IFERROR(VLOOKUP($E57,PLANI_LLOGARIVE!$A:$I,2,FALSE()),DITARI!$E61))</f>
        <v/>
      </c>
      <c r="G57" s="484" t="str">
        <f aca="false">IF($E57="","",DITARI!$I61)</f>
        <v/>
      </c>
      <c r="H57" s="486" t="str">
        <f aca="false">IFERROR(IF($E57="","",DITARI!$H61),"")</f>
        <v/>
      </c>
      <c r="I57" s="487" t="n">
        <f aca="false">IF($E57="",0,IFERROR(DITARI!$F61,0))</f>
        <v>0</v>
      </c>
      <c r="J57" s="487" t="n">
        <f aca="false">IF($E57="",0,IFERROR(DITARI!$G61,0))</f>
        <v>0</v>
      </c>
      <c r="K57" s="484" t="str">
        <f aca="false">IF($E57="","",IFERROR(VLOOKUP($E57,PLANI_LLOGARIVE!$A:$I,9,FALSE()),""))</f>
        <v/>
      </c>
      <c r="L57" s="487" t="str">
        <f aca="false">IF($E57="","",$I57-$J57)</f>
        <v/>
      </c>
      <c r="M57" s="484" t="str">
        <f aca="false">IF($E57="","",IF($I57&gt;0,"DEBIT",IF($J57&gt;0,"KREDIT","ZERO")))</f>
        <v/>
      </c>
      <c r="N57" s="484" t="str">
        <f aca="false">IF($E57="","",TEXT($B57,"yyyymmdd")&amp;"-"&amp;TEXT(ROW(),"0000"))</f>
        <v/>
      </c>
      <c r="O57" s="101" t="str">
        <f aca="false">IF($E57="","",$E57&amp;"")</f>
        <v/>
      </c>
      <c r="P57" s="101" t="str">
        <f aca="false">IF(AND($O57&lt;&gt;"",$I57&lt;&gt;0),COUNTIFS($O$2:O57,$O57,$I$2:I57,"&gt;0"),"")</f>
        <v/>
      </c>
      <c r="Q57" s="101" t="str">
        <f aca="false">IF(AND($O57&lt;&gt;"",$J57&lt;&gt;0),COUNTIFS($O$2:O57,$O57,$J$2:J57,"&gt;0"),"")</f>
        <v/>
      </c>
      <c r="R57" s="101" t="str">
        <f aca="false">IF($P57="","",$O57&amp;"|"&amp;$P57)</f>
        <v/>
      </c>
      <c r="S57" s="101" t="str">
        <f aca="false">IF($Q57="","",$O57&amp;"|"&amp;$Q57)</f>
        <v/>
      </c>
      <c r="T57" s="101" t="str">
        <f aca="false">IF($O57="","",COUNTIF($O$2:O57,$O57))</f>
        <v/>
      </c>
      <c r="U57" s="101" t="str">
        <f aca="false">IF($O57="","",$O57&amp;"|"&amp;$T57)</f>
        <v/>
      </c>
      <c r="V57" s="488" t="n">
        <f aca="false">IF(OR(LEFT($D57,5)="MB-CL",LEFT($D57,6)="MB-RES"),0,$I57)</f>
        <v>0</v>
      </c>
      <c r="W57" s="488" t="n">
        <f aca="false">IF(OR(LEFT($D57,5)="MB-CL",LEFT($D57,6)="MB-RES"),0,$J57)</f>
        <v>0</v>
      </c>
      <c r="X57" s="101" t="str">
        <f aca="false">IF($E57="","",LEFT($E57,1))</f>
        <v/>
      </c>
      <c r="Y57" s="101" t="str">
        <f aca="false">IF($E57="","",LEFT($E57,2))</f>
        <v/>
      </c>
      <c r="Z57" s="101" t="str">
        <f aca="false">IF($E57="","",LEFT($E57,3))</f>
        <v/>
      </c>
      <c r="AA57" s="101" t="str">
        <f aca="false">IF($E57="","",LEFT($E57,4))</f>
        <v/>
      </c>
    </row>
    <row r="58" customFormat="false" ht="15" hidden="false" customHeight="true" outlineLevel="0" collapsed="false">
      <c r="A58" s="484" t="str">
        <f aca="false">IF(DITARI!$D62="","",ROW()-1)</f>
        <v/>
      </c>
      <c r="B58" s="485" t="str">
        <f aca="false">IF(DITARI!$D62="","",DITARI!$A62)</f>
        <v/>
      </c>
      <c r="C58" s="484" t="str">
        <f aca="false">IF(DITARI!$D62="","",DITARI!$B62)</f>
        <v/>
      </c>
      <c r="D58" s="484" t="str">
        <f aca="false">IF(DITARI!$D62="","",DITARI!$C62)</f>
        <v/>
      </c>
      <c r="E58" s="484" t="str">
        <f aca="false">IF(DITARI!$D62="","",TRIM(DITARI!$D62&amp;""))</f>
        <v/>
      </c>
      <c r="F58" s="484" t="str">
        <f aca="false">IF($E58="","",IFERROR(VLOOKUP($E58,PLANI_LLOGARIVE!$A:$I,2,FALSE()),DITARI!$E62))</f>
        <v/>
      </c>
      <c r="G58" s="484" t="str">
        <f aca="false">IF($E58="","",DITARI!$I62)</f>
        <v/>
      </c>
      <c r="H58" s="486" t="str">
        <f aca="false">IFERROR(IF($E58="","",DITARI!$H62),"")</f>
        <v/>
      </c>
      <c r="I58" s="487" t="n">
        <f aca="false">IF($E58="",0,IFERROR(DITARI!$F62,0))</f>
        <v>0</v>
      </c>
      <c r="J58" s="487" t="n">
        <f aca="false">IF($E58="",0,IFERROR(DITARI!$G62,0))</f>
        <v>0</v>
      </c>
      <c r="K58" s="484" t="str">
        <f aca="false">IF($E58="","",IFERROR(VLOOKUP($E58,PLANI_LLOGARIVE!$A:$I,9,FALSE()),""))</f>
        <v/>
      </c>
      <c r="L58" s="487" t="str">
        <f aca="false">IF($E58="","",$I58-$J58)</f>
        <v/>
      </c>
      <c r="M58" s="484" t="str">
        <f aca="false">IF($E58="","",IF($I58&gt;0,"DEBIT",IF($J58&gt;0,"KREDIT","ZERO")))</f>
        <v/>
      </c>
      <c r="N58" s="484" t="str">
        <f aca="false">IF($E58="","",TEXT($B58,"yyyymmdd")&amp;"-"&amp;TEXT(ROW(),"0000"))</f>
        <v/>
      </c>
      <c r="O58" s="101" t="str">
        <f aca="false">IF($E58="","",$E58&amp;"")</f>
        <v/>
      </c>
      <c r="P58" s="101" t="str">
        <f aca="false">IF(AND($O58&lt;&gt;"",$I58&lt;&gt;0),COUNTIFS($O$2:O58,$O58,$I$2:I58,"&gt;0"),"")</f>
        <v/>
      </c>
      <c r="Q58" s="101" t="str">
        <f aca="false">IF(AND($O58&lt;&gt;"",$J58&lt;&gt;0),COUNTIFS($O$2:O58,$O58,$J$2:J58,"&gt;0"),"")</f>
        <v/>
      </c>
      <c r="R58" s="101" t="str">
        <f aca="false">IF($P58="","",$O58&amp;"|"&amp;$P58)</f>
        <v/>
      </c>
      <c r="S58" s="101" t="str">
        <f aca="false">IF($Q58="","",$O58&amp;"|"&amp;$Q58)</f>
        <v/>
      </c>
      <c r="T58" s="101" t="str">
        <f aca="false">IF($O58="","",COUNTIF($O$2:O58,$O58))</f>
        <v/>
      </c>
      <c r="U58" s="101" t="str">
        <f aca="false">IF($O58="","",$O58&amp;"|"&amp;$T58)</f>
        <v/>
      </c>
      <c r="V58" s="488" t="n">
        <f aca="false">IF(OR(LEFT($D58,5)="MB-CL",LEFT($D58,6)="MB-RES"),0,$I58)</f>
        <v>0</v>
      </c>
      <c r="W58" s="488" t="n">
        <f aca="false">IF(OR(LEFT($D58,5)="MB-CL",LEFT($D58,6)="MB-RES"),0,$J58)</f>
        <v>0</v>
      </c>
      <c r="X58" s="101" t="str">
        <f aca="false">IF($E58="","",LEFT($E58,1))</f>
        <v/>
      </c>
      <c r="Y58" s="101" t="str">
        <f aca="false">IF($E58="","",LEFT($E58,2))</f>
        <v/>
      </c>
      <c r="Z58" s="101" t="str">
        <f aca="false">IF($E58="","",LEFT($E58,3))</f>
        <v/>
      </c>
      <c r="AA58" s="101" t="str">
        <f aca="false">IF($E58="","",LEFT($E58,4))</f>
        <v/>
      </c>
    </row>
    <row r="59" customFormat="false" ht="15" hidden="false" customHeight="true" outlineLevel="0" collapsed="false">
      <c r="A59" s="484" t="str">
        <f aca="false">IF(DITARI!$D63="","",ROW()-1)</f>
        <v/>
      </c>
      <c r="B59" s="485" t="str">
        <f aca="false">IF(DITARI!$D63="","",DITARI!$A63)</f>
        <v/>
      </c>
      <c r="C59" s="484" t="str">
        <f aca="false">IF(DITARI!$D63="","",DITARI!$B63)</f>
        <v/>
      </c>
      <c r="D59" s="484" t="str">
        <f aca="false">IF(DITARI!$D63="","",DITARI!$C63)</f>
        <v/>
      </c>
      <c r="E59" s="484" t="str">
        <f aca="false">IF(DITARI!$D63="","",TRIM(DITARI!$D63&amp;""))</f>
        <v/>
      </c>
      <c r="F59" s="484" t="str">
        <f aca="false">IF($E59="","",IFERROR(VLOOKUP($E59,PLANI_LLOGARIVE!$A:$I,2,FALSE()),DITARI!$E63))</f>
        <v/>
      </c>
      <c r="G59" s="484" t="str">
        <f aca="false">IF($E59="","",DITARI!$I63)</f>
        <v/>
      </c>
      <c r="H59" s="486" t="str">
        <f aca="false">IFERROR(IF($E59="","",DITARI!$H63),"")</f>
        <v/>
      </c>
      <c r="I59" s="487" t="n">
        <f aca="false">IF($E59="",0,IFERROR(DITARI!$F63,0))</f>
        <v>0</v>
      </c>
      <c r="J59" s="487" t="n">
        <f aca="false">IF($E59="",0,IFERROR(DITARI!$G63,0))</f>
        <v>0</v>
      </c>
      <c r="K59" s="484" t="str">
        <f aca="false">IF($E59="","",IFERROR(VLOOKUP($E59,PLANI_LLOGARIVE!$A:$I,9,FALSE()),""))</f>
        <v/>
      </c>
      <c r="L59" s="487" t="str">
        <f aca="false">IF($E59="","",$I59-$J59)</f>
        <v/>
      </c>
      <c r="M59" s="484" t="str">
        <f aca="false">IF($E59="","",IF($I59&gt;0,"DEBIT",IF($J59&gt;0,"KREDIT","ZERO")))</f>
        <v/>
      </c>
      <c r="N59" s="484" t="str">
        <f aca="false">IF($E59="","",TEXT($B59,"yyyymmdd")&amp;"-"&amp;TEXT(ROW(),"0000"))</f>
        <v/>
      </c>
      <c r="O59" s="101" t="str">
        <f aca="false">IF($E59="","",$E59&amp;"")</f>
        <v/>
      </c>
      <c r="P59" s="101" t="str">
        <f aca="false">IF(AND($O59&lt;&gt;"",$I59&lt;&gt;0),COUNTIFS($O$2:O59,$O59,$I$2:I59,"&gt;0"),"")</f>
        <v/>
      </c>
      <c r="Q59" s="101" t="str">
        <f aca="false">IF(AND($O59&lt;&gt;"",$J59&lt;&gt;0),COUNTIFS($O$2:O59,$O59,$J$2:J59,"&gt;0"),"")</f>
        <v/>
      </c>
      <c r="R59" s="101" t="str">
        <f aca="false">IF($P59="","",$O59&amp;"|"&amp;$P59)</f>
        <v/>
      </c>
      <c r="S59" s="101" t="str">
        <f aca="false">IF($Q59="","",$O59&amp;"|"&amp;$Q59)</f>
        <v/>
      </c>
      <c r="T59" s="101" t="str">
        <f aca="false">IF($O59="","",COUNTIF($O$2:O59,$O59))</f>
        <v/>
      </c>
      <c r="U59" s="101" t="str">
        <f aca="false">IF($O59="","",$O59&amp;"|"&amp;$T59)</f>
        <v/>
      </c>
      <c r="V59" s="488" t="n">
        <f aca="false">IF(OR(LEFT($D59,5)="MB-CL",LEFT($D59,6)="MB-RES"),0,$I59)</f>
        <v>0</v>
      </c>
      <c r="W59" s="488" t="n">
        <f aca="false">IF(OR(LEFT($D59,5)="MB-CL",LEFT($D59,6)="MB-RES"),0,$J59)</f>
        <v>0</v>
      </c>
      <c r="X59" s="101" t="str">
        <f aca="false">IF($E59="","",LEFT($E59,1))</f>
        <v/>
      </c>
      <c r="Y59" s="101" t="str">
        <f aca="false">IF($E59="","",LEFT($E59,2))</f>
        <v/>
      </c>
      <c r="Z59" s="101" t="str">
        <f aca="false">IF($E59="","",LEFT($E59,3))</f>
        <v/>
      </c>
      <c r="AA59" s="101" t="str">
        <f aca="false">IF($E59="","",LEFT($E59,4))</f>
        <v/>
      </c>
    </row>
    <row r="60" customFormat="false" ht="15" hidden="false" customHeight="true" outlineLevel="0" collapsed="false">
      <c r="A60" s="484" t="str">
        <f aca="false">IF(DITARI!$D64="","",ROW()-1)</f>
        <v/>
      </c>
      <c r="B60" s="485" t="str">
        <f aca="false">IF(DITARI!$D64="","",DITARI!$A64)</f>
        <v/>
      </c>
      <c r="C60" s="484" t="str">
        <f aca="false">IF(DITARI!$D64="","",DITARI!$B64)</f>
        <v/>
      </c>
      <c r="D60" s="484" t="str">
        <f aca="false">IF(DITARI!$D64="","",DITARI!$C64)</f>
        <v/>
      </c>
      <c r="E60" s="484" t="str">
        <f aca="false">IF(DITARI!$D64="","",TRIM(DITARI!$D64&amp;""))</f>
        <v/>
      </c>
      <c r="F60" s="484" t="str">
        <f aca="false">IF($E60="","",IFERROR(VLOOKUP($E60,PLANI_LLOGARIVE!$A:$I,2,FALSE()),DITARI!$E64))</f>
        <v/>
      </c>
      <c r="G60" s="484" t="str">
        <f aca="false">IF($E60="","",DITARI!$I64)</f>
        <v/>
      </c>
      <c r="H60" s="486" t="str">
        <f aca="false">IFERROR(IF($E60="","",DITARI!$H64),"")</f>
        <v/>
      </c>
      <c r="I60" s="487" t="n">
        <f aca="false">IF($E60="",0,IFERROR(DITARI!$F64,0))</f>
        <v>0</v>
      </c>
      <c r="J60" s="487" t="n">
        <f aca="false">IF($E60="",0,IFERROR(DITARI!$G64,0))</f>
        <v>0</v>
      </c>
      <c r="K60" s="484" t="str">
        <f aca="false">IF($E60="","",IFERROR(VLOOKUP($E60,PLANI_LLOGARIVE!$A:$I,9,FALSE()),""))</f>
        <v/>
      </c>
      <c r="L60" s="487" t="str">
        <f aca="false">IF($E60="","",$I60-$J60)</f>
        <v/>
      </c>
      <c r="M60" s="484" t="str">
        <f aca="false">IF($E60="","",IF($I60&gt;0,"DEBIT",IF($J60&gt;0,"KREDIT","ZERO")))</f>
        <v/>
      </c>
      <c r="N60" s="484" t="str">
        <f aca="false">IF($E60="","",TEXT($B60,"yyyymmdd")&amp;"-"&amp;TEXT(ROW(),"0000"))</f>
        <v/>
      </c>
      <c r="O60" s="101" t="str">
        <f aca="false">IF($E60="","",$E60&amp;"")</f>
        <v/>
      </c>
      <c r="P60" s="101" t="str">
        <f aca="false">IF(AND($O60&lt;&gt;"",$I60&lt;&gt;0),COUNTIFS($O$2:O60,$O60,$I$2:I60,"&gt;0"),"")</f>
        <v/>
      </c>
      <c r="Q60" s="101" t="str">
        <f aca="false">IF(AND($O60&lt;&gt;"",$J60&lt;&gt;0),COUNTIFS($O$2:O60,$O60,$J$2:J60,"&gt;0"),"")</f>
        <v/>
      </c>
      <c r="R60" s="101" t="str">
        <f aca="false">IF($P60="","",$O60&amp;"|"&amp;$P60)</f>
        <v/>
      </c>
      <c r="S60" s="101" t="str">
        <f aca="false">IF($Q60="","",$O60&amp;"|"&amp;$Q60)</f>
        <v/>
      </c>
      <c r="T60" s="101" t="str">
        <f aca="false">IF($O60="","",COUNTIF($O$2:O60,$O60))</f>
        <v/>
      </c>
      <c r="U60" s="101" t="str">
        <f aca="false">IF($O60="","",$O60&amp;"|"&amp;$T60)</f>
        <v/>
      </c>
      <c r="V60" s="488" t="n">
        <f aca="false">IF(OR(LEFT($D60,5)="MB-CL",LEFT($D60,6)="MB-RES"),0,$I60)</f>
        <v>0</v>
      </c>
      <c r="W60" s="488" t="n">
        <f aca="false">IF(OR(LEFT($D60,5)="MB-CL",LEFT($D60,6)="MB-RES"),0,$J60)</f>
        <v>0</v>
      </c>
      <c r="X60" s="101" t="str">
        <f aca="false">IF($E60="","",LEFT($E60,1))</f>
        <v/>
      </c>
      <c r="Y60" s="101" t="str">
        <f aca="false">IF($E60="","",LEFT($E60,2))</f>
        <v/>
      </c>
      <c r="Z60" s="101" t="str">
        <f aca="false">IF($E60="","",LEFT($E60,3))</f>
        <v/>
      </c>
      <c r="AA60" s="101" t="str">
        <f aca="false">IF($E60="","",LEFT($E60,4))</f>
        <v/>
      </c>
    </row>
    <row r="61" customFormat="false" ht="15" hidden="false" customHeight="true" outlineLevel="0" collapsed="false">
      <c r="A61" s="484" t="str">
        <f aca="false">IF(DITARI!$D65="","",ROW()-1)</f>
        <v/>
      </c>
      <c r="B61" s="485" t="str">
        <f aca="false">IF(DITARI!$D65="","",DITARI!$A65)</f>
        <v/>
      </c>
      <c r="C61" s="484" t="str">
        <f aca="false">IF(DITARI!$D65="","",DITARI!$B65)</f>
        <v/>
      </c>
      <c r="D61" s="484" t="str">
        <f aca="false">IF(DITARI!$D65="","",DITARI!$C65)</f>
        <v/>
      </c>
      <c r="E61" s="484" t="str">
        <f aca="false">IF(DITARI!$D65="","",TRIM(DITARI!$D65&amp;""))</f>
        <v/>
      </c>
      <c r="F61" s="484" t="str">
        <f aca="false">IF($E61="","",IFERROR(VLOOKUP($E61,PLANI_LLOGARIVE!$A:$I,2,FALSE()),DITARI!$E65))</f>
        <v/>
      </c>
      <c r="G61" s="484" t="str">
        <f aca="false">IF($E61="","",DITARI!$I65)</f>
        <v/>
      </c>
      <c r="H61" s="486" t="str">
        <f aca="false">IFERROR(IF($E61="","",DITARI!$H65),"")</f>
        <v/>
      </c>
      <c r="I61" s="487" t="n">
        <f aca="false">IF($E61="",0,IFERROR(DITARI!$F65,0))</f>
        <v>0</v>
      </c>
      <c r="J61" s="487" t="n">
        <f aca="false">IF($E61="",0,IFERROR(DITARI!$G65,0))</f>
        <v>0</v>
      </c>
      <c r="K61" s="484" t="str">
        <f aca="false">IF($E61="","",IFERROR(VLOOKUP($E61,PLANI_LLOGARIVE!$A:$I,9,FALSE()),""))</f>
        <v/>
      </c>
      <c r="L61" s="487" t="str">
        <f aca="false">IF($E61="","",$I61-$J61)</f>
        <v/>
      </c>
      <c r="M61" s="484" t="str">
        <f aca="false">IF($E61="","",IF($I61&gt;0,"DEBIT",IF($J61&gt;0,"KREDIT","ZERO")))</f>
        <v/>
      </c>
      <c r="N61" s="484" t="str">
        <f aca="false">IF($E61="","",TEXT($B61,"yyyymmdd")&amp;"-"&amp;TEXT(ROW(),"0000"))</f>
        <v/>
      </c>
      <c r="O61" s="101" t="str">
        <f aca="false">IF($E61="","",$E61&amp;"")</f>
        <v/>
      </c>
      <c r="P61" s="101" t="str">
        <f aca="false">IF(AND($O61&lt;&gt;"",$I61&lt;&gt;0),COUNTIFS($O$2:O61,$O61,$I$2:I61,"&gt;0"),"")</f>
        <v/>
      </c>
      <c r="Q61" s="101" t="str">
        <f aca="false">IF(AND($O61&lt;&gt;"",$J61&lt;&gt;0),COUNTIFS($O$2:O61,$O61,$J$2:J61,"&gt;0"),"")</f>
        <v/>
      </c>
      <c r="R61" s="101" t="str">
        <f aca="false">IF($P61="","",$O61&amp;"|"&amp;$P61)</f>
        <v/>
      </c>
      <c r="S61" s="101" t="str">
        <f aca="false">IF($Q61="","",$O61&amp;"|"&amp;$Q61)</f>
        <v/>
      </c>
      <c r="T61" s="101" t="str">
        <f aca="false">IF($O61="","",COUNTIF($O$2:O61,$O61))</f>
        <v/>
      </c>
      <c r="U61" s="101" t="str">
        <f aca="false">IF($O61="","",$O61&amp;"|"&amp;$T61)</f>
        <v/>
      </c>
      <c r="V61" s="488" t="n">
        <f aca="false">IF(OR(LEFT($D61,5)="MB-CL",LEFT($D61,6)="MB-RES"),0,$I61)</f>
        <v>0</v>
      </c>
      <c r="W61" s="488" t="n">
        <f aca="false">IF(OR(LEFT($D61,5)="MB-CL",LEFT($D61,6)="MB-RES"),0,$J61)</f>
        <v>0</v>
      </c>
      <c r="X61" s="101" t="str">
        <f aca="false">IF($E61="","",LEFT($E61,1))</f>
        <v/>
      </c>
      <c r="Y61" s="101" t="str">
        <f aca="false">IF($E61="","",LEFT($E61,2))</f>
        <v/>
      </c>
      <c r="Z61" s="101" t="str">
        <f aca="false">IF($E61="","",LEFT($E61,3))</f>
        <v/>
      </c>
      <c r="AA61" s="101" t="str">
        <f aca="false">IF($E61="","",LEFT($E61,4))</f>
        <v/>
      </c>
    </row>
    <row r="62" customFormat="false" ht="15" hidden="false" customHeight="true" outlineLevel="0" collapsed="false">
      <c r="A62" s="484" t="str">
        <f aca="false">IF(DITARI!$D66="","",ROW()-1)</f>
        <v/>
      </c>
      <c r="B62" s="485" t="str">
        <f aca="false">IF(DITARI!$D66="","",DITARI!$A66)</f>
        <v/>
      </c>
      <c r="C62" s="484" t="str">
        <f aca="false">IF(DITARI!$D66="","",DITARI!$B66)</f>
        <v/>
      </c>
      <c r="D62" s="484" t="str">
        <f aca="false">IF(DITARI!$D66="","",DITARI!$C66)</f>
        <v/>
      </c>
      <c r="E62" s="484" t="str">
        <f aca="false">IF(DITARI!$D66="","",TRIM(DITARI!$D66&amp;""))</f>
        <v/>
      </c>
      <c r="F62" s="484" t="str">
        <f aca="false">IF($E62="","",IFERROR(VLOOKUP($E62,PLANI_LLOGARIVE!$A:$I,2,FALSE()),DITARI!$E66))</f>
        <v/>
      </c>
      <c r="G62" s="484" t="str">
        <f aca="false">IF($E62="","",DITARI!$I66)</f>
        <v/>
      </c>
      <c r="H62" s="486" t="str">
        <f aca="false">IFERROR(IF($E62="","",DITARI!$H66),"")</f>
        <v/>
      </c>
      <c r="I62" s="487" t="n">
        <f aca="false">IF($E62="",0,IFERROR(DITARI!$F66,0))</f>
        <v>0</v>
      </c>
      <c r="J62" s="487" t="n">
        <f aca="false">IF($E62="",0,IFERROR(DITARI!$G66,0))</f>
        <v>0</v>
      </c>
      <c r="K62" s="484" t="str">
        <f aca="false">IF($E62="","",IFERROR(VLOOKUP($E62,PLANI_LLOGARIVE!$A:$I,9,FALSE()),""))</f>
        <v/>
      </c>
      <c r="L62" s="487" t="str">
        <f aca="false">IF($E62="","",$I62-$J62)</f>
        <v/>
      </c>
      <c r="M62" s="484" t="str">
        <f aca="false">IF($E62="","",IF($I62&gt;0,"DEBIT",IF($J62&gt;0,"KREDIT","ZERO")))</f>
        <v/>
      </c>
      <c r="N62" s="484" t="str">
        <f aca="false">IF($E62="","",TEXT($B62,"yyyymmdd")&amp;"-"&amp;TEXT(ROW(),"0000"))</f>
        <v/>
      </c>
      <c r="O62" s="101" t="str">
        <f aca="false">IF($E62="","",$E62&amp;"")</f>
        <v/>
      </c>
      <c r="P62" s="101" t="str">
        <f aca="false">IF(AND($O62&lt;&gt;"",$I62&lt;&gt;0),COUNTIFS($O$2:O62,$O62,$I$2:I62,"&gt;0"),"")</f>
        <v/>
      </c>
      <c r="Q62" s="101" t="str">
        <f aca="false">IF(AND($O62&lt;&gt;"",$J62&lt;&gt;0),COUNTIFS($O$2:O62,$O62,$J$2:J62,"&gt;0"),"")</f>
        <v/>
      </c>
      <c r="R62" s="101" t="str">
        <f aca="false">IF($P62="","",$O62&amp;"|"&amp;$P62)</f>
        <v/>
      </c>
      <c r="S62" s="101" t="str">
        <f aca="false">IF($Q62="","",$O62&amp;"|"&amp;$Q62)</f>
        <v/>
      </c>
      <c r="T62" s="101" t="str">
        <f aca="false">IF($O62="","",COUNTIF($O$2:O62,$O62))</f>
        <v/>
      </c>
      <c r="U62" s="101" t="str">
        <f aca="false">IF($O62="","",$O62&amp;"|"&amp;$T62)</f>
        <v/>
      </c>
      <c r="V62" s="488" t="n">
        <f aca="false">IF(OR(LEFT($D62,5)="MB-CL",LEFT($D62,6)="MB-RES"),0,$I62)</f>
        <v>0</v>
      </c>
      <c r="W62" s="488" t="n">
        <f aca="false">IF(OR(LEFT($D62,5)="MB-CL",LEFT($D62,6)="MB-RES"),0,$J62)</f>
        <v>0</v>
      </c>
      <c r="X62" s="101" t="str">
        <f aca="false">IF($E62="","",LEFT($E62,1))</f>
        <v/>
      </c>
      <c r="Y62" s="101" t="str">
        <f aca="false">IF($E62="","",LEFT($E62,2))</f>
        <v/>
      </c>
      <c r="Z62" s="101" t="str">
        <f aca="false">IF($E62="","",LEFT($E62,3))</f>
        <v/>
      </c>
      <c r="AA62" s="101" t="str">
        <f aca="false">IF($E62="","",LEFT($E62,4))</f>
        <v/>
      </c>
    </row>
    <row r="63" customFormat="false" ht="15" hidden="false" customHeight="true" outlineLevel="0" collapsed="false">
      <c r="A63" s="484" t="str">
        <f aca="false">IF(DITARI!$D67="","",ROW()-1)</f>
        <v/>
      </c>
      <c r="B63" s="485" t="str">
        <f aca="false">IF(DITARI!$D67="","",DITARI!$A67)</f>
        <v/>
      </c>
      <c r="C63" s="484" t="str">
        <f aca="false">IF(DITARI!$D67="","",DITARI!$B67)</f>
        <v/>
      </c>
      <c r="D63" s="484" t="str">
        <f aca="false">IF(DITARI!$D67="","",DITARI!$C67)</f>
        <v/>
      </c>
      <c r="E63" s="484" t="str">
        <f aca="false">IF(DITARI!$D67="","",TRIM(DITARI!$D67&amp;""))</f>
        <v/>
      </c>
      <c r="F63" s="484" t="str">
        <f aca="false">IF($E63="","",IFERROR(VLOOKUP($E63,PLANI_LLOGARIVE!$A:$I,2,FALSE()),DITARI!$E67))</f>
        <v/>
      </c>
      <c r="G63" s="484" t="str">
        <f aca="false">IF($E63="","",DITARI!$I67)</f>
        <v/>
      </c>
      <c r="H63" s="486" t="str">
        <f aca="false">IFERROR(IF($E63="","",DITARI!$H67),"")</f>
        <v/>
      </c>
      <c r="I63" s="487" t="n">
        <f aca="false">IF($E63="",0,IFERROR(DITARI!$F67,0))</f>
        <v>0</v>
      </c>
      <c r="J63" s="487" t="n">
        <f aca="false">IF($E63="",0,IFERROR(DITARI!$G67,0))</f>
        <v>0</v>
      </c>
      <c r="K63" s="484" t="str">
        <f aca="false">IF($E63="","",IFERROR(VLOOKUP($E63,PLANI_LLOGARIVE!$A:$I,9,FALSE()),""))</f>
        <v/>
      </c>
      <c r="L63" s="487" t="str">
        <f aca="false">IF($E63="","",$I63-$J63)</f>
        <v/>
      </c>
      <c r="M63" s="484" t="str">
        <f aca="false">IF($E63="","",IF($I63&gt;0,"DEBIT",IF($J63&gt;0,"KREDIT","ZERO")))</f>
        <v/>
      </c>
      <c r="N63" s="484" t="str">
        <f aca="false">IF($E63="","",TEXT($B63,"yyyymmdd")&amp;"-"&amp;TEXT(ROW(),"0000"))</f>
        <v/>
      </c>
      <c r="O63" s="101" t="str">
        <f aca="false">IF($E63="","",$E63&amp;"")</f>
        <v/>
      </c>
      <c r="P63" s="101" t="str">
        <f aca="false">IF(AND($O63&lt;&gt;"",$I63&lt;&gt;0),COUNTIFS($O$2:O63,$O63,$I$2:I63,"&gt;0"),"")</f>
        <v/>
      </c>
      <c r="Q63" s="101" t="str">
        <f aca="false">IF(AND($O63&lt;&gt;"",$J63&lt;&gt;0),COUNTIFS($O$2:O63,$O63,$J$2:J63,"&gt;0"),"")</f>
        <v/>
      </c>
      <c r="R63" s="101" t="str">
        <f aca="false">IF($P63="","",$O63&amp;"|"&amp;$P63)</f>
        <v/>
      </c>
      <c r="S63" s="101" t="str">
        <f aca="false">IF($Q63="","",$O63&amp;"|"&amp;$Q63)</f>
        <v/>
      </c>
      <c r="T63" s="101" t="str">
        <f aca="false">IF($O63="","",COUNTIF($O$2:O63,$O63))</f>
        <v/>
      </c>
      <c r="U63" s="101" t="str">
        <f aca="false">IF($O63="","",$O63&amp;"|"&amp;$T63)</f>
        <v/>
      </c>
      <c r="V63" s="488" t="n">
        <f aca="false">IF(OR(LEFT($D63,5)="MB-CL",LEFT($D63,6)="MB-RES"),0,$I63)</f>
        <v>0</v>
      </c>
      <c r="W63" s="488" t="n">
        <f aca="false">IF(OR(LEFT($D63,5)="MB-CL",LEFT($D63,6)="MB-RES"),0,$J63)</f>
        <v>0</v>
      </c>
      <c r="X63" s="101" t="str">
        <f aca="false">IF($E63="","",LEFT($E63,1))</f>
        <v/>
      </c>
      <c r="Y63" s="101" t="str">
        <f aca="false">IF($E63="","",LEFT($E63,2))</f>
        <v/>
      </c>
      <c r="Z63" s="101" t="str">
        <f aca="false">IF($E63="","",LEFT($E63,3))</f>
        <v/>
      </c>
      <c r="AA63" s="101" t="str">
        <f aca="false">IF($E63="","",LEFT($E63,4))</f>
        <v/>
      </c>
    </row>
    <row r="64" customFormat="false" ht="15" hidden="false" customHeight="true" outlineLevel="0" collapsed="false">
      <c r="A64" s="484" t="str">
        <f aca="false">IF(DITARI!$D68="","",ROW()-1)</f>
        <v/>
      </c>
      <c r="B64" s="485" t="str">
        <f aca="false">IF(DITARI!$D68="","",DITARI!$A68)</f>
        <v/>
      </c>
      <c r="C64" s="484" t="str">
        <f aca="false">IF(DITARI!$D68="","",DITARI!$B68)</f>
        <v/>
      </c>
      <c r="D64" s="484" t="str">
        <f aca="false">IF(DITARI!$D68="","",DITARI!$C68)</f>
        <v/>
      </c>
      <c r="E64" s="484" t="str">
        <f aca="false">IF(DITARI!$D68="","",TRIM(DITARI!$D68&amp;""))</f>
        <v/>
      </c>
      <c r="F64" s="484" t="str">
        <f aca="false">IF($E64="","",IFERROR(VLOOKUP($E64,PLANI_LLOGARIVE!$A:$I,2,FALSE()),DITARI!$E68))</f>
        <v/>
      </c>
      <c r="G64" s="484" t="str">
        <f aca="false">IF($E64="","",DITARI!$I68)</f>
        <v/>
      </c>
      <c r="H64" s="486" t="str">
        <f aca="false">IFERROR(IF($E64="","",DITARI!$H68),"")</f>
        <v/>
      </c>
      <c r="I64" s="487" t="n">
        <f aca="false">IF($E64="",0,IFERROR(DITARI!$F68,0))</f>
        <v>0</v>
      </c>
      <c r="J64" s="487" t="n">
        <f aca="false">IF($E64="",0,IFERROR(DITARI!$G68,0))</f>
        <v>0</v>
      </c>
      <c r="K64" s="484" t="str">
        <f aca="false">IF($E64="","",IFERROR(VLOOKUP($E64,PLANI_LLOGARIVE!$A:$I,9,FALSE()),""))</f>
        <v/>
      </c>
      <c r="L64" s="487" t="str">
        <f aca="false">IF($E64="","",$I64-$J64)</f>
        <v/>
      </c>
      <c r="M64" s="484" t="str">
        <f aca="false">IF($E64="","",IF($I64&gt;0,"DEBIT",IF($J64&gt;0,"KREDIT","ZERO")))</f>
        <v/>
      </c>
      <c r="N64" s="484" t="str">
        <f aca="false">IF($E64="","",TEXT($B64,"yyyymmdd")&amp;"-"&amp;TEXT(ROW(),"0000"))</f>
        <v/>
      </c>
      <c r="O64" s="101" t="str">
        <f aca="false">IF($E64="","",$E64&amp;"")</f>
        <v/>
      </c>
      <c r="P64" s="101" t="str">
        <f aca="false">IF(AND($O64&lt;&gt;"",$I64&lt;&gt;0),COUNTIFS($O$2:O64,$O64,$I$2:I64,"&gt;0"),"")</f>
        <v/>
      </c>
      <c r="Q64" s="101" t="str">
        <f aca="false">IF(AND($O64&lt;&gt;"",$J64&lt;&gt;0),COUNTIFS($O$2:O64,$O64,$J$2:J64,"&gt;0"),"")</f>
        <v/>
      </c>
      <c r="R64" s="101" t="str">
        <f aca="false">IF($P64="","",$O64&amp;"|"&amp;$P64)</f>
        <v/>
      </c>
      <c r="S64" s="101" t="str">
        <f aca="false">IF($Q64="","",$O64&amp;"|"&amp;$Q64)</f>
        <v/>
      </c>
      <c r="T64" s="101" t="str">
        <f aca="false">IF($O64="","",COUNTIF($O$2:O64,$O64))</f>
        <v/>
      </c>
      <c r="U64" s="101" t="str">
        <f aca="false">IF($O64="","",$O64&amp;"|"&amp;$T64)</f>
        <v/>
      </c>
      <c r="V64" s="488" t="n">
        <f aca="false">IF(OR(LEFT($D64,5)="MB-CL",LEFT($D64,6)="MB-RES"),0,$I64)</f>
        <v>0</v>
      </c>
      <c r="W64" s="488" t="n">
        <f aca="false">IF(OR(LEFT($D64,5)="MB-CL",LEFT($D64,6)="MB-RES"),0,$J64)</f>
        <v>0</v>
      </c>
      <c r="X64" s="101" t="str">
        <f aca="false">IF($E64="","",LEFT($E64,1))</f>
        <v/>
      </c>
      <c r="Y64" s="101" t="str">
        <f aca="false">IF($E64="","",LEFT($E64,2))</f>
        <v/>
      </c>
      <c r="Z64" s="101" t="str">
        <f aca="false">IF($E64="","",LEFT($E64,3))</f>
        <v/>
      </c>
      <c r="AA64" s="101" t="str">
        <f aca="false">IF($E64="","",LEFT($E64,4))</f>
        <v/>
      </c>
    </row>
    <row r="65" customFormat="false" ht="15" hidden="false" customHeight="true" outlineLevel="0" collapsed="false">
      <c r="A65" s="484" t="str">
        <f aca="false">IF(DITARI!$D69="","",ROW()-1)</f>
        <v/>
      </c>
      <c r="B65" s="485" t="str">
        <f aca="false">IF(DITARI!$D69="","",DITARI!$A69)</f>
        <v/>
      </c>
      <c r="C65" s="484" t="str">
        <f aca="false">IF(DITARI!$D69="","",DITARI!$B69)</f>
        <v/>
      </c>
      <c r="D65" s="484" t="str">
        <f aca="false">IF(DITARI!$D69="","",DITARI!$C69)</f>
        <v/>
      </c>
      <c r="E65" s="484" t="str">
        <f aca="false">IF(DITARI!$D69="","",TRIM(DITARI!$D69&amp;""))</f>
        <v/>
      </c>
      <c r="F65" s="484" t="str">
        <f aca="false">IF($E65="","",IFERROR(VLOOKUP($E65,PLANI_LLOGARIVE!$A:$I,2,FALSE()),DITARI!$E69))</f>
        <v/>
      </c>
      <c r="G65" s="484" t="str">
        <f aca="false">IF($E65="","",DITARI!$I69)</f>
        <v/>
      </c>
      <c r="H65" s="486" t="str">
        <f aca="false">IFERROR(IF($E65="","",DITARI!$H69),"")</f>
        <v/>
      </c>
      <c r="I65" s="487" t="n">
        <f aca="false">IF($E65="",0,IFERROR(DITARI!$F69,0))</f>
        <v>0</v>
      </c>
      <c r="J65" s="487" t="n">
        <f aca="false">IF($E65="",0,IFERROR(DITARI!$G69,0))</f>
        <v>0</v>
      </c>
      <c r="K65" s="484" t="str">
        <f aca="false">IF($E65="","",IFERROR(VLOOKUP($E65,PLANI_LLOGARIVE!$A:$I,9,FALSE()),""))</f>
        <v/>
      </c>
      <c r="L65" s="487" t="str">
        <f aca="false">IF($E65="","",$I65-$J65)</f>
        <v/>
      </c>
      <c r="M65" s="484" t="str">
        <f aca="false">IF($E65="","",IF($I65&gt;0,"DEBIT",IF($J65&gt;0,"KREDIT","ZERO")))</f>
        <v/>
      </c>
      <c r="N65" s="484" t="str">
        <f aca="false">IF($E65="","",TEXT($B65,"yyyymmdd")&amp;"-"&amp;TEXT(ROW(),"0000"))</f>
        <v/>
      </c>
      <c r="O65" s="101" t="str">
        <f aca="false">IF($E65="","",$E65&amp;"")</f>
        <v/>
      </c>
      <c r="P65" s="101" t="str">
        <f aca="false">IF(AND($O65&lt;&gt;"",$I65&lt;&gt;0),COUNTIFS($O$2:O65,$O65,$I$2:I65,"&gt;0"),"")</f>
        <v/>
      </c>
      <c r="Q65" s="101" t="str">
        <f aca="false">IF(AND($O65&lt;&gt;"",$J65&lt;&gt;0),COUNTIFS($O$2:O65,$O65,$J$2:J65,"&gt;0"),"")</f>
        <v/>
      </c>
      <c r="R65" s="101" t="str">
        <f aca="false">IF($P65="","",$O65&amp;"|"&amp;$P65)</f>
        <v/>
      </c>
      <c r="S65" s="101" t="str">
        <f aca="false">IF($Q65="","",$O65&amp;"|"&amp;$Q65)</f>
        <v/>
      </c>
      <c r="T65" s="101" t="str">
        <f aca="false">IF($O65="","",COUNTIF($O$2:O65,$O65))</f>
        <v/>
      </c>
      <c r="U65" s="101" t="str">
        <f aca="false">IF($O65="","",$O65&amp;"|"&amp;$T65)</f>
        <v/>
      </c>
      <c r="V65" s="488" t="n">
        <f aca="false">IF(OR(LEFT($D65,5)="MB-CL",LEFT($D65,6)="MB-RES"),0,$I65)</f>
        <v>0</v>
      </c>
      <c r="W65" s="488" t="n">
        <f aca="false">IF(OR(LEFT($D65,5)="MB-CL",LEFT($D65,6)="MB-RES"),0,$J65)</f>
        <v>0</v>
      </c>
      <c r="X65" s="101" t="str">
        <f aca="false">IF($E65="","",LEFT($E65,1))</f>
        <v/>
      </c>
      <c r="Y65" s="101" t="str">
        <f aca="false">IF($E65="","",LEFT($E65,2))</f>
        <v/>
      </c>
      <c r="Z65" s="101" t="str">
        <f aca="false">IF($E65="","",LEFT($E65,3))</f>
        <v/>
      </c>
      <c r="AA65" s="101" t="str">
        <f aca="false">IF($E65="","",LEFT($E65,4))</f>
        <v/>
      </c>
    </row>
    <row r="66" customFormat="false" ht="15" hidden="false" customHeight="true" outlineLevel="0" collapsed="false">
      <c r="A66" s="484" t="str">
        <f aca="false">IF(DITARI!$D70="","",ROW()-1)</f>
        <v/>
      </c>
      <c r="B66" s="485" t="str">
        <f aca="false">IF(DITARI!$D70="","",DITARI!$A70)</f>
        <v/>
      </c>
      <c r="C66" s="484" t="str">
        <f aca="false">IF(DITARI!$D70="","",DITARI!$B70)</f>
        <v/>
      </c>
      <c r="D66" s="484" t="str">
        <f aca="false">IF(DITARI!$D70="","",DITARI!$C70)</f>
        <v/>
      </c>
      <c r="E66" s="484" t="str">
        <f aca="false">IF(DITARI!$D70="","",TRIM(DITARI!$D70&amp;""))</f>
        <v/>
      </c>
      <c r="F66" s="484" t="str">
        <f aca="false">IF($E66="","",IFERROR(VLOOKUP($E66,PLANI_LLOGARIVE!$A:$I,2,FALSE()),DITARI!$E70))</f>
        <v/>
      </c>
      <c r="G66" s="484" t="str">
        <f aca="false">IF($E66="","",DITARI!$I70)</f>
        <v/>
      </c>
      <c r="H66" s="486" t="str">
        <f aca="false">IFERROR(IF($E66="","",DITARI!$H70),"")</f>
        <v/>
      </c>
      <c r="I66" s="487" t="n">
        <f aca="false">IF($E66="",0,IFERROR(DITARI!$F70,0))</f>
        <v>0</v>
      </c>
      <c r="J66" s="487" t="n">
        <f aca="false">IF($E66="",0,IFERROR(DITARI!$G70,0))</f>
        <v>0</v>
      </c>
      <c r="K66" s="484" t="str">
        <f aca="false">IF($E66="","",IFERROR(VLOOKUP($E66,PLANI_LLOGARIVE!$A:$I,9,FALSE()),""))</f>
        <v/>
      </c>
      <c r="L66" s="487" t="str">
        <f aca="false">IF($E66="","",$I66-$J66)</f>
        <v/>
      </c>
      <c r="M66" s="484" t="str">
        <f aca="false">IF($E66="","",IF($I66&gt;0,"DEBIT",IF($J66&gt;0,"KREDIT","ZERO")))</f>
        <v/>
      </c>
      <c r="N66" s="484" t="str">
        <f aca="false">IF($E66="","",TEXT($B66,"yyyymmdd")&amp;"-"&amp;TEXT(ROW(),"0000"))</f>
        <v/>
      </c>
      <c r="O66" s="101" t="str">
        <f aca="false">IF($E66="","",$E66&amp;"")</f>
        <v/>
      </c>
      <c r="P66" s="101" t="str">
        <f aca="false">IF(AND($O66&lt;&gt;"",$I66&lt;&gt;0),COUNTIFS($O$2:O66,$O66,$I$2:I66,"&gt;0"),"")</f>
        <v/>
      </c>
      <c r="Q66" s="101" t="str">
        <f aca="false">IF(AND($O66&lt;&gt;"",$J66&lt;&gt;0),COUNTIFS($O$2:O66,$O66,$J$2:J66,"&gt;0"),"")</f>
        <v/>
      </c>
      <c r="R66" s="101" t="str">
        <f aca="false">IF($P66="","",$O66&amp;"|"&amp;$P66)</f>
        <v/>
      </c>
      <c r="S66" s="101" t="str">
        <f aca="false">IF($Q66="","",$O66&amp;"|"&amp;$Q66)</f>
        <v/>
      </c>
      <c r="T66" s="101" t="str">
        <f aca="false">IF($O66="","",COUNTIF($O$2:O66,$O66))</f>
        <v/>
      </c>
      <c r="U66" s="101" t="str">
        <f aca="false">IF($O66="","",$O66&amp;"|"&amp;$T66)</f>
        <v/>
      </c>
      <c r="V66" s="488" t="n">
        <f aca="false">IF(OR(LEFT($D66,5)="MB-CL",LEFT($D66,6)="MB-RES"),0,$I66)</f>
        <v>0</v>
      </c>
      <c r="W66" s="488" t="n">
        <f aca="false">IF(OR(LEFT($D66,5)="MB-CL",LEFT($D66,6)="MB-RES"),0,$J66)</f>
        <v>0</v>
      </c>
      <c r="X66" s="101" t="str">
        <f aca="false">IF($E66="","",LEFT($E66,1))</f>
        <v/>
      </c>
      <c r="Y66" s="101" t="str">
        <f aca="false">IF($E66="","",LEFT($E66,2))</f>
        <v/>
      </c>
      <c r="Z66" s="101" t="str">
        <f aca="false">IF($E66="","",LEFT($E66,3))</f>
        <v/>
      </c>
      <c r="AA66" s="101" t="str">
        <f aca="false">IF($E66="","",LEFT($E66,4))</f>
        <v/>
      </c>
    </row>
    <row r="67" customFormat="false" ht="15" hidden="false" customHeight="true" outlineLevel="0" collapsed="false">
      <c r="A67" s="484" t="str">
        <f aca="false">IF(DITARI!$D71="","",ROW()-1)</f>
        <v/>
      </c>
      <c r="B67" s="485" t="str">
        <f aca="false">IF(DITARI!$D71="","",DITARI!$A71)</f>
        <v/>
      </c>
      <c r="C67" s="484" t="str">
        <f aca="false">IF(DITARI!$D71="","",DITARI!$B71)</f>
        <v/>
      </c>
      <c r="D67" s="484" t="str">
        <f aca="false">IF(DITARI!$D71="","",DITARI!$C71)</f>
        <v/>
      </c>
      <c r="E67" s="484" t="str">
        <f aca="false">IF(DITARI!$D71="","",TRIM(DITARI!$D71&amp;""))</f>
        <v/>
      </c>
      <c r="F67" s="484" t="str">
        <f aca="false">IF($E67="","",IFERROR(VLOOKUP($E67,PLANI_LLOGARIVE!$A:$I,2,FALSE()),DITARI!$E71))</f>
        <v/>
      </c>
      <c r="G67" s="484" t="str">
        <f aca="false">IF($E67="","",DITARI!$I71)</f>
        <v/>
      </c>
      <c r="H67" s="486" t="str">
        <f aca="false">IFERROR(IF($E67="","",DITARI!$H71),"")</f>
        <v/>
      </c>
      <c r="I67" s="487" t="n">
        <f aca="false">IF($E67="",0,IFERROR(DITARI!$F71,0))</f>
        <v>0</v>
      </c>
      <c r="J67" s="487" t="n">
        <f aca="false">IF($E67="",0,IFERROR(DITARI!$G71,0))</f>
        <v>0</v>
      </c>
      <c r="K67" s="484" t="str">
        <f aca="false">IF($E67="","",IFERROR(VLOOKUP($E67,PLANI_LLOGARIVE!$A:$I,9,FALSE()),""))</f>
        <v/>
      </c>
      <c r="L67" s="487" t="str">
        <f aca="false">IF($E67="","",$I67-$J67)</f>
        <v/>
      </c>
      <c r="M67" s="484" t="str">
        <f aca="false">IF($E67="","",IF($I67&gt;0,"DEBIT",IF($J67&gt;0,"KREDIT","ZERO")))</f>
        <v/>
      </c>
      <c r="N67" s="484" t="str">
        <f aca="false">IF($E67="","",TEXT($B67,"yyyymmdd")&amp;"-"&amp;TEXT(ROW(),"0000"))</f>
        <v/>
      </c>
      <c r="O67" s="101" t="str">
        <f aca="false">IF($E67="","",$E67&amp;"")</f>
        <v/>
      </c>
      <c r="P67" s="101" t="str">
        <f aca="false">IF(AND($O67&lt;&gt;"",$I67&lt;&gt;0),COUNTIFS($O$2:O67,$O67,$I$2:I67,"&gt;0"),"")</f>
        <v/>
      </c>
      <c r="Q67" s="101" t="str">
        <f aca="false">IF(AND($O67&lt;&gt;"",$J67&lt;&gt;0),COUNTIFS($O$2:O67,$O67,$J$2:J67,"&gt;0"),"")</f>
        <v/>
      </c>
      <c r="R67" s="101" t="str">
        <f aca="false">IF($P67="","",$O67&amp;"|"&amp;$P67)</f>
        <v/>
      </c>
      <c r="S67" s="101" t="str">
        <f aca="false">IF($Q67="","",$O67&amp;"|"&amp;$Q67)</f>
        <v/>
      </c>
      <c r="T67" s="101" t="str">
        <f aca="false">IF($O67="","",COUNTIF($O$2:O67,$O67))</f>
        <v/>
      </c>
      <c r="U67" s="101" t="str">
        <f aca="false">IF($O67="","",$O67&amp;"|"&amp;$T67)</f>
        <v/>
      </c>
      <c r="V67" s="488" t="n">
        <f aca="false">IF(OR(LEFT($D67,5)="MB-CL",LEFT($D67,6)="MB-RES"),0,$I67)</f>
        <v>0</v>
      </c>
      <c r="W67" s="488" t="n">
        <f aca="false">IF(OR(LEFT($D67,5)="MB-CL",LEFT($D67,6)="MB-RES"),0,$J67)</f>
        <v>0</v>
      </c>
      <c r="X67" s="101" t="str">
        <f aca="false">IF($E67="","",LEFT($E67,1))</f>
        <v/>
      </c>
      <c r="Y67" s="101" t="str">
        <f aca="false">IF($E67="","",LEFT($E67,2))</f>
        <v/>
      </c>
      <c r="Z67" s="101" t="str">
        <f aca="false">IF($E67="","",LEFT($E67,3))</f>
        <v/>
      </c>
      <c r="AA67" s="101" t="str">
        <f aca="false">IF($E67="","",LEFT($E67,4))</f>
        <v/>
      </c>
    </row>
    <row r="68" customFormat="false" ht="15" hidden="false" customHeight="true" outlineLevel="0" collapsed="false">
      <c r="A68" s="484" t="str">
        <f aca="false">IF(DITARI!$D72="","",ROW()-1)</f>
        <v/>
      </c>
      <c r="B68" s="485" t="str">
        <f aca="false">IF(DITARI!$D72="","",DITARI!$A72)</f>
        <v/>
      </c>
      <c r="C68" s="484" t="str">
        <f aca="false">IF(DITARI!$D72="","",DITARI!$B72)</f>
        <v/>
      </c>
      <c r="D68" s="484" t="str">
        <f aca="false">IF(DITARI!$D72="","",DITARI!$C72)</f>
        <v/>
      </c>
      <c r="E68" s="484" t="str">
        <f aca="false">IF(DITARI!$D72="","",TRIM(DITARI!$D72&amp;""))</f>
        <v/>
      </c>
      <c r="F68" s="484" t="str">
        <f aca="false">IF($E68="","",IFERROR(VLOOKUP($E68,PLANI_LLOGARIVE!$A:$I,2,FALSE()),DITARI!$E72))</f>
        <v/>
      </c>
      <c r="G68" s="484" t="str">
        <f aca="false">IF($E68="","",DITARI!$I72)</f>
        <v/>
      </c>
      <c r="H68" s="486" t="str">
        <f aca="false">IFERROR(IF($E68="","",DITARI!$H72),"")</f>
        <v/>
      </c>
      <c r="I68" s="487" t="n">
        <f aca="false">IF($E68="",0,IFERROR(DITARI!$F72,0))</f>
        <v>0</v>
      </c>
      <c r="J68" s="487" t="n">
        <f aca="false">IF($E68="",0,IFERROR(DITARI!$G72,0))</f>
        <v>0</v>
      </c>
      <c r="K68" s="484" t="str">
        <f aca="false">IF($E68="","",IFERROR(VLOOKUP($E68,PLANI_LLOGARIVE!$A:$I,9,FALSE()),""))</f>
        <v/>
      </c>
      <c r="L68" s="487" t="str">
        <f aca="false">IF($E68="","",$I68-$J68)</f>
        <v/>
      </c>
      <c r="M68" s="484" t="str">
        <f aca="false">IF($E68="","",IF($I68&gt;0,"DEBIT",IF($J68&gt;0,"KREDIT","ZERO")))</f>
        <v/>
      </c>
      <c r="N68" s="484" t="str">
        <f aca="false">IF($E68="","",TEXT($B68,"yyyymmdd")&amp;"-"&amp;TEXT(ROW(),"0000"))</f>
        <v/>
      </c>
      <c r="O68" s="101" t="str">
        <f aca="false">IF($E68="","",$E68&amp;"")</f>
        <v/>
      </c>
      <c r="P68" s="101" t="str">
        <f aca="false">IF(AND($O68&lt;&gt;"",$I68&lt;&gt;0),COUNTIFS($O$2:O68,$O68,$I$2:I68,"&gt;0"),"")</f>
        <v/>
      </c>
      <c r="Q68" s="101" t="str">
        <f aca="false">IF(AND($O68&lt;&gt;"",$J68&lt;&gt;0),COUNTIFS($O$2:O68,$O68,$J$2:J68,"&gt;0"),"")</f>
        <v/>
      </c>
      <c r="R68" s="101" t="str">
        <f aca="false">IF($P68="","",$O68&amp;"|"&amp;$P68)</f>
        <v/>
      </c>
      <c r="S68" s="101" t="str">
        <f aca="false">IF($Q68="","",$O68&amp;"|"&amp;$Q68)</f>
        <v/>
      </c>
      <c r="T68" s="101" t="str">
        <f aca="false">IF($O68="","",COUNTIF($O$2:O68,$O68))</f>
        <v/>
      </c>
      <c r="U68" s="101" t="str">
        <f aca="false">IF($O68="","",$O68&amp;"|"&amp;$T68)</f>
        <v/>
      </c>
      <c r="V68" s="488" t="n">
        <f aca="false">IF(OR(LEFT($D68,5)="MB-CL",LEFT($D68,6)="MB-RES"),0,$I68)</f>
        <v>0</v>
      </c>
      <c r="W68" s="488" t="n">
        <f aca="false">IF(OR(LEFT($D68,5)="MB-CL",LEFT($D68,6)="MB-RES"),0,$J68)</f>
        <v>0</v>
      </c>
      <c r="X68" s="101" t="str">
        <f aca="false">IF($E68="","",LEFT($E68,1))</f>
        <v/>
      </c>
      <c r="Y68" s="101" t="str">
        <f aca="false">IF($E68="","",LEFT($E68,2))</f>
        <v/>
      </c>
      <c r="Z68" s="101" t="str">
        <f aca="false">IF($E68="","",LEFT($E68,3))</f>
        <v/>
      </c>
      <c r="AA68" s="101" t="str">
        <f aca="false">IF($E68="","",LEFT($E68,4))</f>
        <v/>
      </c>
    </row>
    <row r="69" customFormat="false" ht="15" hidden="false" customHeight="true" outlineLevel="0" collapsed="false">
      <c r="A69" s="484" t="str">
        <f aca="false">IF(DITARI!$D73="","",ROW()-1)</f>
        <v/>
      </c>
      <c r="B69" s="485" t="str">
        <f aca="false">IF(DITARI!$D73="","",DITARI!$A73)</f>
        <v/>
      </c>
      <c r="C69" s="484" t="str">
        <f aca="false">IF(DITARI!$D73="","",DITARI!$B73)</f>
        <v/>
      </c>
      <c r="D69" s="484" t="str">
        <f aca="false">IF(DITARI!$D73="","",DITARI!$C73)</f>
        <v/>
      </c>
      <c r="E69" s="484" t="str">
        <f aca="false">IF(DITARI!$D73="","",TRIM(DITARI!$D73&amp;""))</f>
        <v/>
      </c>
      <c r="F69" s="484" t="str">
        <f aca="false">IF($E69="","",IFERROR(VLOOKUP($E69,PLANI_LLOGARIVE!$A:$I,2,FALSE()),DITARI!$E73))</f>
        <v/>
      </c>
      <c r="G69" s="484" t="str">
        <f aca="false">IF($E69="","",DITARI!$I73)</f>
        <v/>
      </c>
      <c r="H69" s="486" t="str">
        <f aca="false">IFERROR(IF($E69="","",DITARI!$H73),"")</f>
        <v/>
      </c>
      <c r="I69" s="487" t="n">
        <f aca="false">IF($E69="",0,IFERROR(DITARI!$F73,0))</f>
        <v>0</v>
      </c>
      <c r="J69" s="487" t="n">
        <f aca="false">IF($E69="",0,IFERROR(DITARI!$G73,0))</f>
        <v>0</v>
      </c>
      <c r="K69" s="484" t="str">
        <f aca="false">IF($E69="","",IFERROR(VLOOKUP($E69,PLANI_LLOGARIVE!$A:$I,9,FALSE()),""))</f>
        <v/>
      </c>
      <c r="L69" s="487" t="str">
        <f aca="false">IF($E69="","",$I69-$J69)</f>
        <v/>
      </c>
      <c r="M69" s="484" t="str">
        <f aca="false">IF($E69="","",IF($I69&gt;0,"DEBIT",IF($J69&gt;0,"KREDIT","ZERO")))</f>
        <v/>
      </c>
      <c r="N69" s="484" t="str">
        <f aca="false">IF($E69="","",TEXT($B69,"yyyymmdd")&amp;"-"&amp;TEXT(ROW(),"0000"))</f>
        <v/>
      </c>
      <c r="O69" s="101" t="str">
        <f aca="false">IF($E69="","",$E69&amp;"")</f>
        <v/>
      </c>
      <c r="P69" s="101" t="str">
        <f aca="false">IF(AND($O69&lt;&gt;"",$I69&lt;&gt;0),COUNTIFS($O$2:O69,$O69,$I$2:I69,"&gt;0"),"")</f>
        <v/>
      </c>
      <c r="Q69" s="101" t="str">
        <f aca="false">IF(AND($O69&lt;&gt;"",$J69&lt;&gt;0),COUNTIFS($O$2:O69,$O69,$J$2:J69,"&gt;0"),"")</f>
        <v/>
      </c>
      <c r="R69" s="101" t="str">
        <f aca="false">IF($P69="","",$O69&amp;"|"&amp;$P69)</f>
        <v/>
      </c>
      <c r="S69" s="101" t="str">
        <f aca="false">IF($Q69="","",$O69&amp;"|"&amp;$Q69)</f>
        <v/>
      </c>
      <c r="T69" s="101" t="str">
        <f aca="false">IF($O69="","",COUNTIF($O$2:O69,$O69))</f>
        <v/>
      </c>
      <c r="U69" s="101" t="str">
        <f aca="false">IF($O69="","",$O69&amp;"|"&amp;$T69)</f>
        <v/>
      </c>
      <c r="V69" s="488" t="n">
        <f aca="false">IF(OR(LEFT($D69,5)="MB-CL",LEFT($D69,6)="MB-RES"),0,$I69)</f>
        <v>0</v>
      </c>
      <c r="W69" s="488" t="n">
        <f aca="false">IF(OR(LEFT($D69,5)="MB-CL",LEFT($D69,6)="MB-RES"),0,$J69)</f>
        <v>0</v>
      </c>
      <c r="X69" s="101" t="str">
        <f aca="false">IF($E69="","",LEFT($E69,1))</f>
        <v/>
      </c>
      <c r="Y69" s="101" t="str">
        <f aca="false">IF($E69="","",LEFT($E69,2))</f>
        <v/>
      </c>
      <c r="Z69" s="101" t="str">
        <f aca="false">IF($E69="","",LEFT($E69,3))</f>
        <v/>
      </c>
      <c r="AA69" s="101" t="str">
        <f aca="false">IF($E69="","",LEFT($E69,4))</f>
        <v/>
      </c>
    </row>
    <row r="70" customFormat="false" ht="15" hidden="false" customHeight="true" outlineLevel="0" collapsed="false">
      <c r="A70" s="484" t="str">
        <f aca="false">IF(DITARI!$D74="","",ROW()-1)</f>
        <v/>
      </c>
      <c r="B70" s="485" t="str">
        <f aca="false">IF(DITARI!$D74="","",DITARI!$A74)</f>
        <v/>
      </c>
      <c r="C70" s="484" t="str">
        <f aca="false">IF(DITARI!$D74="","",DITARI!$B74)</f>
        <v/>
      </c>
      <c r="D70" s="484" t="str">
        <f aca="false">IF(DITARI!$D74="","",DITARI!$C74)</f>
        <v/>
      </c>
      <c r="E70" s="484" t="str">
        <f aca="false">IF(DITARI!$D74="","",TRIM(DITARI!$D74&amp;""))</f>
        <v/>
      </c>
      <c r="F70" s="484" t="str">
        <f aca="false">IF($E70="","",IFERROR(VLOOKUP($E70,PLANI_LLOGARIVE!$A:$I,2,FALSE()),DITARI!$E74))</f>
        <v/>
      </c>
      <c r="G70" s="484" t="str">
        <f aca="false">IF($E70="","",DITARI!$I74)</f>
        <v/>
      </c>
      <c r="H70" s="486" t="str">
        <f aca="false">IFERROR(IF($E70="","",DITARI!$H74),"")</f>
        <v/>
      </c>
      <c r="I70" s="487" t="n">
        <f aca="false">IF($E70="",0,IFERROR(DITARI!$F74,0))</f>
        <v>0</v>
      </c>
      <c r="J70" s="487" t="n">
        <f aca="false">IF($E70="",0,IFERROR(DITARI!$G74,0))</f>
        <v>0</v>
      </c>
      <c r="K70" s="484" t="str">
        <f aca="false">IF($E70="","",IFERROR(VLOOKUP($E70,PLANI_LLOGARIVE!$A:$I,9,FALSE()),""))</f>
        <v/>
      </c>
      <c r="L70" s="487" t="str">
        <f aca="false">IF($E70="","",$I70-$J70)</f>
        <v/>
      </c>
      <c r="M70" s="484" t="str">
        <f aca="false">IF($E70="","",IF($I70&gt;0,"DEBIT",IF($J70&gt;0,"KREDIT","ZERO")))</f>
        <v/>
      </c>
      <c r="N70" s="484" t="str">
        <f aca="false">IF($E70="","",TEXT($B70,"yyyymmdd")&amp;"-"&amp;TEXT(ROW(),"0000"))</f>
        <v/>
      </c>
      <c r="O70" s="101" t="str">
        <f aca="false">IF($E70="","",$E70&amp;"")</f>
        <v/>
      </c>
      <c r="P70" s="101" t="str">
        <f aca="false">IF(AND($O70&lt;&gt;"",$I70&lt;&gt;0),COUNTIFS($O$2:O70,$O70,$I$2:I70,"&gt;0"),"")</f>
        <v/>
      </c>
      <c r="Q70" s="101" t="str">
        <f aca="false">IF(AND($O70&lt;&gt;"",$J70&lt;&gt;0),COUNTIFS($O$2:O70,$O70,$J$2:J70,"&gt;0"),"")</f>
        <v/>
      </c>
      <c r="R70" s="101" t="str">
        <f aca="false">IF($P70="","",$O70&amp;"|"&amp;$P70)</f>
        <v/>
      </c>
      <c r="S70" s="101" t="str">
        <f aca="false">IF($Q70="","",$O70&amp;"|"&amp;$Q70)</f>
        <v/>
      </c>
      <c r="T70" s="101" t="str">
        <f aca="false">IF($O70="","",COUNTIF($O$2:O70,$O70))</f>
        <v/>
      </c>
      <c r="U70" s="101" t="str">
        <f aca="false">IF($O70="","",$O70&amp;"|"&amp;$T70)</f>
        <v/>
      </c>
      <c r="V70" s="488" t="n">
        <f aca="false">IF(OR(LEFT($D70,5)="MB-CL",LEFT($D70,6)="MB-RES"),0,$I70)</f>
        <v>0</v>
      </c>
      <c r="W70" s="488" t="n">
        <f aca="false">IF(OR(LEFT($D70,5)="MB-CL",LEFT($D70,6)="MB-RES"),0,$J70)</f>
        <v>0</v>
      </c>
      <c r="X70" s="101" t="str">
        <f aca="false">IF($E70="","",LEFT($E70,1))</f>
        <v/>
      </c>
      <c r="Y70" s="101" t="str">
        <f aca="false">IF($E70="","",LEFT($E70,2))</f>
        <v/>
      </c>
      <c r="Z70" s="101" t="str">
        <f aca="false">IF($E70="","",LEFT($E70,3))</f>
        <v/>
      </c>
      <c r="AA70" s="101" t="str">
        <f aca="false">IF($E70="","",LEFT($E70,4))</f>
        <v/>
      </c>
    </row>
    <row r="71" customFormat="false" ht="15" hidden="false" customHeight="true" outlineLevel="0" collapsed="false">
      <c r="A71" s="484" t="str">
        <f aca="false">IF(DITARI!$D75="","",ROW()-1)</f>
        <v/>
      </c>
      <c r="B71" s="485" t="str">
        <f aca="false">IF(DITARI!$D75="","",DITARI!$A75)</f>
        <v/>
      </c>
      <c r="C71" s="484" t="str">
        <f aca="false">IF(DITARI!$D75="","",DITARI!$B75)</f>
        <v/>
      </c>
      <c r="D71" s="484" t="str">
        <f aca="false">IF(DITARI!$D75="","",DITARI!$C75)</f>
        <v/>
      </c>
      <c r="E71" s="484" t="str">
        <f aca="false">IF(DITARI!$D75="","",TRIM(DITARI!$D75&amp;""))</f>
        <v/>
      </c>
      <c r="F71" s="484" t="str">
        <f aca="false">IF($E71="","",IFERROR(VLOOKUP($E71,PLANI_LLOGARIVE!$A:$I,2,FALSE()),DITARI!$E75))</f>
        <v/>
      </c>
      <c r="G71" s="484" t="str">
        <f aca="false">IF($E71="","",DITARI!$I75)</f>
        <v/>
      </c>
      <c r="H71" s="486" t="str">
        <f aca="false">IFERROR(IF($E71="","",DITARI!$H75),"")</f>
        <v/>
      </c>
      <c r="I71" s="487" t="n">
        <f aca="false">IF($E71="",0,IFERROR(DITARI!$F75,0))</f>
        <v>0</v>
      </c>
      <c r="J71" s="487" t="n">
        <f aca="false">IF($E71="",0,IFERROR(DITARI!$G75,0))</f>
        <v>0</v>
      </c>
      <c r="K71" s="484" t="str">
        <f aca="false">IF($E71="","",IFERROR(VLOOKUP($E71,PLANI_LLOGARIVE!$A:$I,9,FALSE()),""))</f>
        <v/>
      </c>
      <c r="L71" s="487" t="str">
        <f aca="false">IF($E71="","",$I71-$J71)</f>
        <v/>
      </c>
      <c r="M71" s="484" t="str">
        <f aca="false">IF($E71="","",IF($I71&gt;0,"DEBIT",IF($J71&gt;0,"KREDIT","ZERO")))</f>
        <v/>
      </c>
      <c r="N71" s="484" t="str">
        <f aca="false">IF($E71="","",TEXT($B71,"yyyymmdd")&amp;"-"&amp;TEXT(ROW(),"0000"))</f>
        <v/>
      </c>
      <c r="O71" s="101" t="str">
        <f aca="false">IF($E71="","",$E71&amp;"")</f>
        <v/>
      </c>
      <c r="P71" s="101" t="str">
        <f aca="false">IF(AND($O71&lt;&gt;"",$I71&lt;&gt;0),COUNTIFS($O$2:O71,$O71,$I$2:I71,"&gt;0"),"")</f>
        <v/>
      </c>
      <c r="Q71" s="101" t="str">
        <f aca="false">IF(AND($O71&lt;&gt;"",$J71&lt;&gt;0),COUNTIFS($O$2:O71,$O71,$J$2:J71,"&gt;0"),"")</f>
        <v/>
      </c>
      <c r="R71" s="101" t="str">
        <f aca="false">IF($P71="","",$O71&amp;"|"&amp;$P71)</f>
        <v/>
      </c>
      <c r="S71" s="101" t="str">
        <f aca="false">IF($Q71="","",$O71&amp;"|"&amp;$Q71)</f>
        <v/>
      </c>
      <c r="T71" s="101" t="str">
        <f aca="false">IF($O71="","",COUNTIF($O$2:O71,$O71))</f>
        <v/>
      </c>
      <c r="U71" s="101" t="str">
        <f aca="false">IF($O71="","",$O71&amp;"|"&amp;$T71)</f>
        <v/>
      </c>
      <c r="V71" s="488" t="n">
        <f aca="false">IF(OR(LEFT($D71,5)="MB-CL",LEFT($D71,6)="MB-RES"),0,$I71)</f>
        <v>0</v>
      </c>
      <c r="W71" s="488" t="n">
        <f aca="false">IF(OR(LEFT($D71,5)="MB-CL",LEFT($D71,6)="MB-RES"),0,$J71)</f>
        <v>0</v>
      </c>
      <c r="X71" s="101" t="str">
        <f aca="false">IF($E71="","",LEFT($E71,1))</f>
        <v/>
      </c>
      <c r="Y71" s="101" t="str">
        <f aca="false">IF($E71="","",LEFT($E71,2))</f>
        <v/>
      </c>
      <c r="Z71" s="101" t="str">
        <f aca="false">IF($E71="","",LEFT($E71,3))</f>
        <v/>
      </c>
      <c r="AA71" s="101" t="str">
        <f aca="false">IF($E71="","",LEFT($E71,4))</f>
        <v/>
      </c>
    </row>
    <row r="72" customFormat="false" ht="15" hidden="false" customHeight="true" outlineLevel="0" collapsed="false">
      <c r="A72" s="484" t="str">
        <f aca="false">IF(DITARI!$D76="","",ROW()-1)</f>
        <v/>
      </c>
      <c r="B72" s="485" t="str">
        <f aca="false">IF(DITARI!$D76="","",DITARI!$A76)</f>
        <v/>
      </c>
      <c r="C72" s="484" t="str">
        <f aca="false">IF(DITARI!$D76="","",DITARI!$B76)</f>
        <v/>
      </c>
      <c r="D72" s="484" t="str">
        <f aca="false">IF(DITARI!$D76="","",DITARI!$C76)</f>
        <v/>
      </c>
      <c r="E72" s="484" t="str">
        <f aca="false">IF(DITARI!$D76="","",TRIM(DITARI!$D76&amp;""))</f>
        <v/>
      </c>
      <c r="F72" s="484" t="str">
        <f aca="false">IF($E72="","",IFERROR(VLOOKUP($E72,PLANI_LLOGARIVE!$A:$I,2,FALSE()),DITARI!$E76))</f>
        <v/>
      </c>
      <c r="G72" s="484" t="str">
        <f aca="false">IF($E72="","",DITARI!$I76)</f>
        <v/>
      </c>
      <c r="H72" s="486" t="str">
        <f aca="false">IFERROR(IF($E72="","",DITARI!$H76),"")</f>
        <v/>
      </c>
      <c r="I72" s="487" t="n">
        <f aca="false">IF($E72="",0,IFERROR(DITARI!$F76,0))</f>
        <v>0</v>
      </c>
      <c r="J72" s="487" t="n">
        <f aca="false">IF($E72="",0,IFERROR(DITARI!$G76,0))</f>
        <v>0</v>
      </c>
      <c r="K72" s="484" t="str">
        <f aca="false">IF($E72="","",IFERROR(VLOOKUP($E72,PLANI_LLOGARIVE!$A:$I,9,FALSE()),""))</f>
        <v/>
      </c>
      <c r="L72" s="487" t="str">
        <f aca="false">IF($E72="","",$I72-$J72)</f>
        <v/>
      </c>
      <c r="M72" s="484" t="str">
        <f aca="false">IF($E72="","",IF($I72&gt;0,"DEBIT",IF($J72&gt;0,"KREDIT","ZERO")))</f>
        <v/>
      </c>
      <c r="N72" s="484" t="str">
        <f aca="false">IF($E72="","",TEXT($B72,"yyyymmdd")&amp;"-"&amp;TEXT(ROW(),"0000"))</f>
        <v/>
      </c>
      <c r="O72" s="101" t="str">
        <f aca="false">IF($E72="","",$E72&amp;"")</f>
        <v/>
      </c>
      <c r="P72" s="101" t="str">
        <f aca="false">IF(AND($O72&lt;&gt;"",$I72&lt;&gt;0),COUNTIFS($O$2:O72,$O72,$I$2:I72,"&gt;0"),"")</f>
        <v/>
      </c>
      <c r="Q72" s="101" t="str">
        <f aca="false">IF(AND($O72&lt;&gt;"",$J72&lt;&gt;0),COUNTIFS($O$2:O72,$O72,$J$2:J72,"&gt;0"),"")</f>
        <v/>
      </c>
      <c r="R72" s="101" t="str">
        <f aca="false">IF($P72="","",$O72&amp;"|"&amp;$P72)</f>
        <v/>
      </c>
      <c r="S72" s="101" t="str">
        <f aca="false">IF($Q72="","",$O72&amp;"|"&amp;$Q72)</f>
        <v/>
      </c>
      <c r="T72" s="101" t="str">
        <f aca="false">IF($O72="","",COUNTIF($O$2:O72,$O72))</f>
        <v/>
      </c>
      <c r="U72" s="101" t="str">
        <f aca="false">IF($O72="","",$O72&amp;"|"&amp;$T72)</f>
        <v/>
      </c>
      <c r="V72" s="488" t="n">
        <f aca="false">IF(OR(LEFT($D72,5)="MB-CL",LEFT($D72,6)="MB-RES"),0,$I72)</f>
        <v>0</v>
      </c>
      <c r="W72" s="488" t="n">
        <f aca="false">IF(OR(LEFT($D72,5)="MB-CL",LEFT($D72,6)="MB-RES"),0,$J72)</f>
        <v>0</v>
      </c>
      <c r="X72" s="101" t="str">
        <f aca="false">IF($E72="","",LEFT($E72,1))</f>
        <v/>
      </c>
      <c r="Y72" s="101" t="str">
        <f aca="false">IF($E72="","",LEFT($E72,2))</f>
        <v/>
      </c>
      <c r="Z72" s="101" t="str">
        <f aca="false">IF($E72="","",LEFT($E72,3))</f>
        <v/>
      </c>
      <c r="AA72" s="101" t="str">
        <f aca="false">IF($E72="","",LEFT($E72,4))</f>
        <v/>
      </c>
    </row>
    <row r="73" customFormat="false" ht="15" hidden="false" customHeight="true" outlineLevel="0" collapsed="false">
      <c r="A73" s="484" t="str">
        <f aca="false">IF(DITARI!$D77="","",ROW()-1)</f>
        <v/>
      </c>
      <c r="B73" s="485" t="str">
        <f aca="false">IF(DITARI!$D77="","",DITARI!$A77)</f>
        <v/>
      </c>
      <c r="C73" s="484" t="str">
        <f aca="false">IF(DITARI!$D77="","",DITARI!$B77)</f>
        <v/>
      </c>
      <c r="D73" s="484" t="str">
        <f aca="false">IF(DITARI!$D77="","",DITARI!$C77)</f>
        <v/>
      </c>
      <c r="E73" s="484" t="str">
        <f aca="false">IF(DITARI!$D77="","",TRIM(DITARI!$D77&amp;""))</f>
        <v/>
      </c>
      <c r="F73" s="484" t="str">
        <f aca="false">IF($E73="","",IFERROR(VLOOKUP($E73,PLANI_LLOGARIVE!$A:$I,2,FALSE()),DITARI!$E77))</f>
        <v/>
      </c>
      <c r="G73" s="484" t="str">
        <f aca="false">IF($E73="","",DITARI!$I77)</f>
        <v/>
      </c>
      <c r="H73" s="486" t="str">
        <f aca="false">IFERROR(IF($E73="","",DITARI!$H77),"")</f>
        <v/>
      </c>
      <c r="I73" s="487" t="n">
        <f aca="false">IF($E73="",0,IFERROR(DITARI!$F77,0))</f>
        <v>0</v>
      </c>
      <c r="J73" s="487" t="n">
        <f aca="false">IF($E73="",0,IFERROR(DITARI!$G77,0))</f>
        <v>0</v>
      </c>
      <c r="K73" s="484" t="str">
        <f aca="false">IF($E73="","",IFERROR(VLOOKUP($E73,PLANI_LLOGARIVE!$A:$I,9,FALSE()),""))</f>
        <v/>
      </c>
      <c r="L73" s="487" t="str">
        <f aca="false">IF($E73="","",$I73-$J73)</f>
        <v/>
      </c>
      <c r="M73" s="484" t="str">
        <f aca="false">IF($E73="","",IF($I73&gt;0,"DEBIT",IF($J73&gt;0,"KREDIT","ZERO")))</f>
        <v/>
      </c>
      <c r="N73" s="484" t="str">
        <f aca="false">IF($E73="","",TEXT($B73,"yyyymmdd")&amp;"-"&amp;TEXT(ROW(),"0000"))</f>
        <v/>
      </c>
      <c r="O73" s="101" t="str">
        <f aca="false">IF($E73="","",$E73&amp;"")</f>
        <v/>
      </c>
      <c r="P73" s="101" t="str">
        <f aca="false">IF(AND($O73&lt;&gt;"",$I73&lt;&gt;0),COUNTIFS($O$2:O73,$O73,$I$2:I73,"&gt;0"),"")</f>
        <v/>
      </c>
      <c r="Q73" s="101" t="str">
        <f aca="false">IF(AND($O73&lt;&gt;"",$J73&lt;&gt;0),COUNTIFS($O$2:O73,$O73,$J$2:J73,"&gt;0"),"")</f>
        <v/>
      </c>
      <c r="R73" s="101" t="str">
        <f aca="false">IF($P73="","",$O73&amp;"|"&amp;$P73)</f>
        <v/>
      </c>
      <c r="S73" s="101" t="str">
        <f aca="false">IF($Q73="","",$O73&amp;"|"&amp;$Q73)</f>
        <v/>
      </c>
      <c r="T73" s="101" t="str">
        <f aca="false">IF($O73="","",COUNTIF($O$2:O73,$O73))</f>
        <v/>
      </c>
      <c r="U73" s="101" t="str">
        <f aca="false">IF($O73="","",$O73&amp;"|"&amp;$T73)</f>
        <v/>
      </c>
      <c r="V73" s="488" t="n">
        <f aca="false">IF(OR(LEFT($D73,5)="MB-CL",LEFT($D73,6)="MB-RES"),0,$I73)</f>
        <v>0</v>
      </c>
      <c r="W73" s="488" t="n">
        <f aca="false">IF(OR(LEFT($D73,5)="MB-CL",LEFT($D73,6)="MB-RES"),0,$J73)</f>
        <v>0</v>
      </c>
      <c r="X73" s="101" t="str">
        <f aca="false">IF($E73="","",LEFT($E73,1))</f>
        <v/>
      </c>
      <c r="Y73" s="101" t="str">
        <f aca="false">IF($E73="","",LEFT($E73,2))</f>
        <v/>
      </c>
      <c r="Z73" s="101" t="str">
        <f aca="false">IF($E73="","",LEFT($E73,3))</f>
        <v/>
      </c>
      <c r="AA73" s="101" t="str">
        <f aca="false">IF($E73="","",LEFT($E73,4))</f>
        <v/>
      </c>
    </row>
    <row r="74" customFormat="false" ht="15" hidden="false" customHeight="true" outlineLevel="0" collapsed="false">
      <c r="A74" s="484" t="str">
        <f aca="false">IF(DITARI!$D78="","",ROW()-1)</f>
        <v/>
      </c>
      <c r="B74" s="485" t="str">
        <f aca="false">IF(DITARI!$D78="","",DITARI!$A78)</f>
        <v/>
      </c>
      <c r="C74" s="484" t="str">
        <f aca="false">IF(DITARI!$D78="","",DITARI!$B78)</f>
        <v/>
      </c>
      <c r="D74" s="484" t="str">
        <f aca="false">IF(DITARI!$D78="","",DITARI!$C78)</f>
        <v/>
      </c>
      <c r="E74" s="484" t="str">
        <f aca="false">IF(DITARI!$D78="","",TRIM(DITARI!$D78&amp;""))</f>
        <v/>
      </c>
      <c r="F74" s="484" t="str">
        <f aca="false">IF($E74="","",IFERROR(VLOOKUP($E74,PLANI_LLOGARIVE!$A:$I,2,FALSE()),DITARI!$E78))</f>
        <v/>
      </c>
      <c r="G74" s="484" t="str">
        <f aca="false">IF($E74="","",DITARI!$I78)</f>
        <v/>
      </c>
      <c r="H74" s="486" t="str">
        <f aca="false">IFERROR(IF($E74="","",DITARI!$H78),"")</f>
        <v/>
      </c>
      <c r="I74" s="487" t="n">
        <f aca="false">IF($E74="",0,IFERROR(DITARI!$F78,0))</f>
        <v>0</v>
      </c>
      <c r="J74" s="487" t="n">
        <f aca="false">IF($E74="",0,IFERROR(DITARI!$G78,0))</f>
        <v>0</v>
      </c>
      <c r="K74" s="484" t="str">
        <f aca="false">IF($E74="","",IFERROR(VLOOKUP($E74,PLANI_LLOGARIVE!$A:$I,9,FALSE()),""))</f>
        <v/>
      </c>
      <c r="L74" s="487" t="str">
        <f aca="false">IF($E74="","",$I74-$J74)</f>
        <v/>
      </c>
      <c r="M74" s="484" t="str">
        <f aca="false">IF($E74="","",IF($I74&gt;0,"DEBIT",IF($J74&gt;0,"KREDIT","ZERO")))</f>
        <v/>
      </c>
      <c r="N74" s="484" t="str">
        <f aca="false">IF($E74="","",TEXT($B74,"yyyymmdd")&amp;"-"&amp;TEXT(ROW(),"0000"))</f>
        <v/>
      </c>
      <c r="O74" s="101" t="str">
        <f aca="false">IF($E74="","",$E74&amp;"")</f>
        <v/>
      </c>
      <c r="P74" s="101" t="str">
        <f aca="false">IF(AND($O74&lt;&gt;"",$I74&lt;&gt;0),COUNTIFS($O$2:O74,$O74,$I$2:I74,"&gt;0"),"")</f>
        <v/>
      </c>
      <c r="Q74" s="101" t="str">
        <f aca="false">IF(AND($O74&lt;&gt;"",$J74&lt;&gt;0),COUNTIFS($O$2:O74,$O74,$J$2:J74,"&gt;0"),"")</f>
        <v/>
      </c>
      <c r="R74" s="101" t="str">
        <f aca="false">IF($P74="","",$O74&amp;"|"&amp;$P74)</f>
        <v/>
      </c>
      <c r="S74" s="101" t="str">
        <f aca="false">IF($Q74="","",$O74&amp;"|"&amp;$Q74)</f>
        <v/>
      </c>
      <c r="T74" s="101" t="str">
        <f aca="false">IF($O74="","",COUNTIF($O$2:O74,$O74))</f>
        <v/>
      </c>
      <c r="U74" s="101" t="str">
        <f aca="false">IF($O74="","",$O74&amp;"|"&amp;$T74)</f>
        <v/>
      </c>
      <c r="V74" s="488" t="n">
        <f aca="false">IF(OR(LEFT($D74,5)="MB-CL",LEFT($D74,6)="MB-RES"),0,$I74)</f>
        <v>0</v>
      </c>
      <c r="W74" s="488" t="n">
        <f aca="false">IF(OR(LEFT($D74,5)="MB-CL",LEFT($D74,6)="MB-RES"),0,$J74)</f>
        <v>0</v>
      </c>
      <c r="X74" s="101" t="str">
        <f aca="false">IF($E74="","",LEFT($E74,1))</f>
        <v/>
      </c>
      <c r="Y74" s="101" t="str">
        <f aca="false">IF($E74="","",LEFT($E74,2))</f>
        <v/>
      </c>
      <c r="Z74" s="101" t="str">
        <f aca="false">IF($E74="","",LEFT($E74,3))</f>
        <v/>
      </c>
      <c r="AA74" s="101" t="str">
        <f aca="false">IF($E74="","",LEFT($E74,4))</f>
        <v/>
      </c>
    </row>
    <row r="75" customFormat="false" ht="15" hidden="false" customHeight="true" outlineLevel="0" collapsed="false">
      <c r="A75" s="484" t="str">
        <f aca="false">IF(DITARI!$D79="","",ROW()-1)</f>
        <v/>
      </c>
      <c r="B75" s="485" t="str">
        <f aca="false">IF(DITARI!$D79="","",DITARI!$A79)</f>
        <v/>
      </c>
      <c r="C75" s="484" t="str">
        <f aca="false">IF(DITARI!$D79="","",DITARI!$B79)</f>
        <v/>
      </c>
      <c r="D75" s="484" t="str">
        <f aca="false">IF(DITARI!$D79="","",DITARI!$C79)</f>
        <v/>
      </c>
      <c r="E75" s="484" t="str">
        <f aca="false">IF(DITARI!$D79="","",TRIM(DITARI!$D79&amp;""))</f>
        <v/>
      </c>
      <c r="F75" s="484" t="str">
        <f aca="false">IF($E75="","",IFERROR(VLOOKUP($E75,PLANI_LLOGARIVE!$A:$I,2,FALSE()),DITARI!$E79))</f>
        <v/>
      </c>
      <c r="G75" s="484" t="str">
        <f aca="false">IF($E75="","",DITARI!$I79)</f>
        <v/>
      </c>
      <c r="H75" s="486" t="str">
        <f aca="false">IFERROR(IF($E75="","",DITARI!$H79),"")</f>
        <v/>
      </c>
      <c r="I75" s="487" t="n">
        <f aca="false">IF($E75="",0,IFERROR(DITARI!$F79,0))</f>
        <v>0</v>
      </c>
      <c r="J75" s="487" t="n">
        <f aca="false">IF($E75="",0,IFERROR(DITARI!$G79,0))</f>
        <v>0</v>
      </c>
      <c r="K75" s="484" t="str">
        <f aca="false">IF($E75="","",IFERROR(VLOOKUP($E75,PLANI_LLOGARIVE!$A:$I,9,FALSE()),""))</f>
        <v/>
      </c>
      <c r="L75" s="487" t="str">
        <f aca="false">IF($E75="","",$I75-$J75)</f>
        <v/>
      </c>
      <c r="M75" s="484" t="str">
        <f aca="false">IF($E75="","",IF($I75&gt;0,"DEBIT",IF($J75&gt;0,"KREDIT","ZERO")))</f>
        <v/>
      </c>
      <c r="N75" s="484" t="str">
        <f aca="false">IF($E75="","",TEXT($B75,"yyyymmdd")&amp;"-"&amp;TEXT(ROW(),"0000"))</f>
        <v/>
      </c>
      <c r="O75" s="101" t="str">
        <f aca="false">IF($E75="","",$E75&amp;"")</f>
        <v/>
      </c>
      <c r="P75" s="101" t="str">
        <f aca="false">IF(AND($O75&lt;&gt;"",$I75&lt;&gt;0),COUNTIFS($O$2:O75,$O75,$I$2:I75,"&gt;0"),"")</f>
        <v/>
      </c>
      <c r="Q75" s="101" t="str">
        <f aca="false">IF(AND($O75&lt;&gt;"",$J75&lt;&gt;0),COUNTIFS($O$2:O75,$O75,$J$2:J75,"&gt;0"),"")</f>
        <v/>
      </c>
      <c r="R75" s="101" t="str">
        <f aca="false">IF($P75="","",$O75&amp;"|"&amp;$P75)</f>
        <v/>
      </c>
      <c r="S75" s="101" t="str">
        <f aca="false">IF($Q75="","",$O75&amp;"|"&amp;$Q75)</f>
        <v/>
      </c>
      <c r="T75" s="101" t="str">
        <f aca="false">IF($O75="","",COUNTIF($O$2:O75,$O75))</f>
        <v/>
      </c>
      <c r="U75" s="101" t="str">
        <f aca="false">IF($O75="","",$O75&amp;"|"&amp;$T75)</f>
        <v/>
      </c>
      <c r="V75" s="488" t="n">
        <f aca="false">IF(OR(LEFT($D75,5)="MB-CL",LEFT($D75,6)="MB-RES"),0,$I75)</f>
        <v>0</v>
      </c>
      <c r="W75" s="488" t="n">
        <f aca="false">IF(OR(LEFT($D75,5)="MB-CL",LEFT($D75,6)="MB-RES"),0,$J75)</f>
        <v>0</v>
      </c>
      <c r="X75" s="101" t="str">
        <f aca="false">IF($E75="","",LEFT($E75,1))</f>
        <v/>
      </c>
      <c r="Y75" s="101" t="str">
        <f aca="false">IF($E75="","",LEFT($E75,2))</f>
        <v/>
      </c>
      <c r="Z75" s="101" t="str">
        <f aca="false">IF($E75="","",LEFT($E75,3))</f>
        <v/>
      </c>
      <c r="AA75" s="101" t="str">
        <f aca="false">IF($E75="","",LEFT($E75,4))</f>
        <v/>
      </c>
    </row>
    <row r="76" customFormat="false" ht="15" hidden="false" customHeight="true" outlineLevel="0" collapsed="false">
      <c r="A76" s="484" t="str">
        <f aca="false">IF(DITARI!$D80="","",ROW()-1)</f>
        <v/>
      </c>
      <c r="B76" s="485" t="str">
        <f aca="false">IF(DITARI!$D80="","",DITARI!$A80)</f>
        <v/>
      </c>
      <c r="C76" s="484" t="str">
        <f aca="false">IF(DITARI!$D80="","",DITARI!$B80)</f>
        <v/>
      </c>
      <c r="D76" s="484" t="str">
        <f aca="false">IF(DITARI!$D80="","",DITARI!$C80)</f>
        <v/>
      </c>
      <c r="E76" s="484" t="str">
        <f aca="false">IF(DITARI!$D80="","",TRIM(DITARI!$D80&amp;""))</f>
        <v/>
      </c>
      <c r="F76" s="484" t="str">
        <f aca="false">IF($E76="","",IFERROR(VLOOKUP($E76,PLANI_LLOGARIVE!$A:$I,2,FALSE()),DITARI!$E80))</f>
        <v/>
      </c>
      <c r="G76" s="484" t="str">
        <f aca="false">IF($E76="","",DITARI!$I80)</f>
        <v/>
      </c>
      <c r="H76" s="486" t="str">
        <f aca="false">IFERROR(IF($E76="","",DITARI!$H80),"")</f>
        <v/>
      </c>
      <c r="I76" s="487" t="n">
        <f aca="false">IF($E76="",0,IFERROR(DITARI!$F80,0))</f>
        <v>0</v>
      </c>
      <c r="J76" s="487" t="n">
        <f aca="false">IF($E76="",0,IFERROR(DITARI!$G80,0))</f>
        <v>0</v>
      </c>
      <c r="K76" s="484" t="str">
        <f aca="false">IF($E76="","",IFERROR(VLOOKUP($E76,PLANI_LLOGARIVE!$A:$I,9,FALSE()),""))</f>
        <v/>
      </c>
      <c r="L76" s="487" t="str">
        <f aca="false">IF($E76="","",$I76-$J76)</f>
        <v/>
      </c>
      <c r="M76" s="484" t="str">
        <f aca="false">IF($E76="","",IF($I76&gt;0,"DEBIT",IF($J76&gt;0,"KREDIT","ZERO")))</f>
        <v/>
      </c>
      <c r="N76" s="484" t="str">
        <f aca="false">IF($E76="","",TEXT($B76,"yyyymmdd")&amp;"-"&amp;TEXT(ROW(),"0000"))</f>
        <v/>
      </c>
      <c r="O76" s="101" t="str">
        <f aca="false">IF($E76="","",$E76&amp;"")</f>
        <v/>
      </c>
      <c r="P76" s="101" t="str">
        <f aca="false">IF(AND($O76&lt;&gt;"",$I76&lt;&gt;0),COUNTIFS($O$2:O76,$O76,$I$2:I76,"&gt;0"),"")</f>
        <v/>
      </c>
      <c r="Q76" s="101" t="str">
        <f aca="false">IF(AND($O76&lt;&gt;"",$J76&lt;&gt;0),COUNTIFS($O$2:O76,$O76,$J$2:J76,"&gt;0"),"")</f>
        <v/>
      </c>
      <c r="R76" s="101" t="str">
        <f aca="false">IF($P76="","",$O76&amp;"|"&amp;$P76)</f>
        <v/>
      </c>
      <c r="S76" s="101" t="str">
        <f aca="false">IF($Q76="","",$O76&amp;"|"&amp;$Q76)</f>
        <v/>
      </c>
      <c r="T76" s="101" t="str">
        <f aca="false">IF($O76="","",COUNTIF($O$2:O76,$O76))</f>
        <v/>
      </c>
      <c r="U76" s="101" t="str">
        <f aca="false">IF($O76="","",$O76&amp;"|"&amp;$T76)</f>
        <v/>
      </c>
      <c r="V76" s="488" t="n">
        <f aca="false">IF(OR(LEFT($D76,5)="MB-CL",LEFT($D76,6)="MB-RES"),0,$I76)</f>
        <v>0</v>
      </c>
      <c r="W76" s="488" t="n">
        <f aca="false">IF(OR(LEFT($D76,5)="MB-CL",LEFT($D76,6)="MB-RES"),0,$J76)</f>
        <v>0</v>
      </c>
      <c r="X76" s="101" t="str">
        <f aca="false">IF($E76="","",LEFT($E76,1))</f>
        <v/>
      </c>
      <c r="Y76" s="101" t="str">
        <f aca="false">IF($E76="","",LEFT($E76,2))</f>
        <v/>
      </c>
      <c r="Z76" s="101" t="str">
        <f aca="false">IF($E76="","",LEFT($E76,3))</f>
        <v/>
      </c>
      <c r="AA76" s="101" t="str">
        <f aca="false">IF($E76="","",LEFT($E76,4))</f>
        <v/>
      </c>
    </row>
    <row r="77" customFormat="false" ht="15" hidden="false" customHeight="true" outlineLevel="0" collapsed="false">
      <c r="A77" s="484" t="str">
        <f aca="false">IF(DITARI!$D81="","",ROW()-1)</f>
        <v/>
      </c>
      <c r="B77" s="485" t="str">
        <f aca="false">IF(DITARI!$D81="","",DITARI!$A81)</f>
        <v/>
      </c>
      <c r="C77" s="484" t="str">
        <f aca="false">IF(DITARI!$D81="","",DITARI!$B81)</f>
        <v/>
      </c>
      <c r="D77" s="484" t="str">
        <f aca="false">IF(DITARI!$D81="","",DITARI!$C81)</f>
        <v/>
      </c>
      <c r="E77" s="484" t="str">
        <f aca="false">IF(DITARI!$D81="","",TRIM(DITARI!$D81&amp;""))</f>
        <v/>
      </c>
      <c r="F77" s="484" t="str">
        <f aca="false">IF($E77="","",IFERROR(VLOOKUP($E77,PLANI_LLOGARIVE!$A:$I,2,FALSE()),DITARI!$E81))</f>
        <v/>
      </c>
      <c r="G77" s="484" t="str">
        <f aca="false">IF($E77="","",DITARI!$I81)</f>
        <v/>
      </c>
      <c r="H77" s="486" t="str">
        <f aca="false">IFERROR(IF($E77="","",DITARI!$H81),"")</f>
        <v/>
      </c>
      <c r="I77" s="487" t="n">
        <f aca="false">IF($E77="",0,IFERROR(DITARI!$F81,0))</f>
        <v>0</v>
      </c>
      <c r="J77" s="487" t="n">
        <f aca="false">IF($E77="",0,IFERROR(DITARI!$G81,0))</f>
        <v>0</v>
      </c>
      <c r="K77" s="484" t="str">
        <f aca="false">IF($E77="","",IFERROR(VLOOKUP($E77,PLANI_LLOGARIVE!$A:$I,9,FALSE()),""))</f>
        <v/>
      </c>
      <c r="L77" s="487" t="str">
        <f aca="false">IF($E77="","",$I77-$J77)</f>
        <v/>
      </c>
      <c r="M77" s="484" t="str">
        <f aca="false">IF($E77="","",IF($I77&gt;0,"DEBIT",IF($J77&gt;0,"KREDIT","ZERO")))</f>
        <v/>
      </c>
      <c r="N77" s="484" t="str">
        <f aca="false">IF($E77="","",TEXT($B77,"yyyymmdd")&amp;"-"&amp;TEXT(ROW(),"0000"))</f>
        <v/>
      </c>
      <c r="O77" s="101" t="str">
        <f aca="false">IF($E77="","",$E77&amp;"")</f>
        <v/>
      </c>
      <c r="P77" s="101" t="str">
        <f aca="false">IF(AND($O77&lt;&gt;"",$I77&lt;&gt;0),COUNTIFS($O$2:O77,$O77,$I$2:I77,"&gt;0"),"")</f>
        <v/>
      </c>
      <c r="Q77" s="101" t="str">
        <f aca="false">IF(AND($O77&lt;&gt;"",$J77&lt;&gt;0),COUNTIFS($O$2:O77,$O77,$J$2:J77,"&gt;0"),"")</f>
        <v/>
      </c>
      <c r="R77" s="101" t="str">
        <f aca="false">IF($P77="","",$O77&amp;"|"&amp;$P77)</f>
        <v/>
      </c>
      <c r="S77" s="101" t="str">
        <f aca="false">IF($Q77="","",$O77&amp;"|"&amp;$Q77)</f>
        <v/>
      </c>
      <c r="T77" s="101" t="str">
        <f aca="false">IF($O77="","",COUNTIF($O$2:O77,$O77))</f>
        <v/>
      </c>
      <c r="U77" s="101" t="str">
        <f aca="false">IF($O77="","",$O77&amp;"|"&amp;$T77)</f>
        <v/>
      </c>
      <c r="V77" s="488" t="n">
        <f aca="false">IF(OR(LEFT($D77,5)="MB-CL",LEFT($D77,6)="MB-RES"),0,$I77)</f>
        <v>0</v>
      </c>
      <c r="W77" s="488" t="n">
        <f aca="false">IF(OR(LEFT($D77,5)="MB-CL",LEFT($D77,6)="MB-RES"),0,$J77)</f>
        <v>0</v>
      </c>
      <c r="X77" s="101" t="str">
        <f aca="false">IF($E77="","",LEFT($E77,1))</f>
        <v/>
      </c>
      <c r="Y77" s="101" t="str">
        <f aca="false">IF($E77="","",LEFT($E77,2))</f>
        <v/>
      </c>
      <c r="Z77" s="101" t="str">
        <f aca="false">IF($E77="","",LEFT($E77,3))</f>
        <v/>
      </c>
      <c r="AA77" s="101" t="str">
        <f aca="false">IF($E77="","",LEFT($E77,4))</f>
        <v/>
      </c>
    </row>
    <row r="78" customFormat="false" ht="15" hidden="false" customHeight="true" outlineLevel="0" collapsed="false">
      <c r="A78" s="484" t="str">
        <f aca="false">IF(DITARI!$D82="","",ROW()-1)</f>
        <v/>
      </c>
      <c r="B78" s="485" t="str">
        <f aca="false">IF(DITARI!$D82="","",DITARI!$A82)</f>
        <v/>
      </c>
      <c r="C78" s="484" t="str">
        <f aca="false">IF(DITARI!$D82="","",DITARI!$B82)</f>
        <v/>
      </c>
      <c r="D78" s="484" t="str">
        <f aca="false">IF(DITARI!$D82="","",DITARI!$C82)</f>
        <v/>
      </c>
      <c r="E78" s="484" t="str">
        <f aca="false">IF(DITARI!$D82="","",TRIM(DITARI!$D82&amp;""))</f>
        <v/>
      </c>
      <c r="F78" s="484" t="str">
        <f aca="false">IF($E78="","",IFERROR(VLOOKUP($E78,PLANI_LLOGARIVE!$A:$I,2,FALSE()),DITARI!$E82))</f>
        <v/>
      </c>
      <c r="G78" s="484" t="str">
        <f aca="false">IF($E78="","",DITARI!$I82)</f>
        <v/>
      </c>
      <c r="H78" s="486" t="str">
        <f aca="false">IFERROR(IF($E78="","",DITARI!$H82),"")</f>
        <v/>
      </c>
      <c r="I78" s="487" t="n">
        <f aca="false">IF($E78="",0,IFERROR(DITARI!$F82,0))</f>
        <v>0</v>
      </c>
      <c r="J78" s="487" t="n">
        <f aca="false">IF($E78="",0,IFERROR(DITARI!$G82,0))</f>
        <v>0</v>
      </c>
      <c r="K78" s="484" t="str">
        <f aca="false">IF($E78="","",IFERROR(VLOOKUP($E78,PLANI_LLOGARIVE!$A:$I,9,FALSE()),""))</f>
        <v/>
      </c>
      <c r="L78" s="487" t="str">
        <f aca="false">IF($E78="","",$I78-$J78)</f>
        <v/>
      </c>
      <c r="M78" s="484" t="str">
        <f aca="false">IF($E78="","",IF($I78&gt;0,"DEBIT",IF($J78&gt;0,"KREDIT","ZERO")))</f>
        <v/>
      </c>
      <c r="N78" s="484" t="str">
        <f aca="false">IF($E78="","",TEXT($B78,"yyyymmdd")&amp;"-"&amp;TEXT(ROW(),"0000"))</f>
        <v/>
      </c>
      <c r="O78" s="101" t="str">
        <f aca="false">IF($E78="","",$E78&amp;"")</f>
        <v/>
      </c>
      <c r="P78" s="101" t="str">
        <f aca="false">IF(AND($O78&lt;&gt;"",$I78&lt;&gt;0),COUNTIFS($O$2:O78,$O78,$I$2:I78,"&gt;0"),"")</f>
        <v/>
      </c>
      <c r="Q78" s="101" t="str">
        <f aca="false">IF(AND($O78&lt;&gt;"",$J78&lt;&gt;0),COUNTIFS($O$2:O78,$O78,$J$2:J78,"&gt;0"),"")</f>
        <v/>
      </c>
      <c r="R78" s="101" t="str">
        <f aca="false">IF($P78="","",$O78&amp;"|"&amp;$P78)</f>
        <v/>
      </c>
      <c r="S78" s="101" t="str">
        <f aca="false">IF($Q78="","",$O78&amp;"|"&amp;$Q78)</f>
        <v/>
      </c>
      <c r="T78" s="101" t="str">
        <f aca="false">IF($O78="","",COUNTIF($O$2:O78,$O78))</f>
        <v/>
      </c>
      <c r="U78" s="101" t="str">
        <f aca="false">IF($O78="","",$O78&amp;"|"&amp;$T78)</f>
        <v/>
      </c>
      <c r="V78" s="488" t="n">
        <f aca="false">IF(OR(LEFT($D78,5)="MB-CL",LEFT($D78,6)="MB-RES"),0,$I78)</f>
        <v>0</v>
      </c>
      <c r="W78" s="488" t="n">
        <f aca="false">IF(OR(LEFT($D78,5)="MB-CL",LEFT($D78,6)="MB-RES"),0,$J78)</f>
        <v>0</v>
      </c>
      <c r="X78" s="101" t="str">
        <f aca="false">IF($E78="","",LEFT($E78,1))</f>
        <v/>
      </c>
      <c r="Y78" s="101" t="str">
        <f aca="false">IF($E78="","",LEFT($E78,2))</f>
        <v/>
      </c>
      <c r="Z78" s="101" t="str">
        <f aca="false">IF($E78="","",LEFT($E78,3))</f>
        <v/>
      </c>
      <c r="AA78" s="101" t="str">
        <f aca="false">IF($E78="","",LEFT($E78,4))</f>
        <v/>
      </c>
    </row>
    <row r="79" customFormat="false" ht="15" hidden="false" customHeight="true" outlineLevel="0" collapsed="false">
      <c r="A79" s="484" t="str">
        <f aca="false">IF(DITARI!$D83="","",ROW()-1)</f>
        <v/>
      </c>
      <c r="B79" s="485" t="str">
        <f aca="false">IF(DITARI!$D83="","",DITARI!$A83)</f>
        <v/>
      </c>
      <c r="C79" s="484" t="str">
        <f aca="false">IF(DITARI!$D83="","",DITARI!$B83)</f>
        <v/>
      </c>
      <c r="D79" s="484" t="str">
        <f aca="false">IF(DITARI!$D83="","",DITARI!$C83)</f>
        <v/>
      </c>
      <c r="E79" s="484" t="str">
        <f aca="false">IF(DITARI!$D83="","",TRIM(DITARI!$D83&amp;""))</f>
        <v/>
      </c>
      <c r="F79" s="484" t="str">
        <f aca="false">IF($E79="","",IFERROR(VLOOKUP($E79,PLANI_LLOGARIVE!$A:$I,2,FALSE()),DITARI!$E83))</f>
        <v/>
      </c>
      <c r="G79" s="484" t="str">
        <f aca="false">IF($E79="","",DITARI!$I83)</f>
        <v/>
      </c>
      <c r="H79" s="486" t="str">
        <f aca="false">IFERROR(IF($E79="","",DITARI!$H83),"")</f>
        <v/>
      </c>
      <c r="I79" s="487" t="n">
        <f aca="false">IF($E79="",0,IFERROR(DITARI!$F83,0))</f>
        <v>0</v>
      </c>
      <c r="J79" s="487" t="n">
        <f aca="false">IF($E79="",0,IFERROR(DITARI!$G83,0))</f>
        <v>0</v>
      </c>
      <c r="K79" s="484" t="str">
        <f aca="false">IF($E79="","",IFERROR(VLOOKUP($E79,PLANI_LLOGARIVE!$A:$I,9,FALSE()),""))</f>
        <v/>
      </c>
      <c r="L79" s="487" t="str">
        <f aca="false">IF($E79="","",$I79-$J79)</f>
        <v/>
      </c>
      <c r="M79" s="484" t="str">
        <f aca="false">IF($E79="","",IF($I79&gt;0,"DEBIT",IF($J79&gt;0,"KREDIT","ZERO")))</f>
        <v/>
      </c>
      <c r="N79" s="484" t="str">
        <f aca="false">IF($E79="","",TEXT($B79,"yyyymmdd")&amp;"-"&amp;TEXT(ROW(),"0000"))</f>
        <v/>
      </c>
      <c r="O79" s="101" t="str">
        <f aca="false">IF($E79="","",$E79&amp;"")</f>
        <v/>
      </c>
      <c r="P79" s="101" t="str">
        <f aca="false">IF(AND($O79&lt;&gt;"",$I79&lt;&gt;0),COUNTIFS($O$2:O79,$O79,$I$2:I79,"&gt;0"),"")</f>
        <v/>
      </c>
      <c r="Q79" s="101" t="str">
        <f aca="false">IF(AND($O79&lt;&gt;"",$J79&lt;&gt;0),COUNTIFS($O$2:O79,$O79,$J$2:J79,"&gt;0"),"")</f>
        <v/>
      </c>
      <c r="R79" s="101" t="str">
        <f aca="false">IF($P79="","",$O79&amp;"|"&amp;$P79)</f>
        <v/>
      </c>
      <c r="S79" s="101" t="str">
        <f aca="false">IF($Q79="","",$O79&amp;"|"&amp;$Q79)</f>
        <v/>
      </c>
      <c r="T79" s="101" t="str">
        <f aca="false">IF($O79="","",COUNTIF($O$2:O79,$O79))</f>
        <v/>
      </c>
      <c r="U79" s="101" t="str">
        <f aca="false">IF($O79="","",$O79&amp;"|"&amp;$T79)</f>
        <v/>
      </c>
      <c r="V79" s="488" t="n">
        <f aca="false">IF(OR(LEFT($D79,5)="MB-CL",LEFT($D79,6)="MB-RES"),0,$I79)</f>
        <v>0</v>
      </c>
      <c r="W79" s="488" t="n">
        <f aca="false">IF(OR(LEFT($D79,5)="MB-CL",LEFT($D79,6)="MB-RES"),0,$J79)</f>
        <v>0</v>
      </c>
      <c r="X79" s="101" t="str">
        <f aca="false">IF($E79="","",LEFT($E79,1))</f>
        <v/>
      </c>
      <c r="Y79" s="101" t="str">
        <f aca="false">IF($E79="","",LEFT($E79,2))</f>
        <v/>
      </c>
      <c r="Z79" s="101" t="str">
        <f aca="false">IF($E79="","",LEFT($E79,3))</f>
        <v/>
      </c>
      <c r="AA79" s="101" t="str">
        <f aca="false">IF($E79="","",LEFT($E79,4))</f>
        <v/>
      </c>
    </row>
    <row r="80" customFormat="false" ht="15" hidden="false" customHeight="true" outlineLevel="0" collapsed="false">
      <c r="A80" s="484" t="str">
        <f aca="false">IF(DITARI!$D84="","",ROW()-1)</f>
        <v/>
      </c>
      <c r="B80" s="485" t="str">
        <f aca="false">IF(DITARI!$D84="","",DITARI!$A84)</f>
        <v/>
      </c>
      <c r="C80" s="484" t="str">
        <f aca="false">IF(DITARI!$D84="","",DITARI!$B84)</f>
        <v/>
      </c>
      <c r="D80" s="484" t="str">
        <f aca="false">IF(DITARI!$D84="","",DITARI!$C84)</f>
        <v/>
      </c>
      <c r="E80" s="484" t="str">
        <f aca="false">IF(DITARI!$D84="","",TRIM(DITARI!$D84&amp;""))</f>
        <v/>
      </c>
      <c r="F80" s="484" t="str">
        <f aca="false">IF($E80="","",IFERROR(VLOOKUP($E80,PLANI_LLOGARIVE!$A:$I,2,FALSE()),DITARI!$E84))</f>
        <v/>
      </c>
      <c r="G80" s="484" t="str">
        <f aca="false">IF($E80="","",DITARI!$I84)</f>
        <v/>
      </c>
      <c r="H80" s="486" t="str">
        <f aca="false">IFERROR(IF($E80="","",DITARI!$H84),"")</f>
        <v/>
      </c>
      <c r="I80" s="487" t="n">
        <f aca="false">IF($E80="",0,IFERROR(DITARI!$F84,0))</f>
        <v>0</v>
      </c>
      <c r="J80" s="487" t="n">
        <f aca="false">IF($E80="",0,IFERROR(DITARI!$G84,0))</f>
        <v>0</v>
      </c>
      <c r="K80" s="484" t="str">
        <f aca="false">IF($E80="","",IFERROR(VLOOKUP($E80,PLANI_LLOGARIVE!$A:$I,9,FALSE()),""))</f>
        <v/>
      </c>
      <c r="L80" s="487" t="str">
        <f aca="false">IF($E80="","",$I80-$J80)</f>
        <v/>
      </c>
      <c r="M80" s="484" t="str">
        <f aca="false">IF($E80="","",IF($I80&gt;0,"DEBIT",IF($J80&gt;0,"KREDIT","ZERO")))</f>
        <v/>
      </c>
      <c r="N80" s="484" t="str">
        <f aca="false">IF($E80="","",TEXT($B80,"yyyymmdd")&amp;"-"&amp;TEXT(ROW(),"0000"))</f>
        <v/>
      </c>
      <c r="O80" s="101" t="str">
        <f aca="false">IF($E80="","",$E80&amp;"")</f>
        <v/>
      </c>
      <c r="P80" s="101" t="str">
        <f aca="false">IF(AND($O80&lt;&gt;"",$I80&lt;&gt;0),COUNTIFS($O$2:O80,$O80,$I$2:I80,"&gt;0"),"")</f>
        <v/>
      </c>
      <c r="Q80" s="101" t="str">
        <f aca="false">IF(AND($O80&lt;&gt;"",$J80&lt;&gt;0),COUNTIFS($O$2:O80,$O80,$J$2:J80,"&gt;0"),"")</f>
        <v/>
      </c>
      <c r="R80" s="101" t="str">
        <f aca="false">IF($P80="","",$O80&amp;"|"&amp;$P80)</f>
        <v/>
      </c>
      <c r="S80" s="101" t="str">
        <f aca="false">IF($Q80="","",$O80&amp;"|"&amp;$Q80)</f>
        <v/>
      </c>
      <c r="T80" s="101" t="str">
        <f aca="false">IF($O80="","",COUNTIF($O$2:O80,$O80))</f>
        <v/>
      </c>
      <c r="U80" s="101" t="str">
        <f aca="false">IF($O80="","",$O80&amp;"|"&amp;$T80)</f>
        <v/>
      </c>
      <c r="V80" s="488" t="n">
        <f aca="false">IF(OR(LEFT($D80,5)="MB-CL",LEFT($D80,6)="MB-RES"),0,$I80)</f>
        <v>0</v>
      </c>
      <c r="W80" s="488" t="n">
        <f aca="false">IF(OR(LEFT($D80,5)="MB-CL",LEFT($D80,6)="MB-RES"),0,$J80)</f>
        <v>0</v>
      </c>
      <c r="X80" s="101" t="str">
        <f aca="false">IF($E80="","",LEFT($E80,1))</f>
        <v/>
      </c>
      <c r="Y80" s="101" t="str">
        <f aca="false">IF($E80="","",LEFT($E80,2))</f>
        <v/>
      </c>
      <c r="Z80" s="101" t="str">
        <f aca="false">IF($E80="","",LEFT($E80,3))</f>
        <v/>
      </c>
      <c r="AA80" s="101" t="str">
        <f aca="false">IF($E80="","",LEFT($E80,4))</f>
        <v/>
      </c>
    </row>
    <row r="81" customFormat="false" ht="15" hidden="false" customHeight="true" outlineLevel="0" collapsed="false">
      <c r="A81" s="484" t="str">
        <f aca="false">IF(DITARI!$D85="","",ROW()-1)</f>
        <v/>
      </c>
      <c r="B81" s="485" t="str">
        <f aca="false">IF(DITARI!$D85="","",DITARI!$A85)</f>
        <v/>
      </c>
      <c r="C81" s="484" t="str">
        <f aca="false">IF(DITARI!$D85="","",DITARI!$B85)</f>
        <v/>
      </c>
      <c r="D81" s="484" t="str">
        <f aca="false">IF(DITARI!$D85="","",DITARI!$C85)</f>
        <v/>
      </c>
      <c r="E81" s="484" t="str">
        <f aca="false">IF(DITARI!$D85="","",TRIM(DITARI!$D85&amp;""))</f>
        <v/>
      </c>
      <c r="F81" s="484" t="str">
        <f aca="false">IF($E81="","",IFERROR(VLOOKUP($E81,PLANI_LLOGARIVE!$A:$I,2,FALSE()),DITARI!$E85))</f>
        <v/>
      </c>
      <c r="G81" s="484" t="str">
        <f aca="false">IF($E81="","",DITARI!$I85)</f>
        <v/>
      </c>
      <c r="H81" s="486" t="str">
        <f aca="false">IFERROR(IF($E81="","",DITARI!$H85),"")</f>
        <v/>
      </c>
      <c r="I81" s="487" t="n">
        <f aca="false">IF($E81="",0,IFERROR(DITARI!$F85,0))</f>
        <v>0</v>
      </c>
      <c r="J81" s="487" t="n">
        <f aca="false">IF($E81="",0,IFERROR(DITARI!$G85,0))</f>
        <v>0</v>
      </c>
      <c r="K81" s="484" t="str">
        <f aca="false">IF($E81="","",IFERROR(VLOOKUP($E81,PLANI_LLOGARIVE!$A:$I,9,FALSE()),""))</f>
        <v/>
      </c>
      <c r="L81" s="487" t="str">
        <f aca="false">IF($E81="","",$I81-$J81)</f>
        <v/>
      </c>
      <c r="M81" s="484" t="str">
        <f aca="false">IF($E81="","",IF($I81&gt;0,"DEBIT",IF($J81&gt;0,"KREDIT","ZERO")))</f>
        <v/>
      </c>
      <c r="N81" s="484" t="str">
        <f aca="false">IF($E81="","",TEXT($B81,"yyyymmdd")&amp;"-"&amp;TEXT(ROW(),"0000"))</f>
        <v/>
      </c>
      <c r="O81" s="101" t="str">
        <f aca="false">IF($E81="","",$E81&amp;"")</f>
        <v/>
      </c>
      <c r="P81" s="101" t="str">
        <f aca="false">IF(AND($O81&lt;&gt;"",$I81&lt;&gt;0),COUNTIFS($O$2:O81,$O81,$I$2:I81,"&gt;0"),"")</f>
        <v/>
      </c>
      <c r="Q81" s="101" t="str">
        <f aca="false">IF(AND($O81&lt;&gt;"",$J81&lt;&gt;0),COUNTIFS($O$2:O81,$O81,$J$2:J81,"&gt;0"),"")</f>
        <v/>
      </c>
      <c r="R81" s="101" t="str">
        <f aca="false">IF($P81="","",$O81&amp;"|"&amp;$P81)</f>
        <v/>
      </c>
      <c r="S81" s="101" t="str">
        <f aca="false">IF($Q81="","",$O81&amp;"|"&amp;$Q81)</f>
        <v/>
      </c>
      <c r="T81" s="101" t="str">
        <f aca="false">IF($O81="","",COUNTIF($O$2:O81,$O81))</f>
        <v/>
      </c>
      <c r="U81" s="101" t="str">
        <f aca="false">IF($O81="","",$O81&amp;"|"&amp;$T81)</f>
        <v/>
      </c>
      <c r="V81" s="488" t="n">
        <f aca="false">IF(OR(LEFT($D81,5)="MB-CL",LEFT($D81,6)="MB-RES"),0,$I81)</f>
        <v>0</v>
      </c>
      <c r="W81" s="488" t="n">
        <f aca="false">IF(OR(LEFT($D81,5)="MB-CL",LEFT($D81,6)="MB-RES"),0,$J81)</f>
        <v>0</v>
      </c>
      <c r="X81" s="101" t="str">
        <f aca="false">IF($E81="","",LEFT($E81,1))</f>
        <v/>
      </c>
      <c r="Y81" s="101" t="str">
        <f aca="false">IF($E81="","",LEFT($E81,2))</f>
        <v/>
      </c>
      <c r="Z81" s="101" t="str">
        <f aca="false">IF($E81="","",LEFT($E81,3))</f>
        <v/>
      </c>
      <c r="AA81" s="101" t="str">
        <f aca="false">IF($E81="","",LEFT($E81,4))</f>
        <v/>
      </c>
    </row>
    <row r="82" customFormat="false" ht="15" hidden="false" customHeight="true" outlineLevel="0" collapsed="false">
      <c r="A82" s="484" t="str">
        <f aca="false">IF(DITARI!$D86="","",ROW()-1)</f>
        <v/>
      </c>
      <c r="B82" s="485" t="str">
        <f aca="false">IF(DITARI!$D86="","",DITARI!$A86)</f>
        <v/>
      </c>
      <c r="C82" s="484" t="str">
        <f aca="false">IF(DITARI!$D86="","",DITARI!$B86)</f>
        <v/>
      </c>
      <c r="D82" s="484" t="str">
        <f aca="false">IF(DITARI!$D86="","",DITARI!$C86)</f>
        <v/>
      </c>
      <c r="E82" s="484" t="str">
        <f aca="false">IF(DITARI!$D86="","",TRIM(DITARI!$D86&amp;""))</f>
        <v/>
      </c>
      <c r="F82" s="484" t="str">
        <f aca="false">IF($E82="","",IFERROR(VLOOKUP($E82,PLANI_LLOGARIVE!$A:$I,2,FALSE()),DITARI!$E86))</f>
        <v/>
      </c>
      <c r="G82" s="484" t="str">
        <f aca="false">IF($E82="","",DITARI!$I86)</f>
        <v/>
      </c>
      <c r="H82" s="486" t="str">
        <f aca="false">IFERROR(IF($E82="","",DITARI!$H86),"")</f>
        <v/>
      </c>
      <c r="I82" s="487" t="n">
        <f aca="false">IF($E82="",0,IFERROR(DITARI!$F86,0))</f>
        <v>0</v>
      </c>
      <c r="J82" s="487" t="n">
        <f aca="false">IF($E82="",0,IFERROR(DITARI!$G86,0))</f>
        <v>0</v>
      </c>
      <c r="K82" s="484" t="str">
        <f aca="false">IF($E82="","",IFERROR(VLOOKUP($E82,PLANI_LLOGARIVE!$A:$I,9,FALSE()),""))</f>
        <v/>
      </c>
      <c r="L82" s="487" t="str">
        <f aca="false">IF($E82="","",$I82-$J82)</f>
        <v/>
      </c>
      <c r="M82" s="484" t="str">
        <f aca="false">IF($E82="","",IF($I82&gt;0,"DEBIT",IF($J82&gt;0,"KREDIT","ZERO")))</f>
        <v/>
      </c>
      <c r="N82" s="484" t="str">
        <f aca="false">IF($E82="","",TEXT($B82,"yyyymmdd")&amp;"-"&amp;TEXT(ROW(),"0000"))</f>
        <v/>
      </c>
      <c r="O82" s="101" t="str">
        <f aca="false">IF($E82="","",$E82&amp;"")</f>
        <v/>
      </c>
      <c r="P82" s="101" t="str">
        <f aca="false">IF(AND($O82&lt;&gt;"",$I82&lt;&gt;0),COUNTIFS($O$2:O82,$O82,$I$2:I82,"&gt;0"),"")</f>
        <v/>
      </c>
      <c r="Q82" s="101" t="str">
        <f aca="false">IF(AND($O82&lt;&gt;"",$J82&lt;&gt;0),COUNTIFS($O$2:O82,$O82,$J$2:J82,"&gt;0"),"")</f>
        <v/>
      </c>
      <c r="R82" s="101" t="str">
        <f aca="false">IF($P82="","",$O82&amp;"|"&amp;$P82)</f>
        <v/>
      </c>
      <c r="S82" s="101" t="str">
        <f aca="false">IF($Q82="","",$O82&amp;"|"&amp;$Q82)</f>
        <v/>
      </c>
      <c r="T82" s="101" t="str">
        <f aca="false">IF($O82="","",COUNTIF($O$2:O82,$O82))</f>
        <v/>
      </c>
      <c r="U82" s="101" t="str">
        <f aca="false">IF($O82="","",$O82&amp;"|"&amp;$T82)</f>
        <v/>
      </c>
      <c r="V82" s="488" t="n">
        <f aca="false">IF(OR(LEFT($D82,5)="MB-CL",LEFT($D82,6)="MB-RES"),0,$I82)</f>
        <v>0</v>
      </c>
      <c r="W82" s="488" t="n">
        <f aca="false">IF(OR(LEFT($D82,5)="MB-CL",LEFT($D82,6)="MB-RES"),0,$J82)</f>
        <v>0</v>
      </c>
      <c r="X82" s="101" t="str">
        <f aca="false">IF($E82="","",LEFT($E82,1))</f>
        <v/>
      </c>
      <c r="Y82" s="101" t="str">
        <f aca="false">IF($E82="","",LEFT($E82,2))</f>
        <v/>
      </c>
      <c r="Z82" s="101" t="str">
        <f aca="false">IF($E82="","",LEFT($E82,3))</f>
        <v/>
      </c>
      <c r="AA82" s="101" t="str">
        <f aca="false">IF($E82="","",LEFT($E82,4))</f>
        <v/>
      </c>
    </row>
    <row r="83" customFormat="false" ht="15" hidden="false" customHeight="true" outlineLevel="0" collapsed="false">
      <c r="A83" s="484" t="str">
        <f aca="false">IF(DITARI!$D87="","",ROW()-1)</f>
        <v/>
      </c>
      <c r="B83" s="485" t="str">
        <f aca="false">IF(DITARI!$D87="","",DITARI!$A87)</f>
        <v/>
      </c>
      <c r="C83" s="484" t="str">
        <f aca="false">IF(DITARI!$D87="","",DITARI!$B87)</f>
        <v/>
      </c>
      <c r="D83" s="484" t="str">
        <f aca="false">IF(DITARI!$D87="","",DITARI!$C87)</f>
        <v/>
      </c>
      <c r="E83" s="484" t="str">
        <f aca="false">IF(DITARI!$D87="","",TRIM(DITARI!$D87&amp;""))</f>
        <v/>
      </c>
      <c r="F83" s="484" t="str">
        <f aca="false">IF($E83="","",IFERROR(VLOOKUP($E83,PLANI_LLOGARIVE!$A:$I,2,FALSE()),DITARI!$E87))</f>
        <v/>
      </c>
      <c r="G83" s="484" t="str">
        <f aca="false">IF($E83="","",DITARI!$I87)</f>
        <v/>
      </c>
      <c r="H83" s="486" t="str">
        <f aca="false">IFERROR(IF($E83="","",DITARI!$H87),"")</f>
        <v/>
      </c>
      <c r="I83" s="487" t="n">
        <f aca="false">IF($E83="",0,IFERROR(DITARI!$F87,0))</f>
        <v>0</v>
      </c>
      <c r="J83" s="487" t="n">
        <f aca="false">IF($E83="",0,IFERROR(DITARI!$G87,0))</f>
        <v>0</v>
      </c>
      <c r="K83" s="484" t="str">
        <f aca="false">IF($E83="","",IFERROR(VLOOKUP($E83,PLANI_LLOGARIVE!$A:$I,9,FALSE()),""))</f>
        <v/>
      </c>
      <c r="L83" s="487" t="str">
        <f aca="false">IF($E83="","",$I83-$J83)</f>
        <v/>
      </c>
      <c r="M83" s="484" t="str">
        <f aca="false">IF($E83="","",IF($I83&gt;0,"DEBIT",IF($J83&gt;0,"KREDIT","ZERO")))</f>
        <v/>
      </c>
      <c r="N83" s="484" t="str">
        <f aca="false">IF($E83="","",TEXT($B83,"yyyymmdd")&amp;"-"&amp;TEXT(ROW(),"0000"))</f>
        <v/>
      </c>
      <c r="O83" s="101" t="str">
        <f aca="false">IF($E83="","",$E83&amp;"")</f>
        <v/>
      </c>
      <c r="P83" s="101" t="str">
        <f aca="false">IF(AND($O83&lt;&gt;"",$I83&lt;&gt;0),COUNTIFS($O$2:O83,$O83,$I$2:I83,"&gt;0"),"")</f>
        <v/>
      </c>
      <c r="Q83" s="101" t="str">
        <f aca="false">IF(AND($O83&lt;&gt;"",$J83&lt;&gt;0),COUNTIFS($O$2:O83,$O83,$J$2:J83,"&gt;0"),"")</f>
        <v/>
      </c>
      <c r="R83" s="101" t="str">
        <f aca="false">IF($P83="","",$O83&amp;"|"&amp;$P83)</f>
        <v/>
      </c>
      <c r="S83" s="101" t="str">
        <f aca="false">IF($Q83="","",$O83&amp;"|"&amp;$Q83)</f>
        <v/>
      </c>
      <c r="T83" s="101" t="str">
        <f aca="false">IF($O83="","",COUNTIF($O$2:O83,$O83))</f>
        <v/>
      </c>
      <c r="U83" s="101" t="str">
        <f aca="false">IF($O83="","",$O83&amp;"|"&amp;$T83)</f>
        <v/>
      </c>
      <c r="V83" s="488" t="n">
        <f aca="false">IF(OR(LEFT($D83,5)="MB-CL",LEFT($D83,6)="MB-RES"),0,$I83)</f>
        <v>0</v>
      </c>
      <c r="W83" s="488" t="n">
        <f aca="false">IF(OR(LEFT($D83,5)="MB-CL",LEFT($D83,6)="MB-RES"),0,$J83)</f>
        <v>0</v>
      </c>
      <c r="X83" s="101" t="str">
        <f aca="false">IF($E83="","",LEFT($E83,1))</f>
        <v/>
      </c>
      <c r="Y83" s="101" t="str">
        <f aca="false">IF($E83="","",LEFT($E83,2))</f>
        <v/>
      </c>
      <c r="Z83" s="101" t="str">
        <f aca="false">IF($E83="","",LEFT($E83,3))</f>
        <v/>
      </c>
      <c r="AA83" s="101" t="str">
        <f aca="false">IF($E83="","",LEFT($E83,4))</f>
        <v/>
      </c>
    </row>
    <row r="84" customFormat="false" ht="15" hidden="false" customHeight="true" outlineLevel="0" collapsed="false">
      <c r="A84" s="484" t="str">
        <f aca="false">IF(DITARI!$D88="","",ROW()-1)</f>
        <v/>
      </c>
      <c r="B84" s="485" t="str">
        <f aca="false">IF(DITARI!$D88="","",DITARI!$A88)</f>
        <v/>
      </c>
      <c r="C84" s="484" t="str">
        <f aca="false">IF(DITARI!$D88="","",DITARI!$B88)</f>
        <v/>
      </c>
      <c r="D84" s="484" t="str">
        <f aca="false">IF(DITARI!$D88="","",DITARI!$C88)</f>
        <v/>
      </c>
      <c r="E84" s="484" t="str">
        <f aca="false">IF(DITARI!$D88="","",TRIM(DITARI!$D88&amp;""))</f>
        <v/>
      </c>
      <c r="F84" s="484" t="str">
        <f aca="false">IF($E84="","",IFERROR(VLOOKUP($E84,PLANI_LLOGARIVE!$A:$I,2,FALSE()),DITARI!$E88))</f>
        <v/>
      </c>
      <c r="G84" s="484" t="str">
        <f aca="false">IF($E84="","",DITARI!$I88)</f>
        <v/>
      </c>
      <c r="H84" s="486" t="str">
        <f aca="false">IFERROR(IF($E84="","",DITARI!$H88),"")</f>
        <v/>
      </c>
      <c r="I84" s="487" t="n">
        <f aca="false">IF($E84="",0,IFERROR(DITARI!$F88,0))</f>
        <v>0</v>
      </c>
      <c r="J84" s="487" t="n">
        <f aca="false">IF($E84="",0,IFERROR(DITARI!$G88,0))</f>
        <v>0</v>
      </c>
      <c r="K84" s="484" t="str">
        <f aca="false">IF($E84="","",IFERROR(VLOOKUP($E84,PLANI_LLOGARIVE!$A:$I,9,FALSE()),""))</f>
        <v/>
      </c>
      <c r="L84" s="487" t="str">
        <f aca="false">IF($E84="","",$I84-$J84)</f>
        <v/>
      </c>
      <c r="M84" s="484" t="str">
        <f aca="false">IF($E84="","",IF($I84&gt;0,"DEBIT",IF($J84&gt;0,"KREDIT","ZERO")))</f>
        <v/>
      </c>
      <c r="N84" s="484" t="str">
        <f aca="false">IF($E84="","",TEXT($B84,"yyyymmdd")&amp;"-"&amp;TEXT(ROW(),"0000"))</f>
        <v/>
      </c>
      <c r="O84" s="101" t="str">
        <f aca="false">IF($E84="","",$E84&amp;"")</f>
        <v/>
      </c>
      <c r="P84" s="101" t="str">
        <f aca="false">IF(AND($O84&lt;&gt;"",$I84&lt;&gt;0),COUNTIFS($O$2:O84,$O84,$I$2:I84,"&gt;0"),"")</f>
        <v/>
      </c>
      <c r="Q84" s="101" t="str">
        <f aca="false">IF(AND($O84&lt;&gt;"",$J84&lt;&gt;0),COUNTIFS($O$2:O84,$O84,$J$2:J84,"&gt;0"),"")</f>
        <v/>
      </c>
      <c r="R84" s="101" t="str">
        <f aca="false">IF($P84="","",$O84&amp;"|"&amp;$P84)</f>
        <v/>
      </c>
      <c r="S84" s="101" t="str">
        <f aca="false">IF($Q84="","",$O84&amp;"|"&amp;$Q84)</f>
        <v/>
      </c>
      <c r="T84" s="101" t="str">
        <f aca="false">IF($O84="","",COUNTIF($O$2:O84,$O84))</f>
        <v/>
      </c>
      <c r="U84" s="101" t="str">
        <f aca="false">IF($O84="","",$O84&amp;"|"&amp;$T84)</f>
        <v/>
      </c>
      <c r="V84" s="488" t="n">
        <f aca="false">IF(OR(LEFT($D84,5)="MB-CL",LEFT($D84,6)="MB-RES"),0,$I84)</f>
        <v>0</v>
      </c>
      <c r="W84" s="488" t="n">
        <f aca="false">IF(OR(LEFT($D84,5)="MB-CL",LEFT($D84,6)="MB-RES"),0,$J84)</f>
        <v>0</v>
      </c>
      <c r="X84" s="101" t="str">
        <f aca="false">IF($E84="","",LEFT($E84,1))</f>
        <v/>
      </c>
      <c r="Y84" s="101" t="str">
        <f aca="false">IF($E84="","",LEFT($E84,2))</f>
        <v/>
      </c>
      <c r="Z84" s="101" t="str">
        <f aca="false">IF($E84="","",LEFT($E84,3))</f>
        <v/>
      </c>
      <c r="AA84" s="101" t="str">
        <f aca="false">IF($E84="","",LEFT($E84,4))</f>
        <v/>
      </c>
    </row>
    <row r="85" customFormat="false" ht="15" hidden="false" customHeight="true" outlineLevel="0" collapsed="false">
      <c r="A85" s="484" t="str">
        <f aca="false">IF(DITARI!$D89="","",ROW()-1)</f>
        <v/>
      </c>
      <c r="B85" s="485" t="str">
        <f aca="false">IF(DITARI!$D89="","",DITARI!$A89)</f>
        <v/>
      </c>
      <c r="C85" s="484" t="str">
        <f aca="false">IF(DITARI!$D89="","",DITARI!$B89)</f>
        <v/>
      </c>
      <c r="D85" s="484" t="str">
        <f aca="false">IF(DITARI!$D89="","",DITARI!$C89)</f>
        <v/>
      </c>
      <c r="E85" s="484" t="str">
        <f aca="false">IF(DITARI!$D89="","",TRIM(DITARI!$D89&amp;""))</f>
        <v/>
      </c>
      <c r="F85" s="484" t="str">
        <f aca="false">IF($E85="","",IFERROR(VLOOKUP($E85,PLANI_LLOGARIVE!$A:$I,2,FALSE()),DITARI!$E89))</f>
        <v/>
      </c>
      <c r="G85" s="484" t="str">
        <f aca="false">IF($E85="","",DITARI!$I89)</f>
        <v/>
      </c>
      <c r="H85" s="486" t="str">
        <f aca="false">IFERROR(IF($E85="","",DITARI!$H89),"")</f>
        <v/>
      </c>
      <c r="I85" s="487" t="n">
        <f aca="false">IF($E85="",0,IFERROR(DITARI!$F89,0))</f>
        <v>0</v>
      </c>
      <c r="J85" s="487" t="n">
        <f aca="false">IF($E85="",0,IFERROR(DITARI!$G89,0))</f>
        <v>0</v>
      </c>
      <c r="K85" s="484" t="str">
        <f aca="false">IF($E85="","",IFERROR(VLOOKUP($E85,PLANI_LLOGARIVE!$A:$I,9,FALSE()),""))</f>
        <v/>
      </c>
      <c r="L85" s="487" t="str">
        <f aca="false">IF($E85="","",$I85-$J85)</f>
        <v/>
      </c>
      <c r="M85" s="484" t="str">
        <f aca="false">IF($E85="","",IF($I85&gt;0,"DEBIT",IF($J85&gt;0,"KREDIT","ZERO")))</f>
        <v/>
      </c>
      <c r="N85" s="484" t="str">
        <f aca="false">IF($E85="","",TEXT($B85,"yyyymmdd")&amp;"-"&amp;TEXT(ROW(),"0000"))</f>
        <v/>
      </c>
      <c r="O85" s="101" t="str">
        <f aca="false">IF($E85="","",$E85&amp;"")</f>
        <v/>
      </c>
      <c r="P85" s="101" t="str">
        <f aca="false">IF(AND($O85&lt;&gt;"",$I85&lt;&gt;0),COUNTIFS($O$2:O85,$O85,$I$2:I85,"&gt;0"),"")</f>
        <v/>
      </c>
      <c r="Q85" s="101" t="str">
        <f aca="false">IF(AND($O85&lt;&gt;"",$J85&lt;&gt;0),COUNTIFS($O$2:O85,$O85,$J$2:J85,"&gt;0"),"")</f>
        <v/>
      </c>
      <c r="R85" s="101" t="str">
        <f aca="false">IF($P85="","",$O85&amp;"|"&amp;$P85)</f>
        <v/>
      </c>
      <c r="S85" s="101" t="str">
        <f aca="false">IF($Q85="","",$O85&amp;"|"&amp;$Q85)</f>
        <v/>
      </c>
      <c r="T85" s="101" t="str">
        <f aca="false">IF($O85="","",COUNTIF($O$2:O85,$O85))</f>
        <v/>
      </c>
      <c r="U85" s="101" t="str">
        <f aca="false">IF($O85="","",$O85&amp;"|"&amp;$T85)</f>
        <v/>
      </c>
      <c r="V85" s="488" t="n">
        <f aca="false">IF(OR(LEFT($D85,5)="MB-CL",LEFT($D85,6)="MB-RES"),0,$I85)</f>
        <v>0</v>
      </c>
      <c r="W85" s="488" t="n">
        <f aca="false">IF(OR(LEFT($D85,5)="MB-CL",LEFT($D85,6)="MB-RES"),0,$J85)</f>
        <v>0</v>
      </c>
      <c r="X85" s="101" t="str">
        <f aca="false">IF($E85="","",LEFT($E85,1))</f>
        <v/>
      </c>
      <c r="Y85" s="101" t="str">
        <f aca="false">IF($E85="","",LEFT($E85,2))</f>
        <v/>
      </c>
      <c r="Z85" s="101" t="str">
        <f aca="false">IF($E85="","",LEFT($E85,3))</f>
        <v/>
      </c>
      <c r="AA85" s="101" t="str">
        <f aca="false">IF($E85="","",LEFT($E85,4))</f>
        <v/>
      </c>
    </row>
    <row r="86" customFormat="false" ht="15" hidden="false" customHeight="true" outlineLevel="0" collapsed="false">
      <c r="A86" s="484" t="str">
        <f aca="false">IF(DITARI!$D90="","",ROW()-1)</f>
        <v/>
      </c>
      <c r="B86" s="485" t="str">
        <f aca="false">IF(DITARI!$D90="","",DITARI!$A90)</f>
        <v/>
      </c>
      <c r="C86" s="484" t="str">
        <f aca="false">IF(DITARI!$D90="","",DITARI!$B90)</f>
        <v/>
      </c>
      <c r="D86" s="484" t="str">
        <f aca="false">IF(DITARI!$D90="","",DITARI!$C90)</f>
        <v/>
      </c>
      <c r="E86" s="484" t="str">
        <f aca="false">IF(DITARI!$D90="","",TRIM(DITARI!$D90&amp;""))</f>
        <v/>
      </c>
      <c r="F86" s="484" t="str">
        <f aca="false">IF($E86="","",IFERROR(VLOOKUP($E86,PLANI_LLOGARIVE!$A:$I,2,FALSE()),DITARI!$E90))</f>
        <v/>
      </c>
      <c r="G86" s="484" t="str">
        <f aca="false">IF($E86="","",DITARI!$I90)</f>
        <v/>
      </c>
      <c r="H86" s="486" t="str">
        <f aca="false">IFERROR(IF($E86="","",DITARI!$H90),"")</f>
        <v/>
      </c>
      <c r="I86" s="487" t="n">
        <f aca="false">IF($E86="",0,IFERROR(DITARI!$F90,0))</f>
        <v>0</v>
      </c>
      <c r="J86" s="487" t="n">
        <f aca="false">IF($E86="",0,IFERROR(DITARI!$G90,0))</f>
        <v>0</v>
      </c>
      <c r="K86" s="484" t="str">
        <f aca="false">IF($E86="","",IFERROR(VLOOKUP($E86,PLANI_LLOGARIVE!$A:$I,9,FALSE()),""))</f>
        <v/>
      </c>
      <c r="L86" s="487" t="str">
        <f aca="false">IF($E86="","",$I86-$J86)</f>
        <v/>
      </c>
      <c r="M86" s="484" t="str">
        <f aca="false">IF($E86="","",IF($I86&gt;0,"DEBIT",IF($J86&gt;0,"KREDIT","ZERO")))</f>
        <v/>
      </c>
      <c r="N86" s="484" t="str">
        <f aca="false">IF($E86="","",TEXT($B86,"yyyymmdd")&amp;"-"&amp;TEXT(ROW(),"0000"))</f>
        <v/>
      </c>
      <c r="O86" s="101" t="str">
        <f aca="false">IF($E86="","",$E86&amp;"")</f>
        <v/>
      </c>
      <c r="P86" s="101" t="str">
        <f aca="false">IF(AND($O86&lt;&gt;"",$I86&lt;&gt;0),COUNTIFS($O$2:O86,$O86,$I$2:I86,"&gt;0"),"")</f>
        <v/>
      </c>
      <c r="Q86" s="101" t="str">
        <f aca="false">IF(AND($O86&lt;&gt;"",$J86&lt;&gt;0),COUNTIFS($O$2:O86,$O86,$J$2:J86,"&gt;0"),"")</f>
        <v/>
      </c>
      <c r="R86" s="101" t="str">
        <f aca="false">IF($P86="","",$O86&amp;"|"&amp;$P86)</f>
        <v/>
      </c>
      <c r="S86" s="101" t="str">
        <f aca="false">IF($Q86="","",$O86&amp;"|"&amp;$Q86)</f>
        <v/>
      </c>
      <c r="T86" s="101" t="str">
        <f aca="false">IF($O86="","",COUNTIF($O$2:O86,$O86))</f>
        <v/>
      </c>
      <c r="U86" s="101" t="str">
        <f aca="false">IF($O86="","",$O86&amp;"|"&amp;$T86)</f>
        <v/>
      </c>
      <c r="V86" s="488" t="n">
        <f aca="false">IF(OR(LEFT($D86,5)="MB-CL",LEFT($D86,6)="MB-RES"),0,$I86)</f>
        <v>0</v>
      </c>
      <c r="W86" s="488" t="n">
        <f aca="false">IF(OR(LEFT($D86,5)="MB-CL",LEFT($D86,6)="MB-RES"),0,$J86)</f>
        <v>0</v>
      </c>
      <c r="X86" s="101" t="str">
        <f aca="false">IF($E86="","",LEFT($E86,1))</f>
        <v/>
      </c>
      <c r="Y86" s="101" t="str">
        <f aca="false">IF($E86="","",LEFT($E86,2))</f>
        <v/>
      </c>
      <c r="Z86" s="101" t="str">
        <f aca="false">IF($E86="","",LEFT($E86,3))</f>
        <v/>
      </c>
      <c r="AA86" s="101" t="str">
        <f aca="false">IF($E86="","",LEFT($E86,4))</f>
        <v/>
      </c>
    </row>
    <row r="87" customFormat="false" ht="15" hidden="false" customHeight="true" outlineLevel="0" collapsed="false">
      <c r="A87" s="484" t="str">
        <f aca="false">IF(DITARI!$D91="","",ROW()-1)</f>
        <v/>
      </c>
      <c r="B87" s="485" t="str">
        <f aca="false">IF(DITARI!$D91="","",DITARI!$A91)</f>
        <v/>
      </c>
      <c r="C87" s="484" t="str">
        <f aca="false">IF(DITARI!$D91="","",DITARI!$B91)</f>
        <v/>
      </c>
      <c r="D87" s="484" t="str">
        <f aca="false">IF(DITARI!$D91="","",DITARI!$C91)</f>
        <v/>
      </c>
      <c r="E87" s="484" t="str">
        <f aca="false">IF(DITARI!$D91="","",TRIM(DITARI!$D91&amp;""))</f>
        <v/>
      </c>
      <c r="F87" s="484" t="str">
        <f aca="false">IF($E87="","",IFERROR(VLOOKUP($E87,PLANI_LLOGARIVE!$A:$I,2,FALSE()),DITARI!$E91))</f>
        <v/>
      </c>
      <c r="G87" s="484" t="str">
        <f aca="false">IF($E87="","",DITARI!$I91)</f>
        <v/>
      </c>
      <c r="H87" s="486" t="str">
        <f aca="false">IFERROR(IF($E87="","",DITARI!$H91),"")</f>
        <v/>
      </c>
      <c r="I87" s="487" t="n">
        <f aca="false">IF($E87="",0,IFERROR(DITARI!$F91,0))</f>
        <v>0</v>
      </c>
      <c r="J87" s="487" t="n">
        <f aca="false">IF($E87="",0,IFERROR(DITARI!$G91,0))</f>
        <v>0</v>
      </c>
      <c r="K87" s="484" t="str">
        <f aca="false">IF($E87="","",IFERROR(VLOOKUP($E87,PLANI_LLOGARIVE!$A:$I,9,FALSE()),""))</f>
        <v/>
      </c>
      <c r="L87" s="487" t="str">
        <f aca="false">IF($E87="","",$I87-$J87)</f>
        <v/>
      </c>
      <c r="M87" s="484" t="str">
        <f aca="false">IF($E87="","",IF($I87&gt;0,"DEBIT",IF($J87&gt;0,"KREDIT","ZERO")))</f>
        <v/>
      </c>
      <c r="N87" s="484" t="str">
        <f aca="false">IF($E87="","",TEXT($B87,"yyyymmdd")&amp;"-"&amp;TEXT(ROW(),"0000"))</f>
        <v/>
      </c>
      <c r="O87" s="101" t="str">
        <f aca="false">IF($E87="","",$E87&amp;"")</f>
        <v/>
      </c>
      <c r="P87" s="101" t="str">
        <f aca="false">IF(AND($O87&lt;&gt;"",$I87&lt;&gt;0),COUNTIFS($O$2:O87,$O87,$I$2:I87,"&gt;0"),"")</f>
        <v/>
      </c>
      <c r="Q87" s="101" t="str">
        <f aca="false">IF(AND($O87&lt;&gt;"",$J87&lt;&gt;0),COUNTIFS($O$2:O87,$O87,$J$2:J87,"&gt;0"),"")</f>
        <v/>
      </c>
      <c r="R87" s="101" t="str">
        <f aca="false">IF($P87="","",$O87&amp;"|"&amp;$P87)</f>
        <v/>
      </c>
      <c r="S87" s="101" t="str">
        <f aca="false">IF($Q87="","",$O87&amp;"|"&amp;$Q87)</f>
        <v/>
      </c>
      <c r="T87" s="101" t="str">
        <f aca="false">IF($O87="","",COUNTIF($O$2:O87,$O87))</f>
        <v/>
      </c>
      <c r="U87" s="101" t="str">
        <f aca="false">IF($O87="","",$O87&amp;"|"&amp;$T87)</f>
        <v/>
      </c>
      <c r="V87" s="488" t="n">
        <f aca="false">IF(OR(LEFT($D87,5)="MB-CL",LEFT($D87,6)="MB-RES"),0,$I87)</f>
        <v>0</v>
      </c>
      <c r="W87" s="488" t="n">
        <f aca="false">IF(OR(LEFT($D87,5)="MB-CL",LEFT($D87,6)="MB-RES"),0,$J87)</f>
        <v>0</v>
      </c>
      <c r="X87" s="101" t="str">
        <f aca="false">IF($E87="","",LEFT($E87,1))</f>
        <v/>
      </c>
      <c r="Y87" s="101" t="str">
        <f aca="false">IF($E87="","",LEFT($E87,2))</f>
        <v/>
      </c>
      <c r="Z87" s="101" t="str">
        <f aca="false">IF($E87="","",LEFT($E87,3))</f>
        <v/>
      </c>
      <c r="AA87" s="101" t="str">
        <f aca="false">IF($E87="","",LEFT($E87,4))</f>
        <v/>
      </c>
    </row>
    <row r="88" customFormat="false" ht="15" hidden="false" customHeight="true" outlineLevel="0" collapsed="false">
      <c r="A88" s="484" t="str">
        <f aca="false">IF(DITARI!$D92="","",ROW()-1)</f>
        <v/>
      </c>
      <c r="B88" s="485" t="str">
        <f aca="false">IF(DITARI!$D92="","",DITARI!$A92)</f>
        <v/>
      </c>
      <c r="C88" s="484" t="str">
        <f aca="false">IF(DITARI!$D92="","",DITARI!$B92)</f>
        <v/>
      </c>
      <c r="D88" s="484" t="str">
        <f aca="false">IF(DITARI!$D92="","",DITARI!$C92)</f>
        <v/>
      </c>
      <c r="E88" s="484" t="str">
        <f aca="false">IF(DITARI!$D92="","",TRIM(DITARI!$D92&amp;""))</f>
        <v/>
      </c>
      <c r="F88" s="484" t="str">
        <f aca="false">IF($E88="","",IFERROR(VLOOKUP($E88,PLANI_LLOGARIVE!$A:$I,2,FALSE()),DITARI!$E92))</f>
        <v/>
      </c>
      <c r="G88" s="484" t="str">
        <f aca="false">IF($E88="","",DITARI!$I92)</f>
        <v/>
      </c>
      <c r="H88" s="486" t="str">
        <f aca="false">IFERROR(IF($E88="","",DITARI!$H92),"")</f>
        <v/>
      </c>
      <c r="I88" s="487" t="n">
        <f aca="false">IF($E88="",0,IFERROR(DITARI!$F92,0))</f>
        <v>0</v>
      </c>
      <c r="J88" s="487" t="n">
        <f aca="false">IF($E88="",0,IFERROR(DITARI!$G92,0))</f>
        <v>0</v>
      </c>
      <c r="K88" s="484" t="str">
        <f aca="false">IF($E88="","",IFERROR(VLOOKUP($E88,PLANI_LLOGARIVE!$A:$I,9,FALSE()),""))</f>
        <v/>
      </c>
      <c r="L88" s="487" t="str">
        <f aca="false">IF($E88="","",$I88-$J88)</f>
        <v/>
      </c>
      <c r="M88" s="484" t="str">
        <f aca="false">IF($E88="","",IF($I88&gt;0,"DEBIT",IF($J88&gt;0,"KREDIT","ZERO")))</f>
        <v/>
      </c>
      <c r="N88" s="484" t="str">
        <f aca="false">IF($E88="","",TEXT($B88,"yyyymmdd")&amp;"-"&amp;TEXT(ROW(),"0000"))</f>
        <v/>
      </c>
      <c r="O88" s="101" t="str">
        <f aca="false">IF($E88="","",$E88&amp;"")</f>
        <v/>
      </c>
      <c r="P88" s="101" t="str">
        <f aca="false">IF(AND($O88&lt;&gt;"",$I88&lt;&gt;0),COUNTIFS($O$2:O88,$O88,$I$2:I88,"&gt;0"),"")</f>
        <v/>
      </c>
      <c r="Q88" s="101" t="str">
        <f aca="false">IF(AND($O88&lt;&gt;"",$J88&lt;&gt;0),COUNTIFS($O$2:O88,$O88,$J$2:J88,"&gt;0"),"")</f>
        <v/>
      </c>
      <c r="R88" s="101" t="str">
        <f aca="false">IF($P88="","",$O88&amp;"|"&amp;$P88)</f>
        <v/>
      </c>
      <c r="S88" s="101" t="str">
        <f aca="false">IF($Q88="","",$O88&amp;"|"&amp;$Q88)</f>
        <v/>
      </c>
      <c r="T88" s="101" t="str">
        <f aca="false">IF($O88="","",COUNTIF($O$2:O88,$O88))</f>
        <v/>
      </c>
      <c r="U88" s="101" t="str">
        <f aca="false">IF($O88="","",$O88&amp;"|"&amp;$T88)</f>
        <v/>
      </c>
      <c r="V88" s="488" t="n">
        <f aca="false">IF(OR(LEFT($D88,5)="MB-CL",LEFT($D88,6)="MB-RES"),0,$I88)</f>
        <v>0</v>
      </c>
      <c r="W88" s="488" t="n">
        <f aca="false">IF(OR(LEFT($D88,5)="MB-CL",LEFT($D88,6)="MB-RES"),0,$J88)</f>
        <v>0</v>
      </c>
      <c r="X88" s="101" t="str">
        <f aca="false">IF($E88="","",LEFT($E88,1))</f>
        <v/>
      </c>
      <c r="Y88" s="101" t="str">
        <f aca="false">IF($E88="","",LEFT($E88,2))</f>
        <v/>
      </c>
      <c r="Z88" s="101" t="str">
        <f aca="false">IF($E88="","",LEFT($E88,3))</f>
        <v/>
      </c>
      <c r="AA88" s="101" t="str">
        <f aca="false">IF($E88="","",LEFT($E88,4))</f>
        <v/>
      </c>
    </row>
    <row r="89" customFormat="false" ht="15" hidden="false" customHeight="true" outlineLevel="0" collapsed="false">
      <c r="A89" s="484" t="str">
        <f aca="false">IF(DITARI!$D93="","",ROW()-1)</f>
        <v/>
      </c>
      <c r="B89" s="485" t="str">
        <f aca="false">IF(DITARI!$D93="","",DITARI!$A93)</f>
        <v/>
      </c>
      <c r="C89" s="484" t="str">
        <f aca="false">IF(DITARI!$D93="","",DITARI!$B93)</f>
        <v/>
      </c>
      <c r="D89" s="484" t="str">
        <f aca="false">IF(DITARI!$D93="","",DITARI!$C93)</f>
        <v/>
      </c>
      <c r="E89" s="484" t="str">
        <f aca="false">IF(DITARI!$D93="","",TRIM(DITARI!$D93&amp;""))</f>
        <v/>
      </c>
      <c r="F89" s="484" t="str">
        <f aca="false">IF($E89="","",IFERROR(VLOOKUP($E89,PLANI_LLOGARIVE!$A:$I,2,FALSE()),DITARI!$E93))</f>
        <v/>
      </c>
      <c r="G89" s="484" t="str">
        <f aca="false">IF($E89="","",DITARI!$I93)</f>
        <v/>
      </c>
      <c r="H89" s="486" t="str">
        <f aca="false">IFERROR(IF($E89="","",DITARI!$H93),"")</f>
        <v/>
      </c>
      <c r="I89" s="487" t="n">
        <f aca="false">IF($E89="",0,IFERROR(DITARI!$F93,0))</f>
        <v>0</v>
      </c>
      <c r="J89" s="487" t="n">
        <f aca="false">IF($E89="",0,IFERROR(DITARI!$G93,0))</f>
        <v>0</v>
      </c>
      <c r="K89" s="484" t="str">
        <f aca="false">IF($E89="","",IFERROR(VLOOKUP($E89,PLANI_LLOGARIVE!$A:$I,9,FALSE()),""))</f>
        <v/>
      </c>
      <c r="L89" s="487" t="str">
        <f aca="false">IF($E89="","",$I89-$J89)</f>
        <v/>
      </c>
      <c r="M89" s="484" t="str">
        <f aca="false">IF($E89="","",IF($I89&gt;0,"DEBIT",IF($J89&gt;0,"KREDIT","ZERO")))</f>
        <v/>
      </c>
      <c r="N89" s="484" t="str">
        <f aca="false">IF($E89="","",TEXT($B89,"yyyymmdd")&amp;"-"&amp;TEXT(ROW(),"0000"))</f>
        <v/>
      </c>
      <c r="O89" s="101" t="str">
        <f aca="false">IF($E89="","",$E89&amp;"")</f>
        <v/>
      </c>
      <c r="P89" s="101" t="str">
        <f aca="false">IF(AND($O89&lt;&gt;"",$I89&lt;&gt;0),COUNTIFS($O$2:O89,$O89,$I$2:I89,"&gt;0"),"")</f>
        <v/>
      </c>
      <c r="Q89" s="101" t="str">
        <f aca="false">IF(AND($O89&lt;&gt;"",$J89&lt;&gt;0),COUNTIFS($O$2:O89,$O89,$J$2:J89,"&gt;0"),"")</f>
        <v/>
      </c>
      <c r="R89" s="101" t="str">
        <f aca="false">IF($P89="","",$O89&amp;"|"&amp;$P89)</f>
        <v/>
      </c>
      <c r="S89" s="101" t="str">
        <f aca="false">IF($Q89="","",$O89&amp;"|"&amp;$Q89)</f>
        <v/>
      </c>
      <c r="T89" s="101" t="str">
        <f aca="false">IF($O89="","",COUNTIF($O$2:O89,$O89))</f>
        <v/>
      </c>
      <c r="U89" s="101" t="str">
        <f aca="false">IF($O89="","",$O89&amp;"|"&amp;$T89)</f>
        <v/>
      </c>
      <c r="V89" s="488" t="n">
        <f aca="false">IF(OR(LEFT($D89,5)="MB-CL",LEFT($D89,6)="MB-RES"),0,$I89)</f>
        <v>0</v>
      </c>
      <c r="W89" s="488" t="n">
        <f aca="false">IF(OR(LEFT($D89,5)="MB-CL",LEFT($D89,6)="MB-RES"),0,$J89)</f>
        <v>0</v>
      </c>
      <c r="X89" s="101" t="str">
        <f aca="false">IF($E89="","",LEFT($E89,1))</f>
        <v/>
      </c>
      <c r="Y89" s="101" t="str">
        <f aca="false">IF($E89="","",LEFT($E89,2))</f>
        <v/>
      </c>
      <c r="Z89" s="101" t="str">
        <f aca="false">IF($E89="","",LEFT($E89,3))</f>
        <v/>
      </c>
      <c r="AA89" s="101" t="str">
        <f aca="false">IF($E89="","",LEFT($E89,4))</f>
        <v/>
      </c>
    </row>
    <row r="90" customFormat="false" ht="15" hidden="false" customHeight="true" outlineLevel="0" collapsed="false">
      <c r="A90" s="484" t="str">
        <f aca="false">IF(DITARI!$D94="","",ROW()-1)</f>
        <v/>
      </c>
      <c r="B90" s="485" t="str">
        <f aca="false">IF(DITARI!$D94="","",DITARI!$A94)</f>
        <v/>
      </c>
      <c r="C90" s="484" t="str">
        <f aca="false">IF(DITARI!$D94="","",DITARI!$B94)</f>
        <v/>
      </c>
      <c r="D90" s="484" t="str">
        <f aca="false">IF(DITARI!$D94="","",DITARI!$C94)</f>
        <v/>
      </c>
      <c r="E90" s="484" t="str">
        <f aca="false">IF(DITARI!$D94="","",TRIM(DITARI!$D94&amp;""))</f>
        <v/>
      </c>
      <c r="F90" s="484" t="str">
        <f aca="false">IF($E90="","",IFERROR(VLOOKUP($E90,PLANI_LLOGARIVE!$A:$I,2,FALSE()),DITARI!$E94))</f>
        <v/>
      </c>
      <c r="G90" s="484" t="str">
        <f aca="false">IF($E90="","",DITARI!$I94)</f>
        <v/>
      </c>
      <c r="H90" s="486" t="str">
        <f aca="false">IFERROR(IF($E90="","",DITARI!$H94),"")</f>
        <v/>
      </c>
      <c r="I90" s="487" t="n">
        <f aca="false">IF($E90="",0,IFERROR(DITARI!$F94,0))</f>
        <v>0</v>
      </c>
      <c r="J90" s="487" t="n">
        <f aca="false">IF($E90="",0,IFERROR(DITARI!$G94,0))</f>
        <v>0</v>
      </c>
      <c r="K90" s="484" t="str">
        <f aca="false">IF($E90="","",IFERROR(VLOOKUP($E90,PLANI_LLOGARIVE!$A:$I,9,FALSE()),""))</f>
        <v/>
      </c>
      <c r="L90" s="487" t="str">
        <f aca="false">IF($E90="","",$I90-$J90)</f>
        <v/>
      </c>
      <c r="M90" s="484" t="str">
        <f aca="false">IF($E90="","",IF($I90&gt;0,"DEBIT",IF($J90&gt;0,"KREDIT","ZERO")))</f>
        <v/>
      </c>
      <c r="N90" s="484" t="str">
        <f aca="false">IF($E90="","",TEXT($B90,"yyyymmdd")&amp;"-"&amp;TEXT(ROW(),"0000"))</f>
        <v/>
      </c>
      <c r="O90" s="101" t="str">
        <f aca="false">IF($E90="","",$E90&amp;"")</f>
        <v/>
      </c>
      <c r="P90" s="101" t="str">
        <f aca="false">IF(AND($O90&lt;&gt;"",$I90&lt;&gt;0),COUNTIFS($O$2:O90,$O90,$I$2:I90,"&gt;0"),"")</f>
        <v/>
      </c>
      <c r="Q90" s="101" t="str">
        <f aca="false">IF(AND($O90&lt;&gt;"",$J90&lt;&gt;0),COUNTIFS($O$2:O90,$O90,$J$2:J90,"&gt;0"),"")</f>
        <v/>
      </c>
      <c r="R90" s="101" t="str">
        <f aca="false">IF($P90="","",$O90&amp;"|"&amp;$P90)</f>
        <v/>
      </c>
      <c r="S90" s="101" t="str">
        <f aca="false">IF($Q90="","",$O90&amp;"|"&amp;$Q90)</f>
        <v/>
      </c>
      <c r="T90" s="101" t="str">
        <f aca="false">IF($O90="","",COUNTIF($O$2:O90,$O90))</f>
        <v/>
      </c>
      <c r="U90" s="101" t="str">
        <f aca="false">IF($O90="","",$O90&amp;"|"&amp;$T90)</f>
        <v/>
      </c>
      <c r="V90" s="488" t="n">
        <f aca="false">IF(OR(LEFT($D90,5)="MB-CL",LEFT($D90,6)="MB-RES"),0,$I90)</f>
        <v>0</v>
      </c>
      <c r="W90" s="488" t="n">
        <f aca="false">IF(OR(LEFT($D90,5)="MB-CL",LEFT($D90,6)="MB-RES"),0,$J90)</f>
        <v>0</v>
      </c>
      <c r="X90" s="101" t="str">
        <f aca="false">IF($E90="","",LEFT($E90,1))</f>
        <v/>
      </c>
      <c r="Y90" s="101" t="str">
        <f aca="false">IF($E90="","",LEFT($E90,2))</f>
        <v/>
      </c>
      <c r="Z90" s="101" t="str">
        <f aca="false">IF($E90="","",LEFT($E90,3))</f>
        <v/>
      </c>
      <c r="AA90" s="101" t="str">
        <f aca="false">IF($E90="","",LEFT($E90,4))</f>
        <v/>
      </c>
    </row>
    <row r="91" customFormat="false" ht="15" hidden="false" customHeight="true" outlineLevel="0" collapsed="false">
      <c r="A91" s="484" t="str">
        <f aca="false">IF(DITARI!$D95="","",ROW()-1)</f>
        <v/>
      </c>
      <c r="B91" s="485" t="str">
        <f aca="false">IF(DITARI!$D95="","",DITARI!$A95)</f>
        <v/>
      </c>
      <c r="C91" s="484" t="str">
        <f aca="false">IF(DITARI!$D95="","",DITARI!$B95)</f>
        <v/>
      </c>
      <c r="D91" s="484" t="str">
        <f aca="false">IF(DITARI!$D95="","",DITARI!$C95)</f>
        <v/>
      </c>
      <c r="E91" s="484" t="str">
        <f aca="false">IF(DITARI!$D95="","",TRIM(DITARI!$D95&amp;""))</f>
        <v/>
      </c>
      <c r="F91" s="484" t="str">
        <f aca="false">IF($E91="","",IFERROR(VLOOKUP($E91,PLANI_LLOGARIVE!$A:$I,2,FALSE()),DITARI!$E95))</f>
        <v/>
      </c>
      <c r="G91" s="484" t="str">
        <f aca="false">IF($E91="","",DITARI!$I95)</f>
        <v/>
      </c>
      <c r="H91" s="486" t="str">
        <f aca="false">IFERROR(IF($E91="","",DITARI!$H95),"")</f>
        <v/>
      </c>
      <c r="I91" s="487" t="n">
        <f aca="false">IF($E91="",0,IFERROR(DITARI!$F95,0))</f>
        <v>0</v>
      </c>
      <c r="J91" s="487" t="n">
        <f aca="false">IF($E91="",0,IFERROR(DITARI!$G95,0))</f>
        <v>0</v>
      </c>
      <c r="K91" s="484" t="str">
        <f aca="false">IF($E91="","",IFERROR(VLOOKUP($E91,PLANI_LLOGARIVE!$A:$I,9,FALSE()),""))</f>
        <v/>
      </c>
      <c r="L91" s="487" t="str">
        <f aca="false">IF($E91="","",$I91-$J91)</f>
        <v/>
      </c>
      <c r="M91" s="484" t="str">
        <f aca="false">IF($E91="","",IF($I91&gt;0,"DEBIT",IF($J91&gt;0,"KREDIT","ZERO")))</f>
        <v/>
      </c>
      <c r="N91" s="484" t="str">
        <f aca="false">IF($E91="","",TEXT($B91,"yyyymmdd")&amp;"-"&amp;TEXT(ROW(),"0000"))</f>
        <v/>
      </c>
      <c r="O91" s="101" t="str">
        <f aca="false">IF($E91="","",$E91&amp;"")</f>
        <v/>
      </c>
      <c r="P91" s="101" t="str">
        <f aca="false">IF(AND($O91&lt;&gt;"",$I91&lt;&gt;0),COUNTIFS($O$2:O91,$O91,$I$2:I91,"&gt;0"),"")</f>
        <v/>
      </c>
      <c r="Q91" s="101" t="str">
        <f aca="false">IF(AND($O91&lt;&gt;"",$J91&lt;&gt;0),COUNTIFS($O$2:O91,$O91,$J$2:J91,"&gt;0"),"")</f>
        <v/>
      </c>
      <c r="R91" s="101" t="str">
        <f aca="false">IF($P91="","",$O91&amp;"|"&amp;$P91)</f>
        <v/>
      </c>
      <c r="S91" s="101" t="str">
        <f aca="false">IF($Q91="","",$O91&amp;"|"&amp;$Q91)</f>
        <v/>
      </c>
      <c r="T91" s="101" t="str">
        <f aca="false">IF($O91="","",COUNTIF($O$2:O91,$O91))</f>
        <v/>
      </c>
      <c r="U91" s="101" t="str">
        <f aca="false">IF($O91="","",$O91&amp;"|"&amp;$T91)</f>
        <v/>
      </c>
      <c r="V91" s="488" t="n">
        <f aca="false">IF(OR(LEFT($D91,5)="MB-CL",LEFT($D91,6)="MB-RES"),0,$I91)</f>
        <v>0</v>
      </c>
      <c r="W91" s="488" t="n">
        <f aca="false">IF(OR(LEFT($D91,5)="MB-CL",LEFT($D91,6)="MB-RES"),0,$J91)</f>
        <v>0</v>
      </c>
      <c r="X91" s="101" t="str">
        <f aca="false">IF($E91="","",LEFT($E91,1))</f>
        <v/>
      </c>
      <c r="Y91" s="101" t="str">
        <f aca="false">IF($E91="","",LEFT($E91,2))</f>
        <v/>
      </c>
      <c r="Z91" s="101" t="str">
        <f aca="false">IF($E91="","",LEFT($E91,3))</f>
        <v/>
      </c>
      <c r="AA91" s="101" t="str">
        <f aca="false">IF($E91="","",LEFT($E91,4))</f>
        <v/>
      </c>
    </row>
    <row r="92" customFormat="false" ht="15" hidden="false" customHeight="true" outlineLevel="0" collapsed="false">
      <c r="A92" s="484" t="str">
        <f aca="false">IF(DITARI!$D96="","",ROW()-1)</f>
        <v/>
      </c>
      <c r="B92" s="485" t="str">
        <f aca="false">IF(DITARI!$D96="","",DITARI!$A96)</f>
        <v/>
      </c>
      <c r="C92" s="484" t="str">
        <f aca="false">IF(DITARI!$D96="","",DITARI!$B96)</f>
        <v/>
      </c>
      <c r="D92" s="484" t="str">
        <f aca="false">IF(DITARI!$D96="","",DITARI!$C96)</f>
        <v/>
      </c>
      <c r="E92" s="484" t="str">
        <f aca="false">IF(DITARI!$D96="","",TRIM(DITARI!$D96&amp;""))</f>
        <v/>
      </c>
      <c r="F92" s="484" t="str">
        <f aca="false">IF($E92="","",IFERROR(VLOOKUP($E92,PLANI_LLOGARIVE!$A:$I,2,FALSE()),DITARI!$E96))</f>
        <v/>
      </c>
      <c r="G92" s="484" t="str">
        <f aca="false">IF($E92="","",DITARI!$I96)</f>
        <v/>
      </c>
      <c r="H92" s="486" t="str">
        <f aca="false">IFERROR(IF($E92="","",DITARI!$H96),"")</f>
        <v/>
      </c>
      <c r="I92" s="487" t="n">
        <f aca="false">IF($E92="",0,IFERROR(DITARI!$F96,0))</f>
        <v>0</v>
      </c>
      <c r="J92" s="487" t="n">
        <f aca="false">IF($E92="",0,IFERROR(DITARI!$G96,0))</f>
        <v>0</v>
      </c>
      <c r="K92" s="484" t="str">
        <f aca="false">IF($E92="","",IFERROR(VLOOKUP($E92,PLANI_LLOGARIVE!$A:$I,9,FALSE()),""))</f>
        <v/>
      </c>
      <c r="L92" s="487" t="str">
        <f aca="false">IF($E92="","",$I92-$J92)</f>
        <v/>
      </c>
      <c r="M92" s="484" t="str">
        <f aca="false">IF($E92="","",IF($I92&gt;0,"DEBIT",IF($J92&gt;0,"KREDIT","ZERO")))</f>
        <v/>
      </c>
      <c r="N92" s="484" t="str">
        <f aca="false">IF($E92="","",TEXT($B92,"yyyymmdd")&amp;"-"&amp;TEXT(ROW(),"0000"))</f>
        <v/>
      </c>
      <c r="O92" s="101" t="str">
        <f aca="false">IF($E92="","",$E92&amp;"")</f>
        <v/>
      </c>
      <c r="P92" s="101" t="str">
        <f aca="false">IF(AND($O92&lt;&gt;"",$I92&lt;&gt;0),COUNTIFS($O$2:O92,$O92,$I$2:I92,"&gt;0"),"")</f>
        <v/>
      </c>
      <c r="Q92" s="101" t="str">
        <f aca="false">IF(AND($O92&lt;&gt;"",$J92&lt;&gt;0),COUNTIFS($O$2:O92,$O92,$J$2:J92,"&gt;0"),"")</f>
        <v/>
      </c>
      <c r="R92" s="101" t="str">
        <f aca="false">IF($P92="","",$O92&amp;"|"&amp;$P92)</f>
        <v/>
      </c>
      <c r="S92" s="101" t="str">
        <f aca="false">IF($Q92="","",$O92&amp;"|"&amp;$Q92)</f>
        <v/>
      </c>
      <c r="T92" s="101" t="str">
        <f aca="false">IF($O92="","",COUNTIF($O$2:O92,$O92))</f>
        <v/>
      </c>
      <c r="U92" s="101" t="str">
        <f aca="false">IF($O92="","",$O92&amp;"|"&amp;$T92)</f>
        <v/>
      </c>
      <c r="V92" s="488" t="n">
        <f aca="false">IF(OR(LEFT($D92,5)="MB-CL",LEFT($D92,6)="MB-RES"),0,$I92)</f>
        <v>0</v>
      </c>
      <c r="W92" s="488" t="n">
        <f aca="false">IF(OR(LEFT($D92,5)="MB-CL",LEFT($D92,6)="MB-RES"),0,$J92)</f>
        <v>0</v>
      </c>
      <c r="X92" s="101" t="str">
        <f aca="false">IF($E92="","",LEFT($E92,1))</f>
        <v/>
      </c>
      <c r="Y92" s="101" t="str">
        <f aca="false">IF($E92="","",LEFT($E92,2))</f>
        <v/>
      </c>
      <c r="Z92" s="101" t="str">
        <f aca="false">IF($E92="","",LEFT($E92,3))</f>
        <v/>
      </c>
      <c r="AA92" s="101" t="str">
        <f aca="false">IF($E92="","",LEFT($E92,4))</f>
        <v/>
      </c>
    </row>
    <row r="93" customFormat="false" ht="15" hidden="false" customHeight="true" outlineLevel="0" collapsed="false">
      <c r="A93" s="484" t="str">
        <f aca="false">IF(DITARI!$D97="","",ROW()-1)</f>
        <v/>
      </c>
      <c r="B93" s="485" t="str">
        <f aca="false">IF(DITARI!$D97="","",DITARI!$A97)</f>
        <v/>
      </c>
      <c r="C93" s="484" t="str">
        <f aca="false">IF(DITARI!$D97="","",DITARI!$B97)</f>
        <v/>
      </c>
      <c r="D93" s="484" t="str">
        <f aca="false">IF(DITARI!$D97="","",DITARI!$C97)</f>
        <v/>
      </c>
      <c r="E93" s="484" t="str">
        <f aca="false">IF(DITARI!$D97="","",TRIM(DITARI!$D97&amp;""))</f>
        <v/>
      </c>
      <c r="F93" s="484" t="str">
        <f aca="false">IF($E93="","",IFERROR(VLOOKUP($E93,PLANI_LLOGARIVE!$A:$I,2,FALSE()),DITARI!$E97))</f>
        <v/>
      </c>
      <c r="G93" s="484" t="str">
        <f aca="false">IF($E93="","",DITARI!$I97)</f>
        <v/>
      </c>
      <c r="H93" s="486" t="str">
        <f aca="false">IFERROR(IF($E93="","",DITARI!$H97),"")</f>
        <v/>
      </c>
      <c r="I93" s="487" t="n">
        <f aca="false">IF($E93="",0,IFERROR(DITARI!$F97,0))</f>
        <v>0</v>
      </c>
      <c r="J93" s="487" t="n">
        <f aca="false">IF($E93="",0,IFERROR(DITARI!$G97,0))</f>
        <v>0</v>
      </c>
      <c r="K93" s="484" t="str">
        <f aca="false">IF($E93="","",IFERROR(VLOOKUP($E93,PLANI_LLOGARIVE!$A:$I,9,FALSE()),""))</f>
        <v/>
      </c>
      <c r="L93" s="487" t="str">
        <f aca="false">IF($E93="","",$I93-$J93)</f>
        <v/>
      </c>
      <c r="M93" s="484" t="str">
        <f aca="false">IF($E93="","",IF($I93&gt;0,"DEBIT",IF($J93&gt;0,"KREDIT","ZERO")))</f>
        <v/>
      </c>
      <c r="N93" s="484" t="str">
        <f aca="false">IF($E93="","",TEXT($B93,"yyyymmdd")&amp;"-"&amp;TEXT(ROW(),"0000"))</f>
        <v/>
      </c>
      <c r="O93" s="101" t="str">
        <f aca="false">IF($E93="","",$E93&amp;"")</f>
        <v/>
      </c>
      <c r="P93" s="101" t="str">
        <f aca="false">IF(AND($O93&lt;&gt;"",$I93&lt;&gt;0),COUNTIFS($O$2:O93,$O93,$I$2:I93,"&gt;0"),"")</f>
        <v/>
      </c>
      <c r="Q93" s="101" t="str">
        <f aca="false">IF(AND($O93&lt;&gt;"",$J93&lt;&gt;0),COUNTIFS($O$2:O93,$O93,$J$2:J93,"&gt;0"),"")</f>
        <v/>
      </c>
      <c r="R93" s="101" t="str">
        <f aca="false">IF($P93="","",$O93&amp;"|"&amp;$P93)</f>
        <v/>
      </c>
      <c r="S93" s="101" t="str">
        <f aca="false">IF($Q93="","",$O93&amp;"|"&amp;$Q93)</f>
        <v/>
      </c>
      <c r="T93" s="101" t="str">
        <f aca="false">IF($O93="","",COUNTIF($O$2:O93,$O93))</f>
        <v/>
      </c>
      <c r="U93" s="101" t="str">
        <f aca="false">IF($O93="","",$O93&amp;"|"&amp;$T93)</f>
        <v/>
      </c>
      <c r="V93" s="488" t="n">
        <f aca="false">IF(OR(LEFT($D93,5)="MB-CL",LEFT($D93,6)="MB-RES"),0,$I93)</f>
        <v>0</v>
      </c>
      <c r="W93" s="488" t="n">
        <f aca="false">IF(OR(LEFT($D93,5)="MB-CL",LEFT($D93,6)="MB-RES"),0,$J93)</f>
        <v>0</v>
      </c>
      <c r="X93" s="101" t="str">
        <f aca="false">IF($E93="","",LEFT($E93,1))</f>
        <v/>
      </c>
      <c r="Y93" s="101" t="str">
        <f aca="false">IF($E93="","",LEFT($E93,2))</f>
        <v/>
      </c>
      <c r="Z93" s="101" t="str">
        <f aca="false">IF($E93="","",LEFT($E93,3))</f>
        <v/>
      </c>
      <c r="AA93" s="101" t="str">
        <f aca="false">IF($E93="","",LEFT($E93,4))</f>
        <v/>
      </c>
    </row>
    <row r="94" customFormat="false" ht="15" hidden="false" customHeight="true" outlineLevel="0" collapsed="false">
      <c r="A94" s="484" t="str">
        <f aca="false">IF(DITARI!$D98="","",ROW()-1)</f>
        <v/>
      </c>
      <c r="B94" s="485" t="str">
        <f aca="false">IF(DITARI!$D98="","",DITARI!$A98)</f>
        <v/>
      </c>
      <c r="C94" s="484" t="str">
        <f aca="false">IF(DITARI!$D98="","",DITARI!$B98)</f>
        <v/>
      </c>
      <c r="D94" s="484" t="str">
        <f aca="false">IF(DITARI!$D98="","",DITARI!$C98)</f>
        <v/>
      </c>
      <c r="E94" s="484" t="str">
        <f aca="false">IF(DITARI!$D98="","",TRIM(DITARI!$D98&amp;""))</f>
        <v/>
      </c>
      <c r="F94" s="484" t="str">
        <f aca="false">IF($E94="","",IFERROR(VLOOKUP($E94,PLANI_LLOGARIVE!$A:$I,2,FALSE()),DITARI!$E98))</f>
        <v/>
      </c>
      <c r="G94" s="484" t="str">
        <f aca="false">IF($E94="","",DITARI!$I98)</f>
        <v/>
      </c>
      <c r="H94" s="486" t="str">
        <f aca="false">IFERROR(IF($E94="","",DITARI!$H98),"")</f>
        <v/>
      </c>
      <c r="I94" s="487" t="n">
        <f aca="false">IF($E94="",0,IFERROR(DITARI!$F98,0))</f>
        <v>0</v>
      </c>
      <c r="J94" s="487" t="n">
        <f aca="false">IF($E94="",0,IFERROR(DITARI!$G98,0))</f>
        <v>0</v>
      </c>
      <c r="K94" s="484" t="str">
        <f aca="false">IF($E94="","",IFERROR(VLOOKUP($E94,PLANI_LLOGARIVE!$A:$I,9,FALSE()),""))</f>
        <v/>
      </c>
      <c r="L94" s="487" t="str">
        <f aca="false">IF($E94="","",$I94-$J94)</f>
        <v/>
      </c>
      <c r="M94" s="484" t="str">
        <f aca="false">IF($E94="","",IF($I94&gt;0,"DEBIT",IF($J94&gt;0,"KREDIT","ZERO")))</f>
        <v/>
      </c>
      <c r="N94" s="484" t="str">
        <f aca="false">IF($E94="","",TEXT($B94,"yyyymmdd")&amp;"-"&amp;TEXT(ROW(),"0000"))</f>
        <v/>
      </c>
      <c r="O94" s="101" t="str">
        <f aca="false">IF($E94="","",$E94&amp;"")</f>
        <v/>
      </c>
      <c r="P94" s="101" t="str">
        <f aca="false">IF(AND($O94&lt;&gt;"",$I94&lt;&gt;0),COUNTIFS($O$2:O94,$O94,$I$2:I94,"&gt;0"),"")</f>
        <v/>
      </c>
      <c r="Q94" s="101" t="str">
        <f aca="false">IF(AND($O94&lt;&gt;"",$J94&lt;&gt;0),COUNTIFS($O$2:O94,$O94,$J$2:J94,"&gt;0"),"")</f>
        <v/>
      </c>
      <c r="R94" s="101" t="str">
        <f aca="false">IF($P94="","",$O94&amp;"|"&amp;$P94)</f>
        <v/>
      </c>
      <c r="S94" s="101" t="str">
        <f aca="false">IF($Q94="","",$O94&amp;"|"&amp;$Q94)</f>
        <v/>
      </c>
      <c r="T94" s="101" t="str">
        <f aca="false">IF($O94="","",COUNTIF($O$2:O94,$O94))</f>
        <v/>
      </c>
      <c r="U94" s="101" t="str">
        <f aca="false">IF($O94="","",$O94&amp;"|"&amp;$T94)</f>
        <v/>
      </c>
      <c r="V94" s="488" t="n">
        <f aca="false">IF(OR(LEFT($D94,5)="MB-CL",LEFT($D94,6)="MB-RES"),0,$I94)</f>
        <v>0</v>
      </c>
      <c r="W94" s="488" t="n">
        <f aca="false">IF(OR(LEFT($D94,5)="MB-CL",LEFT($D94,6)="MB-RES"),0,$J94)</f>
        <v>0</v>
      </c>
      <c r="X94" s="101" t="str">
        <f aca="false">IF($E94="","",LEFT($E94,1))</f>
        <v/>
      </c>
      <c r="Y94" s="101" t="str">
        <f aca="false">IF($E94="","",LEFT($E94,2))</f>
        <v/>
      </c>
      <c r="Z94" s="101" t="str">
        <f aca="false">IF($E94="","",LEFT($E94,3))</f>
        <v/>
      </c>
      <c r="AA94" s="101" t="str">
        <f aca="false">IF($E94="","",LEFT($E94,4))</f>
        <v/>
      </c>
    </row>
    <row r="95" customFormat="false" ht="15" hidden="false" customHeight="true" outlineLevel="0" collapsed="false">
      <c r="A95" s="484" t="str">
        <f aca="false">IF(DITARI!$D99="","",ROW()-1)</f>
        <v/>
      </c>
      <c r="B95" s="485" t="str">
        <f aca="false">IF(DITARI!$D99="","",DITARI!$A99)</f>
        <v/>
      </c>
      <c r="C95" s="484" t="str">
        <f aca="false">IF(DITARI!$D99="","",DITARI!$B99)</f>
        <v/>
      </c>
      <c r="D95" s="484" t="str">
        <f aca="false">IF(DITARI!$D99="","",DITARI!$C99)</f>
        <v/>
      </c>
      <c r="E95" s="484" t="str">
        <f aca="false">IF(DITARI!$D99="","",TRIM(DITARI!$D99&amp;""))</f>
        <v/>
      </c>
      <c r="F95" s="484" t="str">
        <f aca="false">IF($E95="","",IFERROR(VLOOKUP($E95,PLANI_LLOGARIVE!$A:$I,2,FALSE()),DITARI!$E99))</f>
        <v/>
      </c>
      <c r="G95" s="484" t="str">
        <f aca="false">IF($E95="","",DITARI!$I99)</f>
        <v/>
      </c>
      <c r="H95" s="486" t="str">
        <f aca="false">IFERROR(IF($E95="","",DITARI!$H99),"")</f>
        <v/>
      </c>
      <c r="I95" s="487" t="n">
        <f aca="false">IF($E95="",0,IFERROR(DITARI!$F99,0))</f>
        <v>0</v>
      </c>
      <c r="J95" s="487" t="n">
        <f aca="false">IF($E95="",0,IFERROR(DITARI!$G99,0))</f>
        <v>0</v>
      </c>
      <c r="K95" s="484" t="str">
        <f aca="false">IF($E95="","",IFERROR(VLOOKUP($E95,PLANI_LLOGARIVE!$A:$I,9,FALSE()),""))</f>
        <v/>
      </c>
      <c r="L95" s="487" t="str">
        <f aca="false">IF($E95="","",$I95-$J95)</f>
        <v/>
      </c>
      <c r="M95" s="484" t="str">
        <f aca="false">IF($E95="","",IF($I95&gt;0,"DEBIT",IF($J95&gt;0,"KREDIT","ZERO")))</f>
        <v/>
      </c>
      <c r="N95" s="484" t="str">
        <f aca="false">IF($E95="","",TEXT($B95,"yyyymmdd")&amp;"-"&amp;TEXT(ROW(),"0000"))</f>
        <v/>
      </c>
      <c r="O95" s="101" t="str">
        <f aca="false">IF($E95="","",$E95&amp;"")</f>
        <v/>
      </c>
      <c r="P95" s="101" t="str">
        <f aca="false">IF(AND($O95&lt;&gt;"",$I95&lt;&gt;0),COUNTIFS($O$2:O95,$O95,$I$2:I95,"&gt;0"),"")</f>
        <v/>
      </c>
      <c r="Q95" s="101" t="str">
        <f aca="false">IF(AND($O95&lt;&gt;"",$J95&lt;&gt;0),COUNTIFS($O$2:O95,$O95,$J$2:J95,"&gt;0"),"")</f>
        <v/>
      </c>
      <c r="R95" s="101" t="str">
        <f aca="false">IF($P95="","",$O95&amp;"|"&amp;$P95)</f>
        <v/>
      </c>
      <c r="S95" s="101" t="str">
        <f aca="false">IF($Q95="","",$O95&amp;"|"&amp;$Q95)</f>
        <v/>
      </c>
      <c r="T95" s="101" t="str">
        <f aca="false">IF($O95="","",COUNTIF($O$2:O95,$O95))</f>
        <v/>
      </c>
      <c r="U95" s="101" t="str">
        <f aca="false">IF($O95="","",$O95&amp;"|"&amp;$T95)</f>
        <v/>
      </c>
      <c r="V95" s="488" t="n">
        <f aca="false">IF(OR(LEFT($D95,5)="MB-CL",LEFT($D95,6)="MB-RES"),0,$I95)</f>
        <v>0</v>
      </c>
      <c r="W95" s="488" t="n">
        <f aca="false">IF(OR(LEFT($D95,5)="MB-CL",LEFT($D95,6)="MB-RES"),0,$J95)</f>
        <v>0</v>
      </c>
      <c r="X95" s="101" t="str">
        <f aca="false">IF($E95="","",LEFT($E95,1))</f>
        <v/>
      </c>
      <c r="Y95" s="101" t="str">
        <f aca="false">IF($E95="","",LEFT($E95,2))</f>
        <v/>
      </c>
      <c r="Z95" s="101" t="str">
        <f aca="false">IF($E95="","",LEFT($E95,3))</f>
        <v/>
      </c>
      <c r="AA95" s="101" t="str">
        <f aca="false">IF($E95="","",LEFT($E95,4))</f>
        <v/>
      </c>
    </row>
    <row r="96" customFormat="false" ht="15" hidden="false" customHeight="true" outlineLevel="0" collapsed="false">
      <c r="A96" s="484" t="str">
        <f aca="false">IF(DITARI!$D100="","",ROW()-1)</f>
        <v/>
      </c>
      <c r="B96" s="485" t="str">
        <f aca="false">IF(DITARI!$D100="","",DITARI!$A100)</f>
        <v/>
      </c>
      <c r="C96" s="484" t="str">
        <f aca="false">IF(DITARI!$D100="","",DITARI!$B100)</f>
        <v/>
      </c>
      <c r="D96" s="484" t="str">
        <f aca="false">IF(DITARI!$D100="","",DITARI!$C100)</f>
        <v/>
      </c>
      <c r="E96" s="484" t="str">
        <f aca="false">IF(DITARI!$D100="","",TRIM(DITARI!$D100&amp;""))</f>
        <v/>
      </c>
      <c r="F96" s="484" t="str">
        <f aca="false">IF($E96="","",IFERROR(VLOOKUP($E96,PLANI_LLOGARIVE!$A:$I,2,FALSE()),DITARI!$E100))</f>
        <v/>
      </c>
      <c r="G96" s="484" t="str">
        <f aca="false">IF($E96="","",DITARI!$I100)</f>
        <v/>
      </c>
      <c r="H96" s="486" t="str">
        <f aca="false">IFERROR(IF($E96="","",DITARI!$H100),"")</f>
        <v/>
      </c>
      <c r="I96" s="487" t="n">
        <f aca="false">IF($E96="",0,IFERROR(DITARI!$F100,0))</f>
        <v>0</v>
      </c>
      <c r="J96" s="487" t="n">
        <f aca="false">IF($E96="",0,IFERROR(DITARI!$G100,0))</f>
        <v>0</v>
      </c>
      <c r="K96" s="484" t="str">
        <f aca="false">IF($E96="","",IFERROR(VLOOKUP($E96,PLANI_LLOGARIVE!$A:$I,9,FALSE()),""))</f>
        <v/>
      </c>
      <c r="L96" s="487" t="str">
        <f aca="false">IF($E96="","",$I96-$J96)</f>
        <v/>
      </c>
      <c r="M96" s="484" t="str">
        <f aca="false">IF($E96="","",IF($I96&gt;0,"DEBIT",IF($J96&gt;0,"KREDIT","ZERO")))</f>
        <v/>
      </c>
      <c r="N96" s="484" t="str">
        <f aca="false">IF($E96="","",TEXT($B96,"yyyymmdd")&amp;"-"&amp;TEXT(ROW(),"0000"))</f>
        <v/>
      </c>
      <c r="O96" s="101" t="str">
        <f aca="false">IF($E96="","",$E96&amp;"")</f>
        <v/>
      </c>
      <c r="P96" s="101" t="str">
        <f aca="false">IF(AND($O96&lt;&gt;"",$I96&lt;&gt;0),COUNTIFS($O$2:O96,$O96,$I$2:I96,"&gt;0"),"")</f>
        <v/>
      </c>
      <c r="Q96" s="101" t="str">
        <f aca="false">IF(AND($O96&lt;&gt;"",$J96&lt;&gt;0),COUNTIFS($O$2:O96,$O96,$J$2:J96,"&gt;0"),"")</f>
        <v/>
      </c>
      <c r="R96" s="101" t="str">
        <f aca="false">IF($P96="","",$O96&amp;"|"&amp;$P96)</f>
        <v/>
      </c>
      <c r="S96" s="101" t="str">
        <f aca="false">IF($Q96="","",$O96&amp;"|"&amp;$Q96)</f>
        <v/>
      </c>
      <c r="T96" s="101" t="str">
        <f aca="false">IF($O96="","",COUNTIF($O$2:O96,$O96))</f>
        <v/>
      </c>
      <c r="U96" s="101" t="str">
        <f aca="false">IF($O96="","",$O96&amp;"|"&amp;$T96)</f>
        <v/>
      </c>
      <c r="V96" s="488" t="n">
        <f aca="false">IF(OR(LEFT($D96,5)="MB-CL",LEFT($D96,6)="MB-RES"),0,$I96)</f>
        <v>0</v>
      </c>
      <c r="W96" s="488" t="n">
        <f aca="false">IF(OR(LEFT($D96,5)="MB-CL",LEFT($D96,6)="MB-RES"),0,$J96)</f>
        <v>0</v>
      </c>
      <c r="X96" s="101" t="str">
        <f aca="false">IF($E96="","",LEFT($E96,1))</f>
        <v/>
      </c>
      <c r="Y96" s="101" t="str">
        <f aca="false">IF($E96="","",LEFT($E96,2))</f>
        <v/>
      </c>
      <c r="Z96" s="101" t="str">
        <f aca="false">IF($E96="","",LEFT($E96,3))</f>
        <v/>
      </c>
      <c r="AA96" s="101" t="str">
        <f aca="false">IF($E96="","",LEFT($E96,4))</f>
        <v/>
      </c>
    </row>
    <row r="97" customFormat="false" ht="15" hidden="false" customHeight="true" outlineLevel="0" collapsed="false">
      <c r="A97" s="484" t="str">
        <f aca="false">IF(DITARI!$D101="","",ROW()-1)</f>
        <v/>
      </c>
      <c r="B97" s="485" t="str">
        <f aca="false">IF(DITARI!$D101="","",DITARI!$A101)</f>
        <v/>
      </c>
      <c r="C97" s="484" t="str">
        <f aca="false">IF(DITARI!$D101="","",DITARI!$B101)</f>
        <v/>
      </c>
      <c r="D97" s="484" t="str">
        <f aca="false">IF(DITARI!$D101="","",DITARI!$C101)</f>
        <v/>
      </c>
      <c r="E97" s="484" t="str">
        <f aca="false">IF(DITARI!$D101="","",TRIM(DITARI!$D101&amp;""))</f>
        <v/>
      </c>
      <c r="F97" s="484" t="str">
        <f aca="false">IF($E97="","",IFERROR(VLOOKUP($E97,PLANI_LLOGARIVE!$A:$I,2,FALSE()),DITARI!$E101))</f>
        <v/>
      </c>
      <c r="G97" s="484" t="str">
        <f aca="false">IF($E97="","",DITARI!$I101)</f>
        <v/>
      </c>
      <c r="H97" s="486" t="str">
        <f aca="false">IFERROR(IF($E97="","",DITARI!$H101),"")</f>
        <v/>
      </c>
      <c r="I97" s="487" t="n">
        <f aca="false">IF($E97="",0,IFERROR(DITARI!$F101,0))</f>
        <v>0</v>
      </c>
      <c r="J97" s="487" t="n">
        <f aca="false">IF($E97="",0,IFERROR(DITARI!$G101,0))</f>
        <v>0</v>
      </c>
      <c r="K97" s="484" t="str">
        <f aca="false">IF($E97="","",IFERROR(VLOOKUP($E97,PLANI_LLOGARIVE!$A:$I,9,FALSE()),""))</f>
        <v/>
      </c>
      <c r="L97" s="487" t="str">
        <f aca="false">IF($E97="","",$I97-$J97)</f>
        <v/>
      </c>
      <c r="M97" s="484" t="str">
        <f aca="false">IF($E97="","",IF($I97&gt;0,"DEBIT",IF($J97&gt;0,"KREDIT","ZERO")))</f>
        <v/>
      </c>
      <c r="N97" s="484" t="str">
        <f aca="false">IF($E97="","",TEXT($B97,"yyyymmdd")&amp;"-"&amp;TEXT(ROW(),"0000"))</f>
        <v/>
      </c>
      <c r="O97" s="101" t="str">
        <f aca="false">IF($E97="","",$E97&amp;"")</f>
        <v/>
      </c>
      <c r="P97" s="101" t="str">
        <f aca="false">IF(AND($O97&lt;&gt;"",$I97&lt;&gt;0),COUNTIFS($O$2:O97,$O97,$I$2:I97,"&gt;0"),"")</f>
        <v/>
      </c>
      <c r="Q97" s="101" t="str">
        <f aca="false">IF(AND($O97&lt;&gt;"",$J97&lt;&gt;0),COUNTIFS($O$2:O97,$O97,$J$2:J97,"&gt;0"),"")</f>
        <v/>
      </c>
      <c r="R97" s="101" t="str">
        <f aca="false">IF($P97="","",$O97&amp;"|"&amp;$P97)</f>
        <v/>
      </c>
      <c r="S97" s="101" t="str">
        <f aca="false">IF($Q97="","",$O97&amp;"|"&amp;$Q97)</f>
        <v/>
      </c>
      <c r="T97" s="101" t="str">
        <f aca="false">IF($O97="","",COUNTIF($O$2:O97,$O97))</f>
        <v/>
      </c>
      <c r="U97" s="101" t="str">
        <f aca="false">IF($O97="","",$O97&amp;"|"&amp;$T97)</f>
        <v/>
      </c>
      <c r="V97" s="488" t="n">
        <f aca="false">IF(OR(LEFT($D97,5)="MB-CL",LEFT($D97,6)="MB-RES"),0,$I97)</f>
        <v>0</v>
      </c>
      <c r="W97" s="488" t="n">
        <f aca="false">IF(OR(LEFT($D97,5)="MB-CL",LEFT($D97,6)="MB-RES"),0,$J97)</f>
        <v>0</v>
      </c>
      <c r="X97" s="101" t="str">
        <f aca="false">IF($E97="","",LEFT($E97,1))</f>
        <v/>
      </c>
      <c r="Y97" s="101" t="str">
        <f aca="false">IF($E97="","",LEFT($E97,2))</f>
        <v/>
      </c>
      <c r="Z97" s="101" t="str">
        <f aca="false">IF($E97="","",LEFT($E97,3))</f>
        <v/>
      </c>
      <c r="AA97" s="101" t="str">
        <f aca="false">IF($E97="","",LEFT($E97,4))</f>
        <v/>
      </c>
    </row>
    <row r="98" customFormat="false" ht="15" hidden="false" customHeight="true" outlineLevel="0" collapsed="false">
      <c r="A98" s="484" t="str">
        <f aca="false">IF(DITARI!$D102="","",ROW()-1)</f>
        <v/>
      </c>
      <c r="B98" s="485" t="str">
        <f aca="false">IF(DITARI!$D102="","",DITARI!$A102)</f>
        <v/>
      </c>
      <c r="C98" s="484" t="str">
        <f aca="false">IF(DITARI!$D102="","",DITARI!$B102)</f>
        <v/>
      </c>
      <c r="D98" s="484" t="str">
        <f aca="false">IF(DITARI!$D102="","",DITARI!$C102)</f>
        <v/>
      </c>
      <c r="E98" s="484" t="str">
        <f aca="false">IF(DITARI!$D102="","",TRIM(DITARI!$D102&amp;""))</f>
        <v/>
      </c>
      <c r="F98" s="484" t="str">
        <f aca="false">IF($E98="","",IFERROR(VLOOKUP($E98,PLANI_LLOGARIVE!$A:$I,2,FALSE()),DITARI!$E102))</f>
        <v/>
      </c>
      <c r="G98" s="484" t="str">
        <f aca="false">IF($E98="","",DITARI!$I102)</f>
        <v/>
      </c>
      <c r="H98" s="486" t="str">
        <f aca="false">IFERROR(IF($E98="","",DITARI!$H102),"")</f>
        <v/>
      </c>
      <c r="I98" s="487" t="n">
        <f aca="false">IF($E98="",0,IFERROR(DITARI!$F102,0))</f>
        <v>0</v>
      </c>
      <c r="J98" s="487" t="n">
        <f aca="false">IF($E98="",0,IFERROR(DITARI!$G102,0))</f>
        <v>0</v>
      </c>
      <c r="K98" s="484" t="str">
        <f aca="false">IF($E98="","",IFERROR(VLOOKUP($E98,PLANI_LLOGARIVE!$A:$I,9,FALSE()),""))</f>
        <v/>
      </c>
      <c r="L98" s="487" t="str">
        <f aca="false">IF($E98="","",$I98-$J98)</f>
        <v/>
      </c>
      <c r="M98" s="484" t="str">
        <f aca="false">IF($E98="","",IF($I98&gt;0,"DEBIT",IF($J98&gt;0,"KREDIT","ZERO")))</f>
        <v/>
      </c>
      <c r="N98" s="484" t="str">
        <f aca="false">IF($E98="","",TEXT($B98,"yyyymmdd")&amp;"-"&amp;TEXT(ROW(),"0000"))</f>
        <v/>
      </c>
      <c r="O98" s="101" t="str">
        <f aca="false">IF($E98="","",$E98&amp;"")</f>
        <v/>
      </c>
      <c r="P98" s="101" t="str">
        <f aca="false">IF(AND($O98&lt;&gt;"",$I98&lt;&gt;0),COUNTIFS($O$2:O98,$O98,$I$2:I98,"&gt;0"),"")</f>
        <v/>
      </c>
      <c r="Q98" s="101" t="str">
        <f aca="false">IF(AND($O98&lt;&gt;"",$J98&lt;&gt;0),COUNTIFS($O$2:O98,$O98,$J$2:J98,"&gt;0"),"")</f>
        <v/>
      </c>
      <c r="R98" s="101" t="str">
        <f aca="false">IF($P98="","",$O98&amp;"|"&amp;$P98)</f>
        <v/>
      </c>
      <c r="S98" s="101" t="str">
        <f aca="false">IF($Q98="","",$O98&amp;"|"&amp;$Q98)</f>
        <v/>
      </c>
      <c r="T98" s="101" t="str">
        <f aca="false">IF($O98="","",COUNTIF($O$2:O98,$O98))</f>
        <v/>
      </c>
      <c r="U98" s="101" t="str">
        <f aca="false">IF($O98="","",$O98&amp;"|"&amp;$T98)</f>
        <v/>
      </c>
      <c r="V98" s="488" t="n">
        <f aca="false">IF(OR(LEFT($D98,5)="MB-CL",LEFT($D98,6)="MB-RES"),0,$I98)</f>
        <v>0</v>
      </c>
      <c r="W98" s="488" t="n">
        <f aca="false">IF(OR(LEFT($D98,5)="MB-CL",LEFT($D98,6)="MB-RES"),0,$J98)</f>
        <v>0</v>
      </c>
      <c r="X98" s="101" t="str">
        <f aca="false">IF($E98="","",LEFT($E98,1))</f>
        <v/>
      </c>
      <c r="Y98" s="101" t="str">
        <f aca="false">IF($E98="","",LEFT($E98,2))</f>
        <v/>
      </c>
      <c r="Z98" s="101" t="str">
        <f aca="false">IF($E98="","",LEFT($E98,3))</f>
        <v/>
      </c>
      <c r="AA98" s="101" t="str">
        <f aca="false">IF($E98="","",LEFT($E98,4))</f>
        <v/>
      </c>
    </row>
    <row r="99" customFormat="false" ht="15" hidden="false" customHeight="true" outlineLevel="0" collapsed="false">
      <c r="A99" s="484" t="str">
        <f aca="false">IF(DITARI!$D103="","",ROW()-1)</f>
        <v/>
      </c>
      <c r="B99" s="485" t="str">
        <f aca="false">IF(DITARI!$D103="","",DITARI!$A103)</f>
        <v/>
      </c>
      <c r="C99" s="484" t="str">
        <f aca="false">IF(DITARI!$D103="","",DITARI!$B103)</f>
        <v/>
      </c>
      <c r="D99" s="484" t="str">
        <f aca="false">IF(DITARI!$D103="","",DITARI!$C103)</f>
        <v/>
      </c>
      <c r="E99" s="484" t="str">
        <f aca="false">IF(DITARI!$D103="","",TRIM(DITARI!$D103&amp;""))</f>
        <v/>
      </c>
      <c r="F99" s="484" t="str">
        <f aca="false">IF($E99="","",IFERROR(VLOOKUP($E99,PLANI_LLOGARIVE!$A:$I,2,FALSE()),DITARI!$E103))</f>
        <v/>
      </c>
      <c r="G99" s="484" t="str">
        <f aca="false">IF($E99="","",DITARI!$I103)</f>
        <v/>
      </c>
      <c r="H99" s="486" t="str">
        <f aca="false">IFERROR(IF($E99="","",DITARI!$H103),"")</f>
        <v/>
      </c>
      <c r="I99" s="487" t="n">
        <f aca="false">IF($E99="",0,IFERROR(DITARI!$F103,0))</f>
        <v>0</v>
      </c>
      <c r="J99" s="487" t="n">
        <f aca="false">IF($E99="",0,IFERROR(DITARI!$G103,0))</f>
        <v>0</v>
      </c>
      <c r="K99" s="484" t="str">
        <f aca="false">IF($E99="","",IFERROR(VLOOKUP($E99,PLANI_LLOGARIVE!$A:$I,9,FALSE()),""))</f>
        <v/>
      </c>
      <c r="L99" s="487" t="str">
        <f aca="false">IF($E99="","",$I99-$J99)</f>
        <v/>
      </c>
      <c r="M99" s="484" t="str">
        <f aca="false">IF($E99="","",IF($I99&gt;0,"DEBIT",IF($J99&gt;0,"KREDIT","ZERO")))</f>
        <v/>
      </c>
      <c r="N99" s="484" t="str">
        <f aca="false">IF($E99="","",TEXT($B99,"yyyymmdd")&amp;"-"&amp;TEXT(ROW(),"0000"))</f>
        <v/>
      </c>
      <c r="O99" s="101" t="str">
        <f aca="false">IF($E99="","",$E99&amp;"")</f>
        <v/>
      </c>
      <c r="P99" s="101" t="str">
        <f aca="false">IF(AND($O99&lt;&gt;"",$I99&lt;&gt;0),COUNTIFS($O$2:O99,$O99,$I$2:I99,"&gt;0"),"")</f>
        <v/>
      </c>
      <c r="Q99" s="101" t="str">
        <f aca="false">IF(AND($O99&lt;&gt;"",$J99&lt;&gt;0),COUNTIFS($O$2:O99,$O99,$J$2:J99,"&gt;0"),"")</f>
        <v/>
      </c>
      <c r="R99" s="101" t="str">
        <f aca="false">IF($P99="","",$O99&amp;"|"&amp;$P99)</f>
        <v/>
      </c>
      <c r="S99" s="101" t="str">
        <f aca="false">IF($Q99="","",$O99&amp;"|"&amp;$Q99)</f>
        <v/>
      </c>
      <c r="T99" s="101" t="str">
        <f aca="false">IF($O99="","",COUNTIF($O$2:O99,$O99))</f>
        <v/>
      </c>
      <c r="U99" s="101" t="str">
        <f aca="false">IF($O99="","",$O99&amp;"|"&amp;$T99)</f>
        <v/>
      </c>
      <c r="V99" s="488" t="n">
        <f aca="false">IF(OR(LEFT($D99,5)="MB-CL",LEFT($D99,6)="MB-RES"),0,$I99)</f>
        <v>0</v>
      </c>
      <c r="W99" s="488" t="n">
        <f aca="false">IF(OR(LEFT($D99,5)="MB-CL",LEFT($D99,6)="MB-RES"),0,$J99)</f>
        <v>0</v>
      </c>
      <c r="X99" s="101" t="str">
        <f aca="false">IF($E99="","",LEFT($E99,1))</f>
        <v/>
      </c>
      <c r="Y99" s="101" t="str">
        <f aca="false">IF($E99="","",LEFT($E99,2))</f>
        <v/>
      </c>
      <c r="Z99" s="101" t="str">
        <f aca="false">IF($E99="","",LEFT($E99,3))</f>
        <v/>
      </c>
      <c r="AA99" s="101" t="str">
        <f aca="false">IF($E99="","",LEFT($E99,4))</f>
        <v/>
      </c>
    </row>
    <row r="100" customFormat="false" ht="15" hidden="false" customHeight="true" outlineLevel="0" collapsed="false">
      <c r="A100" s="484" t="str">
        <f aca="false">IF(DITARI!$D104="","",ROW()-1)</f>
        <v/>
      </c>
      <c r="B100" s="485" t="str">
        <f aca="false">IF(DITARI!$D104="","",DITARI!$A104)</f>
        <v/>
      </c>
      <c r="C100" s="484" t="str">
        <f aca="false">IF(DITARI!$D104="","",DITARI!$B104)</f>
        <v/>
      </c>
      <c r="D100" s="484" t="str">
        <f aca="false">IF(DITARI!$D104="","",DITARI!$C104)</f>
        <v/>
      </c>
      <c r="E100" s="484" t="str">
        <f aca="false">IF(DITARI!$D104="","",TRIM(DITARI!$D104&amp;""))</f>
        <v/>
      </c>
      <c r="F100" s="484" t="str">
        <f aca="false">IF($E100="","",IFERROR(VLOOKUP($E100,PLANI_LLOGARIVE!$A:$I,2,FALSE()),DITARI!$E104))</f>
        <v/>
      </c>
      <c r="G100" s="484" t="str">
        <f aca="false">IF($E100="","",DITARI!$I104)</f>
        <v/>
      </c>
      <c r="H100" s="486" t="str">
        <f aca="false">IFERROR(IF($E100="","",DITARI!$H104),"")</f>
        <v/>
      </c>
      <c r="I100" s="487" t="n">
        <f aca="false">IF($E100="",0,IFERROR(DITARI!$F104,0))</f>
        <v>0</v>
      </c>
      <c r="J100" s="487" t="n">
        <f aca="false">IF($E100="",0,IFERROR(DITARI!$G104,0))</f>
        <v>0</v>
      </c>
      <c r="K100" s="484" t="str">
        <f aca="false">IF($E100="","",IFERROR(VLOOKUP($E100,PLANI_LLOGARIVE!$A:$I,9,FALSE()),""))</f>
        <v/>
      </c>
      <c r="L100" s="487" t="str">
        <f aca="false">IF($E100="","",$I100-$J100)</f>
        <v/>
      </c>
      <c r="M100" s="484" t="str">
        <f aca="false">IF($E100="","",IF($I100&gt;0,"DEBIT",IF($J100&gt;0,"KREDIT","ZERO")))</f>
        <v/>
      </c>
      <c r="N100" s="484" t="str">
        <f aca="false">IF($E100="","",TEXT($B100,"yyyymmdd")&amp;"-"&amp;TEXT(ROW(),"0000"))</f>
        <v/>
      </c>
      <c r="O100" s="101" t="str">
        <f aca="false">IF($E100="","",$E100&amp;"")</f>
        <v/>
      </c>
      <c r="P100" s="101" t="str">
        <f aca="false">IF(AND($O100&lt;&gt;"",$I100&lt;&gt;0),COUNTIFS($O$2:O100,$O100,$I$2:I100,"&gt;0"),"")</f>
        <v/>
      </c>
      <c r="Q100" s="101" t="str">
        <f aca="false">IF(AND($O100&lt;&gt;"",$J100&lt;&gt;0),COUNTIFS($O$2:O100,$O100,$J$2:J100,"&gt;0"),"")</f>
        <v/>
      </c>
      <c r="R100" s="101" t="str">
        <f aca="false">IF($P100="","",$O100&amp;"|"&amp;$P100)</f>
        <v/>
      </c>
      <c r="S100" s="101" t="str">
        <f aca="false">IF($Q100="","",$O100&amp;"|"&amp;$Q100)</f>
        <v/>
      </c>
      <c r="T100" s="101" t="str">
        <f aca="false">IF($O100="","",COUNTIF($O$2:O100,$O100))</f>
        <v/>
      </c>
      <c r="U100" s="101" t="str">
        <f aca="false">IF($O100="","",$O100&amp;"|"&amp;$T100)</f>
        <v/>
      </c>
      <c r="V100" s="488" t="n">
        <f aca="false">IF(OR(LEFT($D100,5)="MB-CL",LEFT($D100,6)="MB-RES"),0,$I100)</f>
        <v>0</v>
      </c>
      <c r="W100" s="488" t="n">
        <f aca="false">IF(OR(LEFT($D100,5)="MB-CL",LEFT($D100,6)="MB-RES"),0,$J100)</f>
        <v>0</v>
      </c>
      <c r="X100" s="101" t="str">
        <f aca="false">IF($E100="","",LEFT($E100,1))</f>
        <v/>
      </c>
      <c r="Y100" s="101" t="str">
        <f aca="false">IF($E100="","",LEFT($E100,2))</f>
        <v/>
      </c>
      <c r="Z100" s="101" t="str">
        <f aca="false">IF($E100="","",LEFT($E100,3))</f>
        <v/>
      </c>
      <c r="AA100" s="101" t="str">
        <f aca="false">IF($E100="","",LEFT($E100,4))</f>
        <v/>
      </c>
    </row>
    <row r="101" customFormat="false" ht="15" hidden="false" customHeight="true" outlineLevel="0" collapsed="false">
      <c r="A101" s="484" t="str">
        <f aca="false">IF(DITARI!$D105="","",ROW()-1)</f>
        <v/>
      </c>
      <c r="B101" s="485" t="str">
        <f aca="false">IF(DITARI!$D105="","",DITARI!$A105)</f>
        <v/>
      </c>
      <c r="C101" s="484" t="str">
        <f aca="false">IF(DITARI!$D105="","",DITARI!$B105)</f>
        <v/>
      </c>
      <c r="D101" s="484" t="str">
        <f aca="false">IF(DITARI!$D105="","",DITARI!$C105)</f>
        <v/>
      </c>
      <c r="E101" s="484" t="str">
        <f aca="false">IF(DITARI!$D105="","",TRIM(DITARI!$D105&amp;""))</f>
        <v/>
      </c>
      <c r="F101" s="484" t="str">
        <f aca="false">IF($E101="","",IFERROR(VLOOKUP($E101,PLANI_LLOGARIVE!$A:$I,2,FALSE()),DITARI!$E105))</f>
        <v/>
      </c>
      <c r="G101" s="484" t="str">
        <f aca="false">IF($E101="","",DITARI!$I105)</f>
        <v/>
      </c>
      <c r="H101" s="486" t="str">
        <f aca="false">IFERROR(IF($E101="","",DITARI!$H105),"")</f>
        <v/>
      </c>
      <c r="I101" s="487" t="n">
        <f aca="false">IF($E101="",0,IFERROR(DITARI!$F105,0))</f>
        <v>0</v>
      </c>
      <c r="J101" s="487" t="n">
        <f aca="false">IF($E101="",0,IFERROR(DITARI!$G105,0))</f>
        <v>0</v>
      </c>
      <c r="K101" s="484" t="str">
        <f aca="false">IF($E101="","",IFERROR(VLOOKUP($E101,PLANI_LLOGARIVE!$A:$I,9,FALSE()),""))</f>
        <v/>
      </c>
      <c r="L101" s="487" t="str">
        <f aca="false">IF($E101="","",$I101-$J101)</f>
        <v/>
      </c>
      <c r="M101" s="484" t="str">
        <f aca="false">IF($E101="","",IF($I101&gt;0,"DEBIT",IF($J101&gt;0,"KREDIT","ZERO")))</f>
        <v/>
      </c>
      <c r="N101" s="484" t="str">
        <f aca="false">IF($E101="","",TEXT($B101,"yyyymmdd")&amp;"-"&amp;TEXT(ROW(),"0000"))</f>
        <v/>
      </c>
      <c r="O101" s="101" t="str">
        <f aca="false">IF($E101="","",$E101&amp;"")</f>
        <v/>
      </c>
      <c r="P101" s="101" t="str">
        <f aca="false">IF(AND($O101&lt;&gt;"",$I101&lt;&gt;0),COUNTIFS($O$2:O101,$O101,$I$2:I101,"&gt;0"),"")</f>
        <v/>
      </c>
      <c r="Q101" s="101" t="str">
        <f aca="false">IF(AND($O101&lt;&gt;"",$J101&lt;&gt;0),COUNTIFS($O$2:O101,$O101,$J$2:J101,"&gt;0"),"")</f>
        <v/>
      </c>
      <c r="R101" s="101" t="str">
        <f aca="false">IF($P101="","",$O101&amp;"|"&amp;$P101)</f>
        <v/>
      </c>
      <c r="S101" s="101" t="str">
        <f aca="false">IF($Q101="","",$O101&amp;"|"&amp;$Q101)</f>
        <v/>
      </c>
      <c r="T101" s="101" t="str">
        <f aca="false">IF($O101="","",COUNTIF($O$2:O101,$O101))</f>
        <v/>
      </c>
      <c r="U101" s="101" t="str">
        <f aca="false">IF($O101="","",$O101&amp;"|"&amp;$T101)</f>
        <v/>
      </c>
      <c r="V101" s="488" t="n">
        <f aca="false">IF(OR(LEFT($D101,5)="MB-CL",LEFT($D101,6)="MB-RES"),0,$I101)</f>
        <v>0</v>
      </c>
      <c r="W101" s="488" t="n">
        <f aca="false">IF(OR(LEFT($D101,5)="MB-CL",LEFT($D101,6)="MB-RES"),0,$J101)</f>
        <v>0</v>
      </c>
      <c r="X101" s="101" t="str">
        <f aca="false">IF($E101="","",LEFT($E101,1))</f>
        <v/>
      </c>
      <c r="Y101" s="101" t="str">
        <f aca="false">IF($E101="","",LEFT($E101,2))</f>
        <v/>
      </c>
      <c r="Z101" s="101" t="str">
        <f aca="false">IF($E101="","",LEFT($E101,3))</f>
        <v/>
      </c>
      <c r="AA101" s="101" t="str">
        <f aca="false">IF($E101="","",LEFT($E101,4))</f>
        <v/>
      </c>
    </row>
    <row r="102" customFormat="false" ht="15" hidden="false" customHeight="true" outlineLevel="0" collapsed="false">
      <c r="A102" s="484" t="str">
        <f aca="false">IF(DITARI!$D106="","",ROW()-1)</f>
        <v/>
      </c>
      <c r="B102" s="485" t="str">
        <f aca="false">IF(DITARI!$D106="","",DITARI!$A106)</f>
        <v/>
      </c>
      <c r="C102" s="484" t="str">
        <f aca="false">IF(DITARI!$D106="","",DITARI!$B106)</f>
        <v/>
      </c>
      <c r="D102" s="484" t="str">
        <f aca="false">IF(DITARI!$D106="","",DITARI!$C106)</f>
        <v/>
      </c>
      <c r="E102" s="484" t="str">
        <f aca="false">IF(DITARI!$D106="","",TRIM(DITARI!$D106&amp;""))</f>
        <v/>
      </c>
      <c r="F102" s="484" t="str">
        <f aca="false">IF($E102="","",IFERROR(VLOOKUP($E102,PLANI_LLOGARIVE!$A:$I,2,FALSE()),DITARI!$E106))</f>
        <v/>
      </c>
      <c r="G102" s="484" t="str">
        <f aca="false">IF($E102="","",DITARI!$I106)</f>
        <v/>
      </c>
      <c r="H102" s="486" t="str">
        <f aca="false">IFERROR(IF($E102="","",DITARI!$H106),"")</f>
        <v/>
      </c>
      <c r="I102" s="487" t="n">
        <f aca="false">IF($E102="",0,IFERROR(DITARI!$F106,0))</f>
        <v>0</v>
      </c>
      <c r="J102" s="487" t="n">
        <f aca="false">IF($E102="",0,IFERROR(DITARI!$G106,0))</f>
        <v>0</v>
      </c>
      <c r="K102" s="484" t="str">
        <f aca="false">IF($E102="","",IFERROR(VLOOKUP($E102,PLANI_LLOGARIVE!$A:$I,9,FALSE()),""))</f>
        <v/>
      </c>
      <c r="L102" s="487" t="str">
        <f aca="false">IF($E102="","",$I102-$J102)</f>
        <v/>
      </c>
      <c r="M102" s="484" t="str">
        <f aca="false">IF($E102="","",IF($I102&gt;0,"DEBIT",IF($J102&gt;0,"KREDIT","ZERO")))</f>
        <v/>
      </c>
      <c r="N102" s="484" t="str">
        <f aca="false">IF($E102="","",TEXT($B102,"yyyymmdd")&amp;"-"&amp;TEXT(ROW(),"0000"))</f>
        <v/>
      </c>
      <c r="O102" s="101" t="str">
        <f aca="false">IF($E102="","",$E102&amp;"")</f>
        <v/>
      </c>
      <c r="P102" s="101" t="str">
        <f aca="false">IF(AND($O102&lt;&gt;"",$I102&lt;&gt;0),COUNTIFS($O$2:O102,$O102,$I$2:I102,"&gt;0"),"")</f>
        <v/>
      </c>
      <c r="Q102" s="101" t="str">
        <f aca="false">IF(AND($O102&lt;&gt;"",$J102&lt;&gt;0),COUNTIFS($O$2:O102,$O102,$J$2:J102,"&gt;0"),"")</f>
        <v/>
      </c>
      <c r="R102" s="101" t="str">
        <f aca="false">IF($P102="","",$O102&amp;"|"&amp;$P102)</f>
        <v/>
      </c>
      <c r="S102" s="101" t="str">
        <f aca="false">IF($Q102="","",$O102&amp;"|"&amp;$Q102)</f>
        <v/>
      </c>
      <c r="T102" s="101" t="str">
        <f aca="false">IF($O102="","",COUNTIF($O$2:O102,$O102))</f>
        <v/>
      </c>
      <c r="U102" s="101" t="str">
        <f aca="false">IF($O102="","",$O102&amp;"|"&amp;$T102)</f>
        <v/>
      </c>
      <c r="V102" s="488" t="n">
        <f aca="false">IF(OR(LEFT($D102,5)="MB-CL",LEFT($D102,6)="MB-RES"),0,$I102)</f>
        <v>0</v>
      </c>
      <c r="W102" s="488" t="n">
        <f aca="false">IF(OR(LEFT($D102,5)="MB-CL",LEFT($D102,6)="MB-RES"),0,$J102)</f>
        <v>0</v>
      </c>
      <c r="X102" s="101" t="str">
        <f aca="false">IF($E102="","",LEFT($E102,1))</f>
        <v/>
      </c>
      <c r="Y102" s="101" t="str">
        <f aca="false">IF($E102="","",LEFT($E102,2))</f>
        <v/>
      </c>
      <c r="Z102" s="101" t="str">
        <f aca="false">IF($E102="","",LEFT($E102,3))</f>
        <v/>
      </c>
      <c r="AA102" s="101" t="str">
        <f aca="false">IF($E102="","",LEFT($E102,4))</f>
        <v/>
      </c>
    </row>
    <row r="103" customFormat="false" ht="15" hidden="false" customHeight="true" outlineLevel="0" collapsed="false">
      <c r="A103" s="484" t="str">
        <f aca="false">IF(DITARI!$D107="","",ROW()-1)</f>
        <v/>
      </c>
      <c r="B103" s="485" t="str">
        <f aca="false">IF(DITARI!$D107="","",DITARI!$A107)</f>
        <v/>
      </c>
      <c r="C103" s="484" t="str">
        <f aca="false">IF(DITARI!$D107="","",DITARI!$B107)</f>
        <v/>
      </c>
      <c r="D103" s="484" t="str">
        <f aca="false">IF(DITARI!$D107="","",DITARI!$C107)</f>
        <v/>
      </c>
      <c r="E103" s="484" t="str">
        <f aca="false">IF(DITARI!$D107="","",TRIM(DITARI!$D107&amp;""))</f>
        <v/>
      </c>
      <c r="F103" s="484" t="str">
        <f aca="false">IF($E103="","",IFERROR(VLOOKUP($E103,PLANI_LLOGARIVE!$A:$I,2,FALSE()),DITARI!$E107))</f>
        <v/>
      </c>
      <c r="G103" s="484" t="str">
        <f aca="false">IF($E103="","",DITARI!$I107)</f>
        <v/>
      </c>
      <c r="H103" s="486" t="str">
        <f aca="false">IFERROR(IF($E103="","",DITARI!$H107),"")</f>
        <v/>
      </c>
      <c r="I103" s="487" t="n">
        <f aca="false">IF($E103="",0,IFERROR(DITARI!$F107,0))</f>
        <v>0</v>
      </c>
      <c r="J103" s="487" t="n">
        <f aca="false">IF($E103="",0,IFERROR(DITARI!$G107,0))</f>
        <v>0</v>
      </c>
      <c r="K103" s="484" t="str">
        <f aca="false">IF($E103="","",IFERROR(VLOOKUP($E103,PLANI_LLOGARIVE!$A:$I,9,FALSE()),""))</f>
        <v/>
      </c>
      <c r="L103" s="487" t="str">
        <f aca="false">IF($E103="","",$I103-$J103)</f>
        <v/>
      </c>
      <c r="M103" s="484" t="str">
        <f aca="false">IF($E103="","",IF($I103&gt;0,"DEBIT",IF($J103&gt;0,"KREDIT","ZERO")))</f>
        <v/>
      </c>
      <c r="N103" s="484" t="str">
        <f aca="false">IF($E103="","",TEXT($B103,"yyyymmdd")&amp;"-"&amp;TEXT(ROW(),"0000"))</f>
        <v/>
      </c>
      <c r="O103" s="101" t="str">
        <f aca="false">IF($E103="","",$E103&amp;"")</f>
        <v/>
      </c>
      <c r="P103" s="101" t="str">
        <f aca="false">IF(AND($O103&lt;&gt;"",$I103&lt;&gt;0),COUNTIFS($O$2:O103,$O103,$I$2:I103,"&gt;0"),"")</f>
        <v/>
      </c>
      <c r="Q103" s="101" t="str">
        <f aca="false">IF(AND($O103&lt;&gt;"",$J103&lt;&gt;0),COUNTIFS($O$2:O103,$O103,$J$2:J103,"&gt;0"),"")</f>
        <v/>
      </c>
      <c r="R103" s="101" t="str">
        <f aca="false">IF($P103="","",$O103&amp;"|"&amp;$P103)</f>
        <v/>
      </c>
      <c r="S103" s="101" t="str">
        <f aca="false">IF($Q103="","",$O103&amp;"|"&amp;$Q103)</f>
        <v/>
      </c>
      <c r="T103" s="101" t="str">
        <f aca="false">IF($O103="","",COUNTIF($O$2:O103,$O103))</f>
        <v/>
      </c>
      <c r="U103" s="101" t="str">
        <f aca="false">IF($O103="","",$O103&amp;"|"&amp;$T103)</f>
        <v/>
      </c>
      <c r="V103" s="488" t="n">
        <f aca="false">IF(OR(LEFT($D103,5)="MB-CL",LEFT($D103,6)="MB-RES"),0,$I103)</f>
        <v>0</v>
      </c>
      <c r="W103" s="488" t="n">
        <f aca="false">IF(OR(LEFT($D103,5)="MB-CL",LEFT($D103,6)="MB-RES"),0,$J103)</f>
        <v>0</v>
      </c>
      <c r="X103" s="101" t="str">
        <f aca="false">IF($E103="","",LEFT($E103,1))</f>
        <v/>
      </c>
      <c r="Y103" s="101" t="str">
        <f aca="false">IF($E103="","",LEFT($E103,2))</f>
        <v/>
      </c>
      <c r="Z103" s="101" t="str">
        <f aca="false">IF($E103="","",LEFT($E103,3))</f>
        <v/>
      </c>
      <c r="AA103" s="101" t="str">
        <f aca="false">IF($E103="","",LEFT($E103,4))</f>
        <v/>
      </c>
    </row>
    <row r="104" customFormat="false" ht="15" hidden="false" customHeight="true" outlineLevel="0" collapsed="false">
      <c r="A104" s="484" t="str">
        <f aca="false">IF(DITARI!$D108="","",ROW()-1)</f>
        <v/>
      </c>
      <c r="B104" s="485" t="str">
        <f aca="false">IF(DITARI!$D108="","",DITARI!$A108)</f>
        <v/>
      </c>
      <c r="C104" s="484" t="str">
        <f aca="false">IF(DITARI!$D108="","",DITARI!$B108)</f>
        <v/>
      </c>
      <c r="D104" s="484" t="str">
        <f aca="false">IF(DITARI!$D108="","",DITARI!$C108)</f>
        <v/>
      </c>
      <c r="E104" s="484" t="str">
        <f aca="false">IF(DITARI!$D108="","",TRIM(DITARI!$D108&amp;""))</f>
        <v/>
      </c>
      <c r="F104" s="484" t="str">
        <f aca="false">IF($E104="","",IFERROR(VLOOKUP($E104,PLANI_LLOGARIVE!$A:$I,2,FALSE()),DITARI!$E108))</f>
        <v/>
      </c>
      <c r="G104" s="484" t="str">
        <f aca="false">IF($E104="","",DITARI!$I108)</f>
        <v/>
      </c>
      <c r="H104" s="486" t="str">
        <f aca="false">IFERROR(IF($E104="","",DITARI!$H108),"")</f>
        <v/>
      </c>
      <c r="I104" s="487" t="n">
        <f aca="false">IF($E104="",0,IFERROR(DITARI!$F108,0))</f>
        <v>0</v>
      </c>
      <c r="J104" s="487" t="n">
        <f aca="false">IF($E104="",0,IFERROR(DITARI!$G108,0))</f>
        <v>0</v>
      </c>
      <c r="K104" s="484" t="str">
        <f aca="false">IF($E104="","",IFERROR(VLOOKUP($E104,PLANI_LLOGARIVE!$A:$I,9,FALSE()),""))</f>
        <v/>
      </c>
      <c r="L104" s="487" t="str">
        <f aca="false">IF($E104="","",$I104-$J104)</f>
        <v/>
      </c>
      <c r="M104" s="484" t="str">
        <f aca="false">IF($E104="","",IF($I104&gt;0,"DEBIT",IF($J104&gt;0,"KREDIT","ZERO")))</f>
        <v/>
      </c>
      <c r="N104" s="484" t="str">
        <f aca="false">IF($E104="","",TEXT($B104,"yyyymmdd")&amp;"-"&amp;TEXT(ROW(),"0000"))</f>
        <v/>
      </c>
      <c r="O104" s="101" t="str">
        <f aca="false">IF($E104="","",$E104&amp;"")</f>
        <v/>
      </c>
      <c r="P104" s="101" t="str">
        <f aca="false">IF(AND($O104&lt;&gt;"",$I104&lt;&gt;0),COUNTIFS($O$2:O104,$O104,$I$2:I104,"&gt;0"),"")</f>
        <v/>
      </c>
      <c r="Q104" s="101" t="str">
        <f aca="false">IF(AND($O104&lt;&gt;"",$J104&lt;&gt;0),COUNTIFS($O$2:O104,$O104,$J$2:J104,"&gt;0"),"")</f>
        <v/>
      </c>
      <c r="R104" s="101" t="str">
        <f aca="false">IF($P104="","",$O104&amp;"|"&amp;$P104)</f>
        <v/>
      </c>
      <c r="S104" s="101" t="str">
        <f aca="false">IF($Q104="","",$O104&amp;"|"&amp;$Q104)</f>
        <v/>
      </c>
      <c r="T104" s="101" t="str">
        <f aca="false">IF($O104="","",COUNTIF($O$2:O104,$O104))</f>
        <v/>
      </c>
      <c r="U104" s="101" t="str">
        <f aca="false">IF($O104="","",$O104&amp;"|"&amp;$T104)</f>
        <v/>
      </c>
      <c r="V104" s="488" t="n">
        <f aca="false">IF(OR(LEFT($D104,5)="MB-CL",LEFT($D104,6)="MB-RES"),0,$I104)</f>
        <v>0</v>
      </c>
      <c r="W104" s="488" t="n">
        <f aca="false">IF(OR(LEFT($D104,5)="MB-CL",LEFT($D104,6)="MB-RES"),0,$J104)</f>
        <v>0</v>
      </c>
      <c r="X104" s="101" t="str">
        <f aca="false">IF($E104="","",LEFT($E104,1))</f>
        <v/>
      </c>
      <c r="Y104" s="101" t="str">
        <f aca="false">IF($E104="","",LEFT($E104,2))</f>
        <v/>
      </c>
      <c r="Z104" s="101" t="str">
        <f aca="false">IF($E104="","",LEFT($E104,3))</f>
        <v/>
      </c>
      <c r="AA104" s="101" t="str">
        <f aca="false">IF($E104="","",LEFT($E104,4))</f>
        <v/>
      </c>
    </row>
    <row r="105" customFormat="false" ht="15" hidden="false" customHeight="true" outlineLevel="0" collapsed="false">
      <c r="A105" s="484" t="str">
        <f aca="false">IF(DITARI!$D109="","",ROW()-1)</f>
        <v/>
      </c>
      <c r="B105" s="485" t="str">
        <f aca="false">IF(DITARI!$D109="","",DITARI!$A109)</f>
        <v/>
      </c>
      <c r="C105" s="484" t="str">
        <f aca="false">IF(DITARI!$D109="","",DITARI!$B109)</f>
        <v/>
      </c>
      <c r="D105" s="484" t="str">
        <f aca="false">IF(DITARI!$D109="","",DITARI!$C109)</f>
        <v/>
      </c>
      <c r="E105" s="484" t="str">
        <f aca="false">IF(DITARI!$D109="","",TRIM(DITARI!$D109&amp;""))</f>
        <v/>
      </c>
      <c r="F105" s="484" t="str">
        <f aca="false">IF($E105="","",IFERROR(VLOOKUP($E105,PLANI_LLOGARIVE!$A:$I,2,FALSE()),DITARI!$E109))</f>
        <v/>
      </c>
      <c r="G105" s="484" t="str">
        <f aca="false">IF($E105="","",DITARI!$I109)</f>
        <v/>
      </c>
      <c r="H105" s="486" t="str">
        <f aca="false">IFERROR(IF($E105="","",DITARI!$H109),"")</f>
        <v/>
      </c>
      <c r="I105" s="487" t="n">
        <f aca="false">IF($E105="",0,IFERROR(DITARI!$F109,0))</f>
        <v>0</v>
      </c>
      <c r="J105" s="487" t="n">
        <f aca="false">IF($E105="",0,IFERROR(DITARI!$G109,0))</f>
        <v>0</v>
      </c>
      <c r="K105" s="484" t="str">
        <f aca="false">IF($E105="","",IFERROR(VLOOKUP($E105,PLANI_LLOGARIVE!$A:$I,9,FALSE()),""))</f>
        <v/>
      </c>
      <c r="L105" s="487" t="str">
        <f aca="false">IF($E105="","",$I105-$J105)</f>
        <v/>
      </c>
      <c r="M105" s="484" t="str">
        <f aca="false">IF($E105="","",IF($I105&gt;0,"DEBIT",IF($J105&gt;0,"KREDIT","ZERO")))</f>
        <v/>
      </c>
      <c r="N105" s="484" t="str">
        <f aca="false">IF($E105="","",TEXT($B105,"yyyymmdd")&amp;"-"&amp;TEXT(ROW(),"0000"))</f>
        <v/>
      </c>
      <c r="O105" s="101" t="str">
        <f aca="false">IF($E105="","",$E105&amp;"")</f>
        <v/>
      </c>
      <c r="P105" s="101" t="str">
        <f aca="false">IF(AND($O105&lt;&gt;"",$I105&lt;&gt;0),COUNTIFS($O$2:O105,$O105,$I$2:I105,"&gt;0"),"")</f>
        <v/>
      </c>
      <c r="Q105" s="101" t="str">
        <f aca="false">IF(AND($O105&lt;&gt;"",$J105&lt;&gt;0),COUNTIFS($O$2:O105,$O105,$J$2:J105,"&gt;0"),"")</f>
        <v/>
      </c>
      <c r="R105" s="101" t="str">
        <f aca="false">IF($P105="","",$O105&amp;"|"&amp;$P105)</f>
        <v/>
      </c>
      <c r="S105" s="101" t="str">
        <f aca="false">IF($Q105="","",$O105&amp;"|"&amp;$Q105)</f>
        <v/>
      </c>
      <c r="T105" s="101" t="str">
        <f aca="false">IF($O105="","",COUNTIF($O$2:O105,$O105))</f>
        <v/>
      </c>
      <c r="U105" s="101" t="str">
        <f aca="false">IF($O105="","",$O105&amp;"|"&amp;$T105)</f>
        <v/>
      </c>
      <c r="V105" s="488" t="n">
        <f aca="false">IF(OR(LEFT($D105,5)="MB-CL",LEFT($D105,6)="MB-RES"),0,$I105)</f>
        <v>0</v>
      </c>
      <c r="W105" s="488" t="n">
        <f aca="false">IF(OR(LEFT($D105,5)="MB-CL",LEFT($D105,6)="MB-RES"),0,$J105)</f>
        <v>0</v>
      </c>
      <c r="X105" s="101" t="str">
        <f aca="false">IF($E105="","",LEFT($E105,1))</f>
        <v/>
      </c>
      <c r="Y105" s="101" t="str">
        <f aca="false">IF($E105="","",LEFT($E105,2))</f>
        <v/>
      </c>
      <c r="Z105" s="101" t="str">
        <f aca="false">IF($E105="","",LEFT($E105,3))</f>
        <v/>
      </c>
      <c r="AA105" s="101" t="str">
        <f aca="false">IF($E105="","",LEFT($E105,4))</f>
        <v/>
      </c>
    </row>
    <row r="106" customFormat="false" ht="15" hidden="false" customHeight="true" outlineLevel="0" collapsed="false">
      <c r="A106" s="484" t="str">
        <f aca="false">IF(DITARI!$D110="","",ROW()-1)</f>
        <v/>
      </c>
      <c r="B106" s="485" t="str">
        <f aca="false">IF(DITARI!$D110="","",DITARI!$A110)</f>
        <v/>
      </c>
      <c r="C106" s="484" t="str">
        <f aca="false">IF(DITARI!$D110="","",DITARI!$B110)</f>
        <v/>
      </c>
      <c r="D106" s="484" t="str">
        <f aca="false">IF(DITARI!$D110="","",DITARI!$C110)</f>
        <v/>
      </c>
      <c r="E106" s="484" t="str">
        <f aca="false">IF(DITARI!$D110="","",TRIM(DITARI!$D110&amp;""))</f>
        <v/>
      </c>
      <c r="F106" s="484" t="str">
        <f aca="false">IF($E106="","",IFERROR(VLOOKUP($E106,PLANI_LLOGARIVE!$A:$I,2,FALSE()),DITARI!$E110))</f>
        <v/>
      </c>
      <c r="G106" s="484" t="str">
        <f aca="false">IF($E106="","",DITARI!$I110)</f>
        <v/>
      </c>
      <c r="H106" s="486" t="str">
        <f aca="false">IFERROR(IF($E106="","",DITARI!$H110),"")</f>
        <v/>
      </c>
      <c r="I106" s="487" t="n">
        <f aca="false">IF($E106="",0,IFERROR(DITARI!$F110,0))</f>
        <v>0</v>
      </c>
      <c r="J106" s="487" t="n">
        <f aca="false">IF($E106="",0,IFERROR(DITARI!$G110,0))</f>
        <v>0</v>
      </c>
      <c r="K106" s="484" t="str">
        <f aca="false">IF($E106="","",IFERROR(VLOOKUP($E106,PLANI_LLOGARIVE!$A:$I,9,FALSE()),""))</f>
        <v/>
      </c>
      <c r="L106" s="487" t="str">
        <f aca="false">IF($E106="","",$I106-$J106)</f>
        <v/>
      </c>
      <c r="M106" s="484" t="str">
        <f aca="false">IF($E106="","",IF($I106&gt;0,"DEBIT",IF($J106&gt;0,"KREDIT","ZERO")))</f>
        <v/>
      </c>
      <c r="N106" s="484" t="str">
        <f aca="false">IF($E106="","",TEXT($B106,"yyyymmdd")&amp;"-"&amp;TEXT(ROW(),"0000"))</f>
        <v/>
      </c>
      <c r="O106" s="101" t="str">
        <f aca="false">IF($E106="","",$E106&amp;"")</f>
        <v/>
      </c>
      <c r="P106" s="101" t="str">
        <f aca="false">IF(AND($O106&lt;&gt;"",$I106&lt;&gt;0),COUNTIFS($O$2:O106,$O106,$I$2:I106,"&gt;0"),"")</f>
        <v/>
      </c>
      <c r="Q106" s="101" t="str">
        <f aca="false">IF(AND($O106&lt;&gt;"",$J106&lt;&gt;0),COUNTIFS($O$2:O106,$O106,$J$2:J106,"&gt;0"),"")</f>
        <v/>
      </c>
      <c r="R106" s="101" t="str">
        <f aca="false">IF($P106="","",$O106&amp;"|"&amp;$P106)</f>
        <v/>
      </c>
      <c r="S106" s="101" t="str">
        <f aca="false">IF($Q106="","",$O106&amp;"|"&amp;$Q106)</f>
        <v/>
      </c>
      <c r="T106" s="101" t="str">
        <f aca="false">IF($O106="","",COUNTIF($O$2:O106,$O106))</f>
        <v/>
      </c>
      <c r="U106" s="101" t="str">
        <f aca="false">IF($O106="","",$O106&amp;"|"&amp;$T106)</f>
        <v/>
      </c>
      <c r="V106" s="488" t="n">
        <f aca="false">IF(OR(LEFT($D106,5)="MB-CL",LEFT($D106,6)="MB-RES"),0,$I106)</f>
        <v>0</v>
      </c>
      <c r="W106" s="488" t="n">
        <f aca="false">IF(OR(LEFT($D106,5)="MB-CL",LEFT($D106,6)="MB-RES"),0,$J106)</f>
        <v>0</v>
      </c>
      <c r="X106" s="101" t="str">
        <f aca="false">IF($E106="","",LEFT($E106,1))</f>
        <v/>
      </c>
      <c r="Y106" s="101" t="str">
        <f aca="false">IF($E106="","",LEFT($E106,2))</f>
        <v/>
      </c>
      <c r="Z106" s="101" t="str">
        <f aca="false">IF($E106="","",LEFT($E106,3))</f>
        <v/>
      </c>
      <c r="AA106" s="101" t="str">
        <f aca="false">IF($E106="","",LEFT($E106,4))</f>
        <v/>
      </c>
    </row>
    <row r="107" customFormat="false" ht="15" hidden="false" customHeight="true" outlineLevel="0" collapsed="false">
      <c r="A107" s="484" t="str">
        <f aca="false">IF(DITARI!$D111="","",ROW()-1)</f>
        <v/>
      </c>
      <c r="B107" s="485" t="str">
        <f aca="false">IF(DITARI!$D111="","",DITARI!$A111)</f>
        <v/>
      </c>
      <c r="C107" s="484" t="str">
        <f aca="false">IF(DITARI!$D111="","",DITARI!$B111)</f>
        <v/>
      </c>
      <c r="D107" s="484" t="str">
        <f aca="false">IF(DITARI!$D111="","",DITARI!$C111)</f>
        <v/>
      </c>
      <c r="E107" s="484" t="str">
        <f aca="false">IF(DITARI!$D111="","",TRIM(DITARI!$D111&amp;""))</f>
        <v/>
      </c>
      <c r="F107" s="484" t="str">
        <f aca="false">IF($E107="","",IFERROR(VLOOKUP($E107,PLANI_LLOGARIVE!$A:$I,2,FALSE()),DITARI!$E111))</f>
        <v/>
      </c>
      <c r="G107" s="484" t="str">
        <f aca="false">IF($E107="","",DITARI!$I111)</f>
        <v/>
      </c>
      <c r="H107" s="484" t="str">
        <f aca="false">IFERROR(IF($E107="","",DITARI!$H111),"")</f>
        <v/>
      </c>
      <c r="I107" s="487" t="n">
        <f aca="false">IF($E107="",0,IFERROR(DITARI!$F111,0))</f>
        <v>0</v>
      </c>
      <c r="J107" s="487" t="n">
        <f aca="false">IF($E107="",0,IFERROR(DITARI!$G111,0))</f>
        <v>0</v>
      </c>
      <c r="K107" s="484" t="str">
        <f aca="false">IF($E107="","",IFERROR(VLOOKUP($E107,PLANI_LLOGARIVE!$A:$I,9,FALSE()),""))</f>
        <v/>
      </c>
      <c r="L107" s="487" t="str">
        <f aca="false">IF($E107="","",$I107-$J107)</f>
        <v/>
      </c>
      <c r="M107" s="484" t="str">
        <f aca="false">IF($E107="","",IF($I107&gt;0,"DEBIT",IF($J107&gt;0,"KREDIT","ZERO")))</f>
        <v/>
      </c>
      <c r="N107" s="484" t="str">
        <f aca="false">IF($E107="","",TEXT($B107,"yyyymmdd")&amp;"-"&amp;TEXT(ROW(),"0000"))</f>
        <v/>
      </c>
      <c r="O107" s="101" t="str">
        <f aca="false">IF($E107="","",$E107&amp;"")</f>
        <v/>
      </c>
      <c r="P107" s="101" t="str">
        <f aca="false">IF(AND($O107&lt;&gt;"",$I107&lt;&gt;0),COUNTIFS($O$2:O107,$O107,$I$2:I107,"&gt;0"),"")</f>
        <v/>
      </c>
      <c r="Q107" s="101" t="str">
        <f aca="false">IF(AND($O107&lt;&gt;"",$J107&lt;&gt;0),COUNTIFS($O$2:O107,$O107,$J$2:J107,"&gt;0"),"")</f>
        <v/>
      </c>
      <c r="R107" s="101" t="str">
        <f aca="false">IF($P107="","",$O107&amp;"|"&amp;$P107)</f>
        <v/>
      </c>
      <c r="S107" s="101" t="str">
        <f aca="false">IF($Q107="","",$O107&amp;"|"&amp;$Q107)</f>
        <v/>
      </c>
      <c r="T107" s="101" t="str">
        <f aca="false">IF($O107="","",COUNTIF($O$2:O107,$O107))</f>
        <v/>
      </c>
      <c r="U107" s="101" t="str">
        <f aca="false">IF($O107="","",$O107&amp;"|"&amp;$T107)</f>
        <v/>
      </c>
      <c r="V107" s="488" t="n">
        <f aca="false">IF(OR(LEFT($D107,5)="MB-CL",LEFT($D107,6)="MB-RES"),0,$I107)</f>
        <v>0</v>
      </c>
      <c r="W107" s="488" t="n">
        <f aca="false">IF(OR(LEFT($D107,5)="MB-CL",LEFT($D107,6)="MB-RES"),0,$J107)</f>
        <v>0</v>
      </c>
      <c r="X107" s="101" t="str">
        <f aca="false">IF($E107="","",LEFT($E107,1))</f>
        <v/>
      </c>
      <c r="Y107" s="101" t="str">
        <f aca="false">IF($E107="","",LEFT($E107,2))</f>
        <v/>
      </c>
      <c r="Z107" s="101" t="str">
        <f aca="false">IF($E107="","",LEFT($E107,3))</f>
        <v/>
      </c>
      <c r="AA107" s="101" t="str">
        <f aca="false">IF($E107="","",LEFT($E107,4))</f>
        <v/>
      </c>
    </row>
    <row r="108" customFormat="false" ht="15" hidden="false" customHeight="true" outlineLevel="0" collapsed="false">
      <c r="A108" s="484" t="str">
        <f aca="false">IF(DITARI!$D112="","",ROW()-1)</f>
        <v/>
      </c>
      <c r="B108" s="485" t="str">
        <f aca="false">IF(DITARI!$D112="","",DITARI!$A112)</f>
        <v/>
      </c>
      <c r="C108" s="484" t="str">
        <f aca="false">IF(DITARI!$D112="","",DITARI!$B112)</f>
        <v/>
      </c>
      <c r="D108" s="484" t="str">
        <f aca="false">IF(DITARI!$D112="","",DITARI!$C112)</f>
        <v/>
      </c>
      <c r="E108" s="484" t="str">
        <f aca="false">IF(DITARI!$D112="","",TRIM(DITARI!$D112&amp;""))</f>
        <v/>
      </c>
      <c r="F108" s="484" t="str">
        <f aca="false">IF($E108="","",IFERROR(VLOOKUP($E108,PLANI_LLOGARIVE!$A:$I,2,FALSE()),DITARI!$E112))</f>
        <v/>
      </c>
      <c r="G108" s="484" t="str">
        <f aca="false">IF($E108="","",DITARI!$I112)</f>
        <v/>
      </c>
      <c r="H108" s="484" t="str">
        <f aca="false">IFERROR(IF($E108="","",DITARI!$H112),"")</f>
        <v/>
      </c>
      <c r="I108" s="487" t="n">
        <f aca="false">IF($E108="",0,IFERROR(DITARI!$F112,0))</f>
        <v>0</v>
      </c>
      <c r="J108" s="487" t="n">
        <f aca="false">IF($E108="",0,IFERROR(DITARI!$G112,0))</f>
        <v>0</v>
      </c>
      <c r="K108" s="484" t="str">
        <f aca="false">IF($E108="","",IFERROR(VLOOKUP($E108,PLANI_LLOGARIVE!$A:$I,9,FALSE()),""))</f>
        <v/>
      </c>
      <c r="L108" s="487" t="str">
        <f aca="false">IF($E108="","",$I108-$J108)</f>
        <v/>
      </c>
      <c r="M108" s="484" t="str">
        <f aca="false">IF($E108="","",IF($I108&gt;0,"DEBIT",IF($J108&gt;0,"KREDIT","ZERO")))</f>
        <v/>
      </c>
      <c r="N108" s="484" t="str">
        <f aca="false">IF($E108="","",TEXT($B108,"yyyymmdd")&amp;"-"&amp;TEXT(ROW(),"0000"))</f>
        <v/>
      </c>
      <c r="O108" s="101" t="str">
        <f aca="false">IF($E108="","",$E108&amp;"")</f>
        <v/>
      </c>
      <c r="P108" s="101" t="str">
        <f aca="false">IF(AND($O108&lt;&gt;"",$I108&lt;&gt;0),COUNTIFS($O$2:O108,$O108,$I$2:I108,"&gt;0"),"")</f>
        <v/>
      </c>
      <c r="Q108" s="101" t="str">
        <f aca="false">IF(AND($O108&lt;&gt;"",$J108&lt;&gt;0),COUNTIFS($O$2:O108,$O108,$J$2:J108,"&gt;0"),"")</f>
        <v/>
      </c>
      <c r="R108" s="101" t="str">
        <f aca="false">IF($P108="","",$O108&amp;"|"&amp;$P108)</f>
        <v/>
      </c>
      <c r="S108" s="101" t="str">
        <f aca="false">IF($Q108="","",$O108&amp;"|"&amp;$Q108)</f>
        <v/>
      </c>
      <c r="T108" s="101" t="str">
        <f aca="false">IF($O108="","",COUNTIF($O$2:O108,$O108))</f>
        <v/>
      </c>
      <c r="U108" s="101" t="str">
        <f aca="false">IF($O108="","",$O108&amp;"|"&amp;$T108)</f>
        <v/>
      </c>
      <c r="V108" s="488" t="n">
        <f aca="false">IF(OR(LEFT($D108,5)="MB-CL",LEFT($D108,6)="MB-RES"),0,$I108)</f>
        <v>0</v>
      </c>
      <c r="W108" s="488" t="n">
        <f aca="false">IF(OR(LEFT($D108,5)="MB-CL",LEFT($D108,6)="MB-RES"),0,$J108)</f>
        <v>0</v>
      </c>
      <c r="X108" s="101" t="str">
        <f aca="false">IF($E108="","",LEFT($E108,1))</f>
        <v/>
      </c>
      <c r="Y108" s="101" t="str">
        <f aca="false">IF($E108="","",LEFT($E108,2))</f>
        <v/>
      </c>
      <c r="Z108" s="101" t="str">
        <f aca="false">IF($E108="","",LEFT($E108,3))</f>
        <v/>
      </c>
      <c r="AA108" s="101" t="str">
        <f aca="false">IF($E108="","",LEFT($E108,4))</f>
        <v/>
      </c>
    </row>
    <row r="109" customFormat="false" ht="15" hidden="false" customHeight="true" outlineLevel="0" collapsed="false">
      <c r="A109" s="484" t="str">
        <f aca="false">IF(DITARI!$D113="","",ROW()-1)</f>
        <v/>
      </c>
      <c r="B109" s="485" t="str">
        <f aca="false">IF(DITARI!$D113="","",DITARI!$A113)</f>
        <v/>
      </c>
      <c r="C109" s="484" t="str">
        <f aca="false">IF(DITARI!$D113="","",DITARI!$B113)</f>
        <v/>
      </c>
      <c r="D109" s="484" t="str">
        <f aca="false">IF(DITARI!$D113="","",DITARI!$C113)</f>
        <v/>
      </c>
      <c r="E109" s="484" t="str">
        <f aca="false">IF(DITARI!$D113="","",TRIM(DITARI!$D113&amp;""))</f>
        <v/>
      </c>
      <c r="F109" s="484" t="str">
        <f aca="false">IF($E109="","",IFERROR(VLOOKUP($E109,PLANI_LLOGARIVE!$A:$I,2,FALSE()),DITARI!$E113))</f>
        <v/>
      </c>
      <c r="G109" s="484" t="str">
        <f aca="false">IF($E109="","",DITARI!$I113)</f>
        <v/>
      </c>
      <c r="H109" s="484" t="str">
        <f aca="false">IFERROR(IF($E109="","",DITARI!$H113),"")</f>
        <v/>
      </c>
      <c r="I109" s="487" t="n">
        <f aca="false">IF($E109="",0,IFERROR(DITARI!$F113,0))</f>
        <v>0</v>
      </c>
      <c r="J109" s="487" t="n">
        <f aca="false">IF($E109="",0,IFERROR(DITARI!$G113,0))</f>
        <v>0</v>
      </c>
      <c r="K109" s="484" t="str">
        <f aca="false">IF($E109="","",IFERROR(VLOOKUP($E109,PLANI_LLOGARIVE!$A:$I,9,FALSE()),""))</f>
        <v/>
      </c>
      <c r="L109" s="487" t="str">
        <f aca="false">IF($E109="","",$I109-$J109)</f>
        <v/>
      </c>
      <c r="M109" s="484" t="str">
        <f aca="false">IF($E109="","",IF($I109&gt;0,"DEBIT",IF($J109&gt;0,"KREDIT","ZERO")))</f>
        <v/>
      </c>
      <c r="N109" s="484" t="str">
        <f aca="false">IF($E109="","",TEXT($B109,"yyyymmdd")&amp;"-"&amp;TEXT(ROW(),"0000"))</f>
        <v/>
      </c>
      <c r="O109" s="101" t="str">
        <f aca="false">IF($E109="","",$E109&amp;"")</f>
        <v/>
      </c>
      <c r="P109" s="101" t="str">
        <f aca="false">IF(AND($O109&lt;&gt;"",$I109&lt;&gt;0),COUNTIFS($O$2:O109,$O109,$I$2:I109,"&gt;0"),"")</f>
        <v/>
      </c>
      <c r="Q109" s="101" t="str">
        <f aca="false">IF(AND($O109&lt;&gt;"",$J109&lt;&gt;0),COUNTIFS($O$2:O109,$O109,$J$2:J109,"&gt;0"),"")</f>
        <v/>
      </c>
      <c r="R109" s="101" t="str">
        <f aca="false">IF($P109="","",$O109&amp;"|"&amp;$P109)</f>
        <v/>
      </c>
      <c r="S109" s="101" t="str">
        <f aca="false">IF($Q109="","",$O109&amp;"|"&amp;$Q109)</f>
        <v/>
      </c>
      <c r="T109" s="101" t="str">
        <f aca="false">IF($O109="","",COUNTIF($O$2:O109,$O109))</f>
        <v/>
      </c>
      <c r="U109" s="101" t="str">
        <f aca="false">IF($O109="","",$O109&amp;"|"&amp;$T109)</f>
        <v/>
      </c>
      <c r="V109" s="488" t="n">
        <f aca="false">IF(OR(LEFT($D109,5)="MB-CL",LEFT($D109,6)="MB-RES"),0,$I109)</f>
        <v>0</v>
      </c>
      <c r="W109" s="488" t="n">
        <f aca="false">IF(OR(LEFT($D109,5)="MB-CL",LEFT($D109,6)="MB-RES"),0,$J109)</f>
        <v>0</v>
      </c>
      <c r="X109" s="101" t="str">
        <f aca="false">IF($E109="","",LEFT($E109,1))</f>
        <v/>
      </c>
      <c r="Y109" s="101" t="str">
        <f aca="false">IF($E109="","",LEFT($E109,2))</f>
        <v/>
      </c>
      <c r="Z109" s="101" t="str">
        <f aca="false">IF($E109="","",LEFT($E109,3))</f>
        <v/>
      </c>
      <c r="AA109" s="101" t="str">
        <f aca="false">IF($E109="","",LEFT($E109,4))</f>
        <v/>
      </c>
    </row>
    <row r="110" customFormat="false" ht="15" hidden="false" customHeight="true" outlineLevel="0" collapsed="false">
      <c r="A110" s="484" t="str">
        <f aca="false">IF(DITARI!$D114="","",ROW()-1)</f>
        <v/>
      </c>
      <c r="B110" s="485" t="str">
        <f aca="false">IF(DITARI!$D114="","",DITARI!$A114)</f>
        <v/>
      </c>
      <c r="C110" s="484" t="str">
        <f aca="false">IF(DITARI!$D114="","",DITARI!$B114)</f>
        <v/>
      </c>
      <c r="D110" s="484" t="str">
        <f aca="false">IF(DITARI!$D114="","",DITARI!$C114)</f>
        <v/>
      </c>
      <c r="E110" s="484" t="str">
        <f aca="false">IF(DITARI!$D114="","",TRIM(DITARI!$D114&amp;""))</f>
        <v/>
      </c>
      <c r="F110" s="484" t="str">
        <f aca="false">IF($E110="","",IFERROR(VLOOKUP($E110,PLANI_LLOGARIVE!$A:$I,2,FALSE()),DITARI!$E114))</f>
        <v/>
      </c>
      <c r="G110" s="484" t="str">
        <f aca="false">IF($E110="","",DITARI!$I114)</f>
        <v/>
      </c>
      <c r="H110" s="484" t="str">
        <f aca="false">IFERROR(IF($E110="","",DITARI!$H114),"")</f>
        <v/>
      </c>
      <c r="I110" s="487" t="n">
        <f aca="false">IF($E110="",0,IFERROR(DITARI!$F114,0))</f>
        <v>0</v>
      </c>
      <c r="J110" s="487" t="n">
        <f aca="false">IF($E110="",0,IFERROR(DITARI!$G114,0))</f>
        <v>0</v>
      </c>
      <c r="K110" s="484" t="str">
        <f aca="false">IF($E110="","",IFERROR(VLOOKUP($E110,PLANI_LLOGARIVE!$A:$I,9,FALSE()),""))</f>
        <v/>
      </c>
      <c r="L110" s="487" t="str">
        <f aca="false">IF($E110="","",$I110-$J110)</f>
        <v/>
      </c>
      <c r="M110" s="484" t="str">
        <f aca="false">IF($E110="","",IF($I110&gt;0,"DEBIT",IF($J110&gt;0,"KREDIT","ZERO")))</f>
        <v/>
      </c>
      <c r="N110" s="484" t="str">
        <f aca="false">IF($E110="","",TEXT($B110,"yyyymmdd")&amp;"-"&amp;TEXT(ROW(),"0000"))</f>
        <v/>
      </c>
      <c r="O110" s="101" t="str">
        <f aca="false">IF($E110="","",$E110&amp;"")</f>
        <v/>
      </c>
      <c r="P110" s="101" t="str">
        <f aca="false">IF(AND($O110&lt;&gt;"",$I110&lt;&gt;0),COUNTIFS($O$2:O110,$O110,$I$2:I110,"&gt;0"),"")</f>
        <v/>
      </c>
      <c r="Q110" s="101" t="str">
        <f aca="false">IF(AND($O110&lt;&gt;"",$J110&lt;&gt;0),COUNTIFS($O$2:O110,$O110,$J$2:J110,"&gt;0"),"")</f>
        <v/>
      </c>
      <c r="R110" s="101" t="str">
        <f aca="false">IF($P110="","",$O110&amp;"|"&amp;$P110)</f>
        <v/>
      </c>
      <c r="S110" s="101" t="str">
        <f aca="false">IF($Q110="","",$O110&amp;"|"&amp;$Q110)</f>
        <v/>
      </c>
      <c r="T110" s="101" t="str">
        <f aca="false">IF($O110="","",COUNTIF($O$2:O110,$O110))</f>
        <v/>
      </c>
      <c r="U110" s="101" t="str">
        <f aca="false">IF($O110="","",$O110&amp;"|"&amp;$T110)</f>
        <v/>
      </c>
      <c r="V110" s="488" t="n">
        <f aca="false">IF(OR(LEFT($D110,5)="MB-CL",LEFT($D110,6)="MB-RES"),0,$I110)</f>
        <v>0</v>
      </c>
      <c r="W110" s="488" t="n">
        <f aca="false">IF(OR(LEFT($D110,5)="MB-CL",LEFT($D110,6)="MB-RES"),0,$J110)</f>
        <v>0</v>
      </c>
      <c r="X110" s="101" t="str">
        <f aca="false">IF($E110="","",LEFT($E110,1))</f>
        <v/>
      </c>
      <c r="Y110" s="101" t="str">
        <f aca="false">IF($E110="","",LEFT($E110,2))</f>
        <v/>
      </c>
      <c r="Z110" s="101" t="str">
        <f aca="false">IF($E110="","",LEFT($E110,3))</f>
        <v/>
      </c>
      <c r="AA110" s="101" t="str">
        <f aca="false">IF($E110="","",LEFT($E110,4))</f>
        <v/>
      </c>
    </row>
    <row r="111" customFormat="false" ht="15" hidden="false" customHeight="true" outlineLevel="0" collapsed="false">
      <c r="A111" s="484" t="str">
        <f aca="false">IF(DITARI!$D115="","",ROW()-1)</f>
        <v/>
      </c>
      <c r="B111" s="485" t="str">
        <f aca="false">IF(DITARI!$D115="","",DITARI!$A115)</f>
        <v/>
      </c>
      <c r="C111" s="484" t="str">
        <f aca="false">IF(DITARI!$D115="","",DITARI!$B115)</f>
        <v/>
      </c>
      <c r="D111" s="484" t="str">
        <f aca="false">IF(DITARI!$D115="","",DITARI!$C115)</f>
        <v/>
      </c>
      <c r="E111" s="484" t="str">
        <f aca="false">IF(DITARI!$D115="","",TRIM(DITARI!$D115&amp;""))</f>
        <v/>
      </c>
      <c r="F111" s="484" t="str">
        <f aca="false">IF($E111="","",IFERROR(VLOOKUP($E111,PLANI_LLOGARIVE!$A:$I,2,FALSE()),DITARI!$E115))</f>
        <v/>
      </c>
      <c r="G111" s="484" t="str">
        <f aca="false">IF($E111="","",DITARI!$I115)</f>
        <v/>
      </c>
      <c r="H111" s="484" t="str">
        <f aca="false">IFERROR(IF($E111="","",DITARI!$H115),"")</f>
        <v/>
      </c>
      <c r="I111" s="487" t="n">
        <f aca="false">IF($E111="",0,IFERROR(DITARI!$F115,0))</f>
        <v>0</v>
      </c>
      <c r="J111" s="487" t="n">
        <f aca="false">IF($E111="",0,IFERROR(DITARI!$G115,0))</f>
        <v>0</v>
      </c>
      <c r="K111" s="484" t="str">
        <f aca="false">IF($E111="","",IFERROR(VLOOKUP($E111,PLANI_LLOGARIVE!$A:$I,9,FALSE()),""))</f>
        <v/>
      </c>
      <c r="L111" s="487" t="str">
        <f aca="false">IF($E111="","",$I111-$J111)</f>
        <v/>
      </c>
      <c r="M111" s="484" t="str">
        <f aca="false">IF($E111="","",IF($I111&gt;0,"DEBIT",IF($J111&gt;0,"KREDIT","ZERO")))</f>
        <v/>
      </c>
      <c r="N111" s="484" t="str">
        <f aca="false">IF($E111="","",TEXT($B111,"yyyymmdd")&amp;"-"&amp;TEXT(ROW(),"0000"))</f>
        <v/>
      </c>
      <c r="O111" s="101" t="str">
        <f aca="false">IF($E111="","",$E111&amp;"")</f>
        <v/>
      </c>
      <c r="P111" s="101" t="str">
        <f aca="false">IF(AND($O111&lt;&gt;"",$I111&lt;&gt;0),COUNTIFS($O$2:O111,$O111,$I$2:I111,"&gt;0"),"")</f>
        <v/>
      </c>
      <c r="Q111" s="101" t="str">
        <f aca="false">IF(AND($O111&lt;&gt;"",$J111&lt;&gt;0),COUNTIFS($O$2:O111,$O111,$J$2:J111,"&gt;0"),"")</f>
        <v/>
      </c>
      <c r="R111" s="101" t="str">
        <f aca="false">IF($P111="","",$O111&amp;"|"&amp;$P111)</f>
        <v/>
      </c>
      <c r="S111" s="101" t="str">
        <f aca="false">IF($Q111="","",$O111&amp;"|"&amp;$Q111)</f>
        <v/>
      </c>
      <c r="T111" s="101" t="str">
        <f aca="false">IF($O111="","",COUNTIF($O$2:O111,$O111))</f>
        <v/>
      </c>
      <c r="U111" s="101" t="str">
        <f aca="false">IF($O111="","",$O111&amp;"|"&amp;$T111)</f>
        <v/>
      </c>
      <c r="V111" s="488" t="n">
        <f aca="false">IF(OR(LEFT($D111,5)="MB-CL",LEFT($D111,6)="MB-RES"),0,$I111)</f>
        <v>0</v>
      </c>
      <c r="W111" s="488" t="n">
        <f aca="false">IF(OR(LEFT($D111,5)="MB-CL",LEFT($D111,6)="MB-RES"),0,$J111)</f>
        <v>0</v>
      </c>
      <c r="X111" s="101" t="str">
        <f aca="false">IF($E111="","",LEFT($E111,1))</f>
        <v/>
      </c>
      <c r="Y111" s="101" t="str">
        <f aca="false">IF($E111="","",LEFT($E111,2))</f>
        <v/>
      </c>
      <c r="Z111" s="101" t="str">
        <f aca="false">IF($E111="","",LEFT($E111,3))</f>
        <v/>
      </c>
      <c r="AA111" s="101" t="str">
        <f aca="false">IF($E111="","",LEFT($E111,4))</f>
        <v/>
      </c>
    </row>
    <row r="112" customFormat="false" ht="15" hidden="false" customHeight="true" outlineLevel="0" collapsed="false">
      <c r="A112" s="484" t="str">
        <f aca="false">IF(DITARI!$D116="","",ROW()-1)</f>
        <v/>
      </c>
      <c r="B112" s="485" t="str">
        <f aca="false">IF(DITARI!$D116="","",DITARI!$A116)</f>
        <v/>
      </c>
      <c r="C112" s="484" t="str">
        <f aca="false">IF(DITARI!$D116="","",DITARI!$B116)</f>
        <v/>
      </c>
      <c r="D112" s="484" t="str">
        <f aca="false">IF(DITARI!$D116="","",DITARI!$C116)</f>
        <v/>
      </c>
      <c r="E112" s="484" t="str">
        <f aca="false">IF(DITARI!$D116="","",TRIM(DITARI!$D116&amp;""))</f>
        <v/>
      </c>
      <c r="F112" s="484" t="str">
        <f aca="false">IF($E112="","",IFERROR(VLOOKUP($E112,PLANI_LLOGARIVE!$A:$I,2,FALSE()),DITARI!$E116))</f>
        <v/>
      </c>
      <c r="G112" s="484" t="str">
        <f aca="false">IF($E112="","",DITARI!$I116)</f>
        <v/>
      </c>
      <c r="H112" s="484" t="str">
        <f aca="false">IFERROR(IF($E112="","",DITARI!$H116),"")</f>
        <v/>
      </c>
      <c r="I112" s="487" t="n">
        <f aca="false">IF($E112="",0,IFERROR(DITARI!$F116,0))</f>
        <v>0</v>
      </c>
      <c r="J112" s="487" t="n">
        <f aca="false">IF($E112="",0,IFERROR(DITARI!$G116,0))</f>
        <v>0</v>
      </c>
      <c r="K112" s="484" t="str">
        <f aca="false">IF($E112="","",IFERROR(VLOOKUP($E112,PLANI_LLOGARIVE!$A:$I,9,FALSE()),""))</f>
        <v/>
      </c>
      <c r="L112" s="487" t="str">
        <f aca="false">IF($E112="","",$I112-$J112)</f>
        <v/>
      </c>
      <c r="M112" s="484" t="str">
        <f aca="false">IF($E112="","",IF($I112&gt;0,"DEBIT",IF($J112&gt;0,"KREDIT","ZERO")))</f>
        <v/>
      </c>
      <c r="N112" s="484" t="str">
        <f aca="false">IF($E112="","",TEXT($B112,"yyyymmdd")&amp;"-"&amp;TEXT(ROW(),"0000"))</f>
        <v/>
      </c>
      <c r="O112" s="101" t="str">
        <f aca="false">IF($E112="","",$E112&amp;"")</f>
        <v/>
      </c>
      <c r="P112" s="101" t="str">
        <f aca="false">IF(AND($O112&lt;&gt;"",$I112&lt;&gt;0),COUNTIFS($O$2:O112,$O112,$I$2:I112,"&gt;0"),"")</f>
        <v/>
      </c>
      <c r="Q112" s="101" t="str">
        <f aca="false">IF(AND($O112&lt;&gt;"",$J112&lt;&gt;0),COUNTIFS($O$2:O112,$O112,$J$2:J112,"&gt;0"),"")</f>
        <v/>
      </c>
      <c r="R112" s="101" t="str">
        <f aca="false">IF($P112="","",$O112&amp;"|"&amp;$P112)</f>
        <v/>
      </c>
      <c r="S112" s="101" t="str">
        <f aca="false">IF($Q112="","",$O112&amp;"|"&amp;$Q112)</f>
        <v/>
      </c>
      <c r="T112" s="101" t="str">
        <f aca="false">IF($O112="","",COUNTIF($O$2:O112,$O112))</f>
        <v/>
      </c>
      <c r="U112" s="101" t="str">
        <f aca="false">IF($O112="","",$O112&amp;"|"&amp;$T112)</f>
        <v/>
      </c>
      <c r="V112" s="488" t="n">
        <f aca="false">IF(OR(LEFT($D112,5)="MB-CL",LEFT($D112,6)="MB-RES"),0,$I112)</f>
        <v>0</v>
      </c>
      <c r="W112" s="488" t="n">
        <f aca="false">IF(OR(LEFT($D112,5)="MB-CL",LEFT($D112,6)="MB-RES"),0,$J112)</f>
        <v>0</v>
      </c>
      <c r="X112" s="101" t="str">
        <f aca="false">IF($E112="","",LEFT($E112,1))</f>
        <v/>
      </c>
      <c r="Y112" s="101" t="str">
        <f aca="false">IF($E112="","",LEFT($E112,2))</f>
        <v/>
      </c>
      <c r="Z112" s="101" t="str">
        <f aca="false">IF($E112="","",LEFT($E112,3))</f>
        <v/>
      </c>
      <c r="AA112" s="101" t="str">
        <f aca="false">IF($E112="","",LEFT($E112,4))</f>
        <v/>
      </c>
    </row>
    <row r="113" customFormat="false" ht="15" hidden="false" customHeight="true" outlineLevel="0" collapsed="false">
      <c r="A113" s="484" t="str">
        <f aca="false">IF(DITARI!$D117="","",ROW()-1)</f>
        <v/>
      </c>
      <c r="B113" s="485" t="str">
        <f aca="false">IF(DITARI!$D117="","",DITARI!$A117)</f>
        <v/>
      </c>
      <c r="C113" s="484" t="str">
        <f aca="false">IF(DITARI!$D117="","",DITARI!$B117)</f>
        <v/>
      </c>
      <c r="D113" s="484" t="str">
        <f aca="false">IF(DITARI!$D117="","",DITARI!$C117)</f>
        <v/>
      </c>
      <c r="E113" s="484" t="str">
        <f aca="false">IF(DITARI!$D117="","",TRIM(DITARI!$D117&amp;""))</f>
        <v/>
      </c>
      <c r="F113" s="484" t="str">
        <f aca="false">IF($E113="","",IFERROR(VLOOKUP($E113,PLANI_LLOGARIVE!$A:$I,2,FALSE()),DITARI!$E117))</f>
        <v/>
      </c>
      <c r="G113" s="484" t="str">
        <f aca="false">IF($E113="","",DITARI!$I117)</f>
        <v/>
      </c>
      <c r="H113" s="484" t="str">
        <f aca="false">IFERROR(IF($E113="","",DITARI!$H117),"")</f>
        <v/>
      </c>
      <c r="I113" s="487" t="n">
        <f aca="false">IF($E113="",0,IFERROR(DITARI!$F117,0))</f>
        <v>0</v>
      </c>
      <c r="J113" s="487" t="n">
        <f aca="false">IF($E113="",0,IFERROR(DITARI!$G117,0))</f>
        <v>0</v>
      </c>
      <c r="K113" s="484" t="str">
        <f aca="false">IF($E113="","",IFERROR(VLOOKUP($E113,PLANI_LLOGARIVE!$A:$I,9,FALSE()),""))</f>
        <v/>
      </c>
      <c r="L113" s="487" t="str">
        <f aca="false">IF($E113="","",$I113-$J113)</f>
        <v/>
      </c>
      <c r="M113" s="484" t="str">
        <f aca="false">IF($E113="","",IF($I113&gt;0,"DEBIT",IF($J113&gt;0,"KREDIT","ZERO")))</f>
        <v/>
      </c>
      <c r="N113" s="484" t="str">
        <f aca="false">IF($E113="","",TEXT($B113,"yyyymmdd")&amp;"-"&amp;TEXT(ROW(),"0000"))</f>
        <v/>
      </c>
      <c r="O113" s="101" t="str">
        <f aca="false">IF($E113="","",$E113&amp;"")</f>
        <v/>
      </c>
      <c r="P113" s="101" t="str">
        <f aca="false">IF(AND($O113&lt;&gt;"",$I113&lt;&gt;0),COUNTIFS($O$2:O113,$O113,$I$2:I113,"&gt;0"),"")</f>
        <v/>
      </c>
      <c r="Q113" s="101" t="str">
        <f aca="false">IF(AND($O113&lt;&gt;"",$J113&lt;&gt;0),COUNTIFS($O$2:O113,$O113,$J$2:J113,"&gt;0"),"")</f>
        <v/>
      </c>
      <c r="R113" s="101" t="str">
        <f aca="false">IF($P113="","",$O113&amp;"|"&amp;$P113)</f>
        <v/>
      </c>
      <c r="S113" s="101" t="str">
        <f aca="false">IF($Q113="","",$O113&amp;"|"&amp;$Q113)</f>
        <v/>
      </c>
      <c r="T113" s="101" t="str">
        <f aca="false">IF($O113="","",COUNTIF($O$2:O113,$O113))</f>
        <v/>
      </c>
      <c r="U113" s="101" t="str">
        <f aca="false">IF($O113="","",$O113&amp;"|"&amp;$T113)</f>
        <v/>
      </c>
      <c r="V113" s="488" t="n">
        <f aca="false">IF(OR(LEFT($D113,5)="MB-CL",LEFT($D113,6)="MB-RES"),0,$I113)</f>
        <v>0</v>
      </c>
      <c r="W113" s="488" t="n">
        <f aca="false">IF(OR(LEFT($D113,5)="MB-CL",LEFT($D113,6)="MB-RES"),0,$J113)</f>
        <v>0</v>
      </c>
      <c r="X113" s="101" t="str">
        <f aca="false">IF($E113="","",LEFT($E113,1))</f>
        <v/>
      </c>
      <c r="Y113" s="101" t="str">
        <f aca="false">IF($E113="","",LEFT($E113,2))</f>
        <v/>
      </c>
      <c r="Z113" s="101" t="str">
        <f aca="false">IF($E113="","",LEFT($E113,3))</f>
        <v/>
      </c>
      <c r="AA113" s="101" t="str">
        <f aca="false">IF($E113="","",LEFT($E113,4))</f>
        <v/>
      </c>
    </row>
    <row r="114" customFormat="false" ht="15" hidden="false" customHeight="true" outlineLevel="0" collapsed="false">
      <c r="A114" s="484" t="str">
        <f aca="false">IF(DITARI!$D118="","",ROW()-1)</f>
        <v/>
      </c>
      <c r="B114" s="485" t="str">
        <f aca="false">IF(DITARI!$D118="","",DITARI!$A118)</f>
        <v/>
      </c>
      <c r="C114" s="484" t="str">
        <f aca="false">IF(DITARI!$D118="","",DITARI!$B118)</f>
        <v/>
      </c>
      <c r="D114" s="484" t="str">
        <f aca="false">IF(DITARI!$D118="","",DITARI!$C118)</f>
        <v/>
      </c>
      <c r="E114" s="484" t="str">
        <f aca="false">IF(DITARI!$D118="","",TRIM(DITARI!$D118&amp;""))</f>
        <v/>
      </c>
      <c r="F114" s="484" t="str">
        <f aca="false">IF($E114="","",IFERROR(VLOOKUP($E114,PLANI_LLOGARIVE!$A:$I,2,FALSE()),DITARI!$E118))</f>
        <v/>
      </c>
      <c r="G114" s="484" t="str">
        <f aca="false">IF($E114="","",DITARI!$I118)</f>
        <v/>
      </c>
      <c r="H114" s="484" t="str">
        <f aca="false">IFERROR(IF($E114="","",DITARI!$H118),"")</f>
        <v/>
      </c>
      <c r="I114" s="487" t="n">
        <f aca="false">IF($E114="",0,IFERROR(DITARI!$F118,0))</f>
        <v>0</v>
      </c>
      <c r="J114" s="487" t="n">
        <f aca="false">IF($E114="",0,IFERROR(DITARI!$G118,0))</f>
        <v>0</v>
      </c>
      <c r="K114" s="484" t="str">
        <f aca="false">IF($E114="","",IFERROR(VLOOKUP($E114,PLANI_LLOGARIVE!$A:$I,9,FALSE()),""))</f>
        <v/>
      </c>
      <c r="L114" s="487" t="str">
        <f aca="false">IF($E114="","",$I114-$J114)</f>
        <v/>
      </c>
      <c r="M114" s="484" t="str">
        <f aca="false">IF($E114="","",IF($I114&gt;0,"DEBIT",IF($J114&gt;0,"KREDIT","ZERO")))</f>
        <v/>
      </c>
      <c r="N114" s="484" t="str">
        <f aca="false">IF($E114="","",TEXT($B114,"yyyymmdd")&amp;"-"&amp;TEXT(ROW(),"0000"))</f>
        <v/>
      </c>
      <c r="O114" s="101" t="str">
        <f aca="false">IF($E114="","",$E114&amp;"")</f>
        <v/>
      </c>
      <c r="P114" s="101" t="str">
        <f aca="false">IF(AND($O114&lt;&gt;"",$I114&lt;&gt;0),COUNTIFS($O$2:O114,$O114,$I$2:I114,"&gt;0"),"")</f>
        <v/>
      </c>
      <c r="Q114" s="101" t="str">
        <f aca="false">IF(AND($O114&lt;&gt;"",$J114&lt;&gt;0),COUNTIFS($O$2:O114,$O114,$J$2:J114,"&gt;0"),"")</f>
        <v/>
      </c>
      <c r="R114" s="101" t="str">
        <f aca="false">IF($P114="","",$O114&amp;"|"&amp;$P114)</f>
        <v/>
      </c>
      <c r="S114" s="101" t="str">
        <f aca="false">IF($Q114="","",$O114&amp;"|"&amp;$Q114)</f>
        <v/>
      </c>
      <c r="T114" s="101" t="str">
        <f aca="false">IF($O114="","",COUNTIF($O$2:O114,$O114))</f>
        <v/>
      </c>
      <c r="U114" s="101" t="str">
        <f aca="false">IF($O114="","",$O114&amp;"|"&amp;$T114)</f>
        <v/>
      </c>
      <c r="V114" s="488" t="n">
        <f aca="false">IF(OR(LEFT($D114,5)="MB-CL",LEFT($D114,6)="MB-RES"),0,$I114)</f>
        <v>0</v>
      </c>
      <c r="W114" s="488" t="n">
        <f aca="false">IF(OR(LEFT($D114,5)="MB-CL",LEFT($D114,6)="MB-RES"),0,$J114)</f>
        <v>0</v>
      </c>
      <c r="X114" s="101" t="str">
        <f aca="false">IF($E114="","",LEFT($E114,1))</f>
        <v/>
      </c>
      <c r="Y114" s="101" t="str">
        <f aca="false">IF($E114="","",LEFT($E114,2))</f>
        <v/>
      </c>
      <c r="Z114" s="101" t="str">
        <f aca="false">IF($E114="","",LEFT($E114,3))</f>
        <v/>
      </c>
      <c r="AA114" s="101" t="str">
        <f aca="false">IF($E114="","",LEFT($E114,4))</f>
        <v/>
      </c>
    </row>
    <row r="115" customFormat="false" ht="15" hidden="false" customHeight="true" outlineLevel="0" collapsed="false">
      <c r="A115" s="484" t="str">
        <f aca="false">IF(DITARI!$D119="","",ROW()-1)</f>
        <v/>
      </c>
      <c r="B115" s="485" t="str">
        <f aca="false">IF(DITARI!$D119="","",DITARI!$A119)</f>
        <v/>
      </c>
      <c r="C115" s="484" t="str">
        <f aca="false">IF(DITARI!$D119="","",DITARI!$B119)</f>
        <v/>
      </c>
      <c r="D115" s="484" t="str">
        <f aca="false">IF(DITARI!$D119="","",DITARI!$C119)</f>
        <v/>
      </c>
      <c r="E115" s="484" t="str">
        <f aca="false">IF(DITARI!$D119="","",TRIM(DITARI!$D119&amp;""))</f>
        <v/>
      </c>
      <c r="F115" s="484" t="str">
        <f aca="false">IF($E115="","",IFERROR(VLOOKUP($E115,PLANI_LLOGARIVE!$A:$I,2,FALSE()),DITARI!$E119))</f>
        <v/>
      </c>
      <c r="G115" s="484" t="str">
        <f aca="false">IF($E115="","",DITARI!$I119)</f>
        <v/>
      </c>
      <c r="H115" s="484" t="str">
        <f aca="false">IFERROR(IF($E115="","",DITARI!$H119),"")</f>
        <v/>
      </c>
      <c r="I115" s="487" t="n">
        <f aca="false">IF($E115="",0,IFERROR(DITARI!$F119,0))</f>
        <v>0</v>
      </c>
      <c r="J115" s="487" t="n">
        <f aca="false">IF($E115="",0,IFERROR(DITARI!$G119,0))</f>
        <v>0</v>
      </c>
      <c r="K115" s="484" t="str">
        <f aca="false">IF($E115="","",IFERROR(VLOOKUP($E115,PLANI_LLOGARIVE!$A:$I,9,FALSE()),""))</f>
        <v/>
      </c>
      <c r="L115" s="487" t="str">
        <f aca="false">IF($E115="","",$I115-$J115)</f>
        <v/>
      </c>
      <c r="M115" s="484" t="str">
        <f aca="false">IF($E115="","",IF($I115&gt;0,"DEBIT",IF($J115&gt;0,"KREDIT","ZERO")))</f>
        <v/>
      </c>
      <c r="N115" s="484" t="str">
        <f aca="false">IF($E115="","",TEXT($B115,"yyyymmdd")&amp;"-"&amp;TEXT(ROW(),"0000"))</f>
        <v/>
      </c>
      <c r="O115" s="101" t="str">
        <f aca="false">IF($E115="","",$E115&amp;"")</f>
        <v/>
      </c>
      <c r="P115" s="101" t="str">
        <f aca="false">IF(AND($O115&lt;&gt;"",$I115&lt;&gt;0),COUNTIFS($O$2:O115,$O115,$I$2:I115,"&gt;0"),"")</f>
        <v/>
      </c>
      <c r="Q115" s="101" t="str">
        <f aca="false">IF(AND($O115&lt;&gt;"",$J115&lt;&gt;0),COUNTIFS($O$2:O115,$O115,$J$2:J115,"&gt;0"),"")</f>
        <v/>
      </c>
      <c r="R115" s="101" t="str">
        <f aca="false">IF($P115="","",$O115&amp;"|"&amp;$P115)</f>
        <v/>
      </c>
      <c r="S115" s="101" t="str">
        <f aca="false">IF($Q115="","",$O115&amp;"|"&amp;$Q115)</f>
        <v/>
      </c>
      <c r="T115" s="101" t="str">
        <f aca="false">IF($O115="","",COUNTIF($O$2:O115,$O115))</f>
        <v/>
      </c>
      <c r="U115" s="101" t="str">
        <f aca="false">IF($O115="","",$O115&amp;"|"&amp;$T115)</f>
        <v/>
      </c>
      <c r="V115" s="488" t="n">
        <f aca="false">IF(OR(LEFT($D115,5)="MB-CL",LEFT($D115,6)="MB-RES"),0,$I115)</f>
        <v>0</v>
      </c>
      <c r="W115" s="488" t="n">
        <f aca="false">IF(OR(LEFT($D115,5)="MB-CL",LEFT($D115,6)="MB-RES"),0,$J115)</f>
        <v>0</v>
      </c>
      <c r="X115" s="101" t="str">
        <f aca="false">IF($E115="","",LEFT($E115,1))</f>
        <v/>
      </c>
      <c r="Y115" s="101" t="str">
        <f aca="false">IF($E115="","",LEFT($E115,2))</f>
        <v/>
      </c>
      <c r="Z115" s="101" t="str">
        <f aca="false">IF($E115="","",LEFT($E115,3))</f>
        <v/>
      </c>
      <c r="AA115" s="101" t="str">
        <f aca="false">IF($E115="","",LEFT($E115,4))</f>
        <v/>
      </c>
    </row>
    <row r="116" customFormat="false" ht="15" hidden="false" customHeight="true" outlineLevel="0" collapsed="false">
      <c r="A116" s="484" t="str">
        <f aca="false">IF(DITARI!$D120="","",ROW()-1)</f>
        <v/>
      </c>
      <c r="B116" s="485" t="str">
        <f aca="false">IF(DITARI!$D120="","",DITARI!$A120)</f>
        <v/>
      </c>
      <c r="C116" s="484" t="str">
        <f aca="false">IF(DITARI!$D120="","",DITARI!$B120)</f>
        <v/>
      </c>
      <c r="D116" s="484" t="str">
        <f aca="false">IF(DITARI!$D120="","",DITARI!$C120)</f>
        <v/>
      </c>
      <c r="E116" s="484" t="str">
        <f aca="false">IF(DITARI!$D120="","",TRIM(DITARI!$D120&amp;""))</f>
        <v/>
      </c>
      <c r="F116" s="484" t="str">
        <f aca="false">IF($E116="","",IFERROR(VLOOKUP($E116,PLANI_LLOGARIVE!$A:$I,2,FALSE()),DITARI!$E120))</f>
        <v/>
      </c>
      <c r="G116" s="484" t="str">
        <f aca="false">IF($E116="","",DITARI!$I120)</f>
        <v/>
      </c>
      <c r="H116" s="484" t="str">
        <f aca="false">IFERROR(IF($E116="","",DITARI!$H120),"")</f>
        <v/>
      </c>
      <c r="I116" s="487" t="n">
        <f aca="false">IF($E116="",0,IFERROR(DITARI!$F120,0))</f>
        <v>0</v>
      </c>
      <c r="J116" s="487" t="n">
        <f aca="false">IF($E116="",0,IFERROR(DITARI!$G120,0))</f>
        <v>0</v>
      </c>
      <c r="K116" s="484" t="str">
        <f aca="false">IF($E116="","",IFERROR(VLOOKUP($E116,PLANI_LLOGARIVE!$A:$I,9,FALSE()),""))</f>
        <v/>
      </c>
      <c r="L116" s="487" t="str">
        <f aca="false">IF($E116="","",$I116-$J116)</f>
        <v/>
      </c>
      <c r="M116" s="484" t="str">
        <f aca="false">IF($E116="","",IF($I116&gt;0,"DEBIT",IF($J116&gt;0,"KREDIT","ZERO")))</f>
        <v/>
      </c>
      <c r="N116" s="484" t="str">
        <f aca="false">IF($E116="","",TEXT($B116,"yyyymmdd")&amp;"-"&amp;TEXT(ROW(),"0000"))</f>
        <v/>
      </c>
      <c r="O116" s="101" t="str">
        <f aca="false">IF($E116="","",$E116&amp;"")</f>
        <v/>
      </c>
      <c r="P116" s="101" t="str">
        <f aca="false">IF(AND($O116&lt;&gt;"",$I116&lt;&gt;0),COUNTIFS($O$2:O116,$O116,$I$2:I116,"&gt;0"),"")</f>
        <v/>
      </c>
      <c r="Q116" s="101" t="str">
        <f aca="false">IF(AND($O116&lt;&gt;"",$J116&lt;&gt;0),COUNTIFS($O$2:O116,$O116,$J$2:J116,"&gt;0"),"")</f>
        <v/>
      </c>
      <c r="R116" s="101" t="str">
        <f aca="false">IF($P116="","",$O116&amp;"|"&amp;$P116)</f>
        <v/>
      </c>
      <c r="S116" s="101" t="str">
        <f aca="false">IF($Q116="","",$O116&amp;"|"&amp;$Q116)</f>
        <v/>
      </c>
      <c r="T116" s="101" t="str">
        <f aca="false">IF($O116="","",COUNTIF($O$2:O116,$O116))</f>
        <v/>
      </c>
      <c r="U116" s="101" t="str">
        <f aca="false">IF($O116="","",$O116&amp;"|"&amp;$T116)</f>
        <v/>
      </c>
      <c r="V116" s="488" t="n">
        <f aca="false">IF(OR(LEFT($D116,5)="MB-CL",LEFT($D116,6)="MB-RES"),0,$I116)</f>
        <v>0</v>
      </c>
      <c r="W116" s="488" t="n">
        <f aca="false">IF(OR(LEFT($D116,5)="MB-CL",LEFT($D116,6)="MB-RES"),0,$J116)</f>
        <v>0</v>
      </c>
      <c r="X116" s="101" t="str">
        <f aca="false">IF($E116="","",LEFT($E116,1))</f>
        <v/>
      </c>
      <c r="Y116" s="101" t="str">
        <f aca="false">IF($E116="","",LEFT($E116,2))</f>
        <v/>
      </c>
      <c r="Z116" s="101" t="str">
        <f aca="false">IF($E116="","",LEFT($E116,3))</f>
        <v/>
      </c>
      <c r="AA116" s="101" t="str">
        <f aca="false">IF($E116="","",LEFT($E116,4))</f>
        <v/>
      </c>
    </row>
    <row r="117" customFormat="false" ht="15" hidden="false" customHeight="true" outlineLevel="0" collapsed="false">
      <c r="A117" s="484" t="str">
        <f aca="false">IF(DITARI!$D121="","",ROW()-1)</f>
        <v/>
      </c>
      <c r="B117" s="485" t="str">
        <f aca="false">IF(DITARI!$D121="","",DITARI!$A121)</f>
        <v/>
      </c>
      <c r="C117" s="484" t="str">
        <f aca="false">IF(DITARI!$D121="","",DITARI!$B121)</f>
        <v/>
      </c>
      <c r="D117" s="484" t="str">
        <f aca="false">IF(DITARI!$D121="","",DITARI!$C121)</f>
        <v/>
      </c>
      <c r="E117" s="484" t="str">
        <f aca="false">IF(DITARI!$D121="","",TRIM(DITARI!$D121&amp;""))</f>
        <v/>
      </c>
      <c r="F117" s="484" t="str">
        <f aca="false">IF($E117="","",IFERROR(VLOOKUP($E117,PLANI_LLOGARIVE!$A:$I,2,FALSE()),DITARI!$E121))</f>
        <v/>
      </c>
      <c r="G117" s="484" t="str">
        <f aca="false">IF($E117="","",DITARI!$I121)</f>
        <v/>
      </c>
      <c r="H117" s="484" t="str">
        <f aca="false">IFERROR(IF($E117="","",DITARI!$H121),"")</f>
        <v/>
      </c>
      <c r="I117" s="487" t="n">
        <f aca="false">IF($E117="",0,IFERROR(DITARI!$F121,0))</f>
        <v>0</v>
      </c>
      <c r="J117" s="487" t="n">
        <f aca="false">IF($E117="",0,IFERROR(DITARI!$G121,0))</f>
        <v>0</v>
      </c>
      <c r="K117" s="484" t="str">
        <f aca="false">IF($E117="","",IFERROR(VLOOKUP($E117,PLANI_LLOGARIVE!$A:$I,9,FALSE()),""))</f>
        <v/>
      </c>
      <c r="L117" s="487" t="str">
        <f aca="false">IF($E117="","",$I117-$J117)</f>
        <v/>
      </c>
      <c r="M117" s="484" t="str">
        <f aca="false">IF($E117="","",IF($I117&gt;0,"DEBIT",IF($J117&gt;0,"KREDIT","ZERO")))</f>
        <v/>
      </c>
      <c r="N117" s="484" t="str">
        <f aca="false">IF($E117="","",TEXT($B117,"yyyymmdd")&amp;"-"&amp;TEXT(ROW(),"0000"))</f>
        <v/>
      </c>
      <c r="O117" s="101" t="str">
        <f aca="false">IF($E117="","",$E117&amp;"")</f>
        <v/>
      </c>
      <c r="P117" s="101" t="str">
        <f aca="false">IF(AND($O117&lt;&gt;"",$I117&lt;&gt;0),COUNTIFS($O$2:O117,$O117,$I$2:I117,"&gt;0"),"")</f>
        <v/>
      </c>
      <c r="Q117" s="101" t="str">
        <f aca="false">IF(AND($O117&lt;&gt;"",$J117&lt;&gt;0),COUNTIFS($O$2:O117,$O117,$J$2:J117,"&gt;0"),"")</f>
        <v/>
      </c>
      <c r="R117" s="101" t="str">
        <f aca="false">IF($P117="","",$O117&amp;"|"&amp;$P117)</f>
        <v/>
      </c>
      <c r="S117" s="101" t="str">
        <f aca="false">IF($Q117="","",$O117&amp;"|"&amp;$Q117)</f>
        <v/>
      </c>
      <c r="T117" s="101" t="str">
        <f aca="false">IF($O117="","",COUNTIF($O$2:O117,$O117))</f>
        <v/>
      </c>
      <c r="U117" s="101" t="str">
        <f aca="false">IF($O117="","",$O117&amp;"|"&amp;$T117)</f>
        <v/>
      </c>
      <c r="V117" s="488" t="n">
        <f aca="false">IF(OR(LEFT($D117,5)="MB-CL",LEFT($D117,6)="MB-RES"),0,$I117)</f>
        <v>0</v>
      </c>
      <c r="W117" s="488" t="n">
        <f aca="false">IF(OR(LEFT($D117,5)="MB-CL",LEFT($D117,6)="MB-RES"),0,$J117)</f>
        <v>0</v>
      </c>
      <c r="X117" s="101" t="str">
        <f aca="false">IF($E117="","",LEFT($E117,1))</f>
        <v/>
      </c>
      <c r="Y117" s="101" t="str">
        <f aca="false">IF($E117="","",LEFT($E117,2))</f>
        <v/>
      </c>
      <c r="Z117" s="101" t="str">
        <f aca="false">IF($E117="","",LEFT($E117,3))</f>
        <v/>
      </c>
      <c r="AA117" s="101" t="str">
        <f aca="false">IF($E117="","",LEFT($E117,4))</f>
        <v/>
      </c>
    </row>
    <row r="118" customFormat="false" ht="15" hidden="false" customHeight="true" outlineLevel="0" collapsed="false">
      <c r="A118" s="484" t="str">
        <f aca="false">IF(DITARI!$D122="","",ROW()-1)</f>
        <v/>
      </c>
      <c r="B118" s="485" t="str">
        <f aca="false">IF(DITARI!$D122="","",DITARI!$A122)</f>
        <v/>
      </c>
      <c r="C118" s="484" t="str">
        <f aca="false">IF(DITARI!$D122="","",DITARI!$B122)</f>
        <v/>
      </c>
      <c r="D118" s="484" t="str">
        <f aca="false">IF(DITARI!$D122="","",DITARI!$C122)</f>
        <v/>
      </c>
      <c r="E118" s="484" t="str">
        <f aca="false">IF(DITARI!$D122="","",TRIM(DITARI!$D122&amp;""))</f>
        <v/>
      </c>
      <c r="F118" s="484" t="str">
        <f aca="false">IF($E118="","",IFERROR(VLOOKUP($E118,PLANI_LLOGARIVE!$A:$I,2,FALSE()),DITARI!$E122))</f>
        <v/>
      </c>
      <c r="G118" s="484" t="str">
        <f aca="false">IF($E118="","",DITARI!$I122)</f>
        <v/>
      </c>
      <c r="H118" s="484" t="str">
        <f aca="false">IFERROR(IF($E118="","",DITARI!$H122),"")</f>
        <v/>
      </c>
      <c r="I118" s="487" t="n">
        <f aca="false">IF($E118="",0,IFERROR(DITARI!$F122,0))</f>
        <v>0</v>
      </c>
      <c r="J118" s="487" t="n">
        <f aca="false">IF($E118="",0,IFERROR(DITARI!$G122,0))</f>
        <v>0</v>
      </c>
      <c r="K118" s="484" t="str">
        <f aca="false">IF($E118="","",IFERROR(VLOOKUP($E118,PLANI_LLOGARIVE!$A:$I,9,FALSE()),""))</f>
        <v/>
      </c>
      <c r="L118" s="487" t="str">
        <f aca="false">IF($E118="","",$I118-$J118)</f>
        <v/>
      </c>
      <c r="M118" s="484" t="str">
        <f aca="false">IF($E118="","",IF($I118&gt;0,"DEBIT",IF($J118&gt;0,"KREDIT","ZERO")))</f>
        <v/>
      </c>
      <c r="N118" s="484" t="str">
        <f aca="false">IF($E118="","",TEXT($B118,"yyyymmdd")&amp;"-"&amp;TEXT(ROW(),"0000"))</f>
        <v/>
      </c>
      <c r="O118" s="101" t="str">
        <f aca="false">IF($E118="","",$E118&amp;"")</f>
        <v/>
      </c>
      <c r="P118" s="101" t="str">
        <f aca="false">IF(AND($O118&lt;&gt;"",$I118&lt;&gt;0),COUNTIFS($O$2:O118,$O118,$I$2:I118,"&gt;0"),"")</f>
        <v/>
      </c>
      <c r="Q118" s="101" t="str">
        <f aca="false">IF(AND($O118&lt;&gt;"",$J118&lt;&gt;0),COUNTIFS($O$2:O118,$O118,$J$2:J118,"&gt;0"),"")</f>
        <v/>
      </c>
      <c r="R118" s="101" t="str">
        <f aca="false">IF($P118="","",$O118&amp;"|"&amp;$P118)</f>
        <v/>
      </c>
      <c r="S118" s="101" t="str">
        <f aca="false">IF($Q118="","",$O118&amp;"|"&amp;$Q118)</f>
        <v/>
      </c>
      <c r="T118" s="101" t="str">
        <f aca="false">IF($O118="","",COUNTIF($O$2:O118,$O118))</f>
        <v/>
      </c>
      <c r="U118" s="101" t="str">
        <f aca="false">IF($O118="","",$O118&amp;"|"&amp;$T118)</f>
        <v/>
      </c>
      <c r="V118" s="488" t="n">
        <f aca="false">IF(OR(LEFT($D118,5)="MB-CL",LEFT($D118,6)="MB-RES"),0,$I118)</f>
        <v>0</v>
      </c>
      <c r="W118" s="488" t="n">
        <f aca="false">IF(OR(LEFT($D118,5)="MB-CL",LEFT($D118,6)="MB-RES"),0,$J118)</f>
        <v>0</v>
      </c>
      <c r="X118" s="101" t="str">
        <f aca="false">IF($E118="","",LEFT($E118,1))</f>
        <v/>
      </c>
      <c r="Y118" s="101" t="str">
        <f aca="false">IF($E118="","",LEFT($E118,2))</f>
        <v/>
      </c>
      <c r="Z118" s="101" t="str">
        <f aca="false">IF($E118="","",LEFT($E118,3))</f>
        <v/>
      </c>
      <c r="AA118" s="101" t="str">
        <f aca="false">IF($E118="","",LEFT($E118,4))</f>
        <v/>
      </c>
    </row>
    <row r="119" customFormat="false" ht="15" hidden="false" customHeight="true" outlineLevel="0" collapsed="false">
      <c r="A119" s="484" t="str">
        <f aca="false">IF(DITARI!$D123="","",ROW()-1)</f>
        <v/>
      </c>
      <c r="B119" s="485" t="str">
        <f aca="false">IF(DITARI!$D123="","",DITARI!$A123)</f>
        <v/>
      </c>
      <c r="C119" s="484" t="str">
        <f aca="false">IF(DITARI!$D123="","",DITARI!$B123)</f>
        <v/>
      </c>
      <c r="D119" s="484" t="str">
        <f aca="false">IF(DITARI!$D123="","",DITARI!$C123)</f>
        <v/>
      </c>
      <c r="E119" s="484" t="str">
        <f aca="false">IF(DITARI!$D123="","",TRIM(DITARI!$D123&amp;""))</f>
        <v/>
      </c>
      <c r="F119" s="484" t="str">
        <f aca="false">IF($E119="","",IFERROR(VLOOKUP($E119,PLANI_LLOGARIVE!$A:$I,2,FALSE()),DITARI!$E123))</f>
        <v/>
      </c>
      <c r="G119" s="484" t="str">
        <f aca="false">IF($E119="","",DITARI!$I123)</f>
        <v/>
      </c>
      <c r="H119" s="484" t="str">
        <f aca="false">IFERROR(IF($E119="","",DITARI!$H123),"")</f>
        <v/>
      </c>
      <c r="I119" s="487" t="n">
        <f aca="false">IF($E119="",0,IFERROR(DITARI!$F123,0))</f>
        <v>0</v>
      </c>
      <c r="J119" s="487" t="n">
        <f aca="false">IF($E119="",0,IFERROR(DITARI!$G123,0))</f>
        <v>0</v>
      </c>
      <c r="K119" s="484" t="str">
        <f aca="false">IF($E119="","",IFERROR(VLOOKUP($E119,PLANI_LLOGARIVE!$A:$I,9,FALSE()),""))</f>
        <v/>
      </c>
      <c r="L119" s="487" t="str">
        <f aca="false">IF($E119="","",$I119-$J119)</f>
        <v/>
      </c>
      <c r="M119" s="484" t="str">
        <f aca="false">IF($E119="","",IF($I119&gt;0,"DEBIT",IF($J119&gt;0,"KREDIT","ZERO")))</f>
        <v/>
      </c>
      <c r="N119" s="484" t="str">
        <f aca="false">IF($E119="","",TEXT($B119,"yyyymmdd")&amp;"-"&amp;TEXT(ROW(),"0000"))</f>
        <v/>
      </c>
      <c r="O119" s="101" t="str">
        <f aca="false">IF($E119="","",$E119&amp;"")</f>
        <v/>
      </c>
      <c r="P119" s="101" t="str">
        <f aca="false">IF(AND($O119&lt;&gt;"",$I119&lt;&gt;0),COUNTIFS($O$2:O119,$O119,$I$2:I119,"&gt;0"),"")</f>
        <v/>
      </c>
      <c r="Q119" s="101" t="str">
        <f aca="false">IF(AND($O119&lt;&gt;"",$J119&lt;&gt;0),COUNTIFS($O$2:O119,$O119,$J$2:J119,"&gt;0"),"")</f>
        <v/>
      </c>
      <c r="R119" s="101" t="str">
        <f aca="false">IF($P119="","",$O119&amp;"|"&amp;$P119)</f>
        <v/>
      </c>
      <c r="S119" s="101" t="str">
        <f aca="false">IF($Q119="","",$O119&amp;"|"&amp;$Q119)</f>
        <v/>
      </c>
      <c r="T119" s="101" t="str">
        <f aca="false">IF($O119="","",COUNTIF($O$2:O119,$O119))</f>
        <v/>
      </c>
      <c r="U119" s="101" t="str">
        <f aca="false">IF($O119="","",$O119&amp;"|"&amp;$T119)</f>
        <v/>
      </c>
      <c r="V119" s="488" t="n">
        <f aca="false">IF(OR(LEFT($D119,5)="MB-CL",LEFT($D119,6)="MB-RES"),0,$I119)</f>
        <v>0</v>
      </c>
      <c r="W119" s="488" t="n">
        <f aca="false">IF(OR(LEFT($D119,5)="MB-CL",LEFT($D119,6)="MB-RES"),0,$J119)</f>
        <v>0</v>
      </c>
      <c r="X119" s="101" t="str">
        <f aca="false">IF($E119="","",LEFT($E119,1))</f>
        <v/>
      </c>
      <c r="Y119" s="101" t="str">
        <f aca="false">IF($E119="","",LEFT($E119,2))</f>
        <v/>
      </c>
      <c r="Z119" s="101" t="str">
        <f aca="false">IF($E119="","",LEFT($E119,3))</f>
        <v/>
      </c>
      <c r="AA119" s="101" t="str">
        <f aca="false">IF($E119="","",LEFT($E119,4))</f>
        <v/>
      </c>
    </row>
    <row r="120" customFormat="false" ht="15" hidden="false" customHeight="true" outlineLevel="0" collapsed="false">
      <c r="A120" s="484" t="str">
        <f aca="false">IF(DITARI!$D124="","",ROW()-1)</f>
        <v/>
      </c>
      <c r="B120" s="485" t="str">
        <f aca="false">IF(DITARI!$D124="","",DITARI!$A124)</f>
        <v/>
      </c>
      <c r="C120" s="484" t="str">
        <f aca="false">IF(DITARI!$D124="","",DITARI!$B124)</f>
        <v/>
      </c>
      <c r="D120" s="484" t="str">
        <f aca="false">IF(DITARI!$D124="","",DITARI!$C124)</f>
        <v/>
      </c>
      <c r="E120" s="484" t="str">
        <f aca="false">IF(DITARI!$D124="","",TRIM(DITARI!$D124&amp;""))</f>
        <v/>
      </c>
      <c r="F120" s="484" t="str">
        <f aca="false">IF($E120="","",IFERROR(VLOOKUP($E120,PLANI_LLOGARIVE!$A:$I,2,FALSE()),DITARI!$E124))</f>
        <v/>
      </c>
      <c r="G120" s="484" t="str">
        <f aca="false">IF($E120="","",DITARI!$I124)</f>
        <v/>
      </c>
      <c r="H120" s="484" t="str">
        <f aca="false">IFERROR(IF($E120="","",DITARI!$H124),"")</f>
        <v/>
      </c>
      <c r="I120" s="487" t="n">
        <f aca="false">IF($E120="",0,IFERROR(DITARI!$F124,0))</f>
        <v>0</v>
      </c>
      <c r="J120" s="487" t="n">
        <f aca="false">IF($E120="",0,IFERROR(DITARI!$G124,0))</f>
        <v>0</v>
      </c>
      <c r="K120" s="484" t="str">
        <f aca="false">IF($E120="","",IFERROR(VLOOKUP($E120,PLANI_LLOGARIVE!$A:$I,9,FALSE()),""))</f>
        <v/>
      </c>
      <c r="L120" s="487" t="str">
        <f aca="false">IF($E120="","",$I120-$J120)</f>
        <v/>
      </c>
      <c r="M120" s="484" t="str">
        <f aca="false">IF($E120="","",IF($I120&gt;0,"DEBIT",IF($J120&gt;0,"KREDIT","ZERO")))</f>
        <v/>
      </c>
      <c r="N120" s="484" t="str">
        <f aca="false">IF($E120="","",TEXT($B120,"yyyymmdd")&amp;"-"&amp;TEXT(ROW(),"0000"))</f>
        <v/>
      </c>
      <c r="O120" s="101" t="str">
        <f aca="false">IF($E120="","",$E120&amp;"")</f>
        <v/>
      </c>
      <c r="P120" s="101" t="str">
        <f aca="false">IF(AND($O120&lt;&gt;"",$I120&lt;&gt;0),COUNTIFS($O$2:O120,$O120,$I$2:I120,"&gt;0"),"")</f>
        <v/>
      </c>
      <c r="Q120" s="101" t="str">
        <f aca="false">IF(AND($O120&lt;&gt;"",$J120&lt;&gt;0),COUNTIFS($O$2:O120,$O120,$J$2:J120,"&gt;0"),"")</f>
        <v/>
      </c>
      <c r="R120" s="101" t="str">
        <f aca="false">IF($P120="","",$O120&amp;"|"&amp;$P120)</f>
        <v/>
      </c>
      <c r="S120" s="101" t="str">
        <f aca="false">IF($Q120="","",$O120&amp;"|"&amp;$Q120)</f>
        <v/>
      </c>
      <c r="T120" s="101" t="str">
        <f aca="false">IF($O120="","",COUNTIF($O$2:O120,$O120))</f>
        <v/>
      </c>
      <c r="U120" s="101" t="str">
        <f aca="false">IF($O120="","",$O120&amp;"|"&amp;$T120)</f>
        <v/>
      </c>
      <c r="V120" s="488" t="n">
        <f aca="false">IF(OR(LEFT($D120,5)="MB-CL",LEFT($D120,6)="MB-RES"),0,$I120)</f>
        <v>0</v>
      </c>
      <c r="W120" s="488" t="n">
        <f aca="false">IF(OR(LEFT($D120,5)="MB-CL",LEFT($D120,6)="MB-RES"),0,$J120)</f>
        <v>0</v>
      </c>
      <c r="X120" s="101" t="str">
        <f aca="false">IF($E120="","",LEFT($E120,1))</f>
        <v/>
      </c>
      <c r="Y120" s="101" t="str">
        <f aca="false">IF($E120="","",LEFT($E120,2))</f>
        <v/>
      </c>
      <c r="Z120" s="101" t="str">
        <f aca="false">IF($E120="","",LEFT($E120,3))</f>
        <v/>
      </c>
      <c r="AA120" s="101" t="str">
        <f aca="false">IF($E120="","",LEFT($E120,4))</f>
        <v/>
      </c>
    </row>
    <row r="121" customFormat="false" ht="15" hidden="false" customHeight="true" outlineLevel="0" collapsed="false">
      <c r="A121" s="484" t="str">
        <f aca="false">IF(DITARI!$D125="","",ROW()-1)</f>
        <v/>
      </c>
      <c r="B121" s="485" t="str">
        <f aca="false">IF(DITARI!$D125="","",DITARI!$A125)</f>
        <v/>
      </c>
      <c r="C121" s="484" t="str">
        <f aca="false">IF(DITARI!$D125="","",DITARI!$B125)</f>
        <v/>
      </c>
      <c r="D121" s="484" t="str">
        <f aca="false">IF(DITARI!$D125="","",DITARI!$C125)</f>
        <v/>
      </c>
      <c r="E121" s="484" t="str">
        <f aca="false">IF(DITARI!$D125="","",TRIM(DITARI!$D125&amp;""))</f>
        <v/>
      </c>
      <c r="F121" s="484" t="str">
        <f aca="false">IF($E121="","",IFERROR(VLOOKUP($E121,PLANI_LLOGARIVE!$A:$I,2,FALSE()),DITARI!$E125))</f>
        <v/>
      </c>
      <c r="G121" s="484" t="str">
        <f aca="false">IF($E121="","",DITARI!$I125)</f>
        <v/>
      </c>
      <c r="H121" s="484" t="str">
        <f aca="false">IFERROR(IF($E121="","",DITARI!$H125),"")</f>
        <v/>
      </c>
      <c r="I121" s="487" t="n">
        <f aca="false">IF($E121="",0,IFERROR(DITARI!$F125,0))</f>
        <v>0</v>
      </c>
      <c r="J121" s="487" t="n">
        <f aca="false">IF($E121="",0,IFERROR(DITARI!$G125,0))</f>
        <v>0</v>
      </c>
      <c r="K121" s="484" t="str">
        <f aca="false">IF($E121="","",IFERROR(VLOOKUP($E121,PLANI_LLOGARIVE!$A:$I,9,FALSE()),""))</f>
        <v/>
      </c>
      <c r="L121" s="487" t="str">
        <f aca="false">IF($E121="","",$I121-$J121)</f>
        <v/>
      </c>
      <c r="M121" s="484" t="str">
        <f aca="false">IF($E121="","",IF($I121&gt;0,"DEBIT",IF($J121&gt;0,"KREDIT","ZERO")))</f>
        <v/>
      </c>
      <c r="N121" s="484" t="str">
        <f aca="false">IF($E121="","",TEXT($B121,"yyyymmdd")&amp;"-"&amp;TEXT(ROW(),"0000"))</f>
        <v/>
      </c>
      <c r="O121" s="101" t="str">
        <f aca="false">IF($E121="","",$E121&amp;"")</f>
        <v/>
      </c>
      <c r="P121" s="101" t="str">
        <f aca="false">IF(AND($O121&lt;&gt;"",$I121&lt;&gt;0),COUNTIFS($O$2:O121,$O121,$I$2:I121,"&gt;0"),"")</f>
        <v/>
      </c>
      <c r="Q121" s="101" t="str">
        <f aca="false">IF(AND($O121&lt;&gt;"",$J121&lt;&gt;0),COUNTIFS($O$2:O121,$O121,$J$2:J121,"&gt;0"),"")</f>
        <v/>
      </c>
      <c r="R121" s="101" t="str">
        <f aca="false">IF($P121="","",$O121&amp;"|"&amp;$P121)</f>
        <v/>
      </c>
      <c r="S121" s="101" t="str">
        <f aca="false">IF($Q121="","",$O121&amp;"|"&amp;$Q121)</f>
        <v/>
      </c>
      <c r="T121" s="101" t="str">
        <f aca="false">IF($O121="","",COUNTIF($O$2:O121,$O121))</f>
        <v/>
      </c>
      <c r="U121" s="101" t="str">
        <f aca="false">IF($O121="","",$O121&amp;"|"&amp;$T121)</f>
        <v/>
      </c>
      <c r="V121" s="488" t="n">
        <f aca="false">IF(OR(LEFT($D121,5)="MB-CL",LEFT($D121,6)="MB-RES"),0,$I121)</f>
        <v>0</v>
      </c>
      <c r="W121" s="488" t="n">
        <f aca="false">IF(OR(LEFT($D121,5)="MB-CL",LEFT($D121,6)="MB-RES"),0,$J121)</f>
        <v>0</v>
      </c>
      <c r="X121" s="101" t="str">
        <f aca="false">IF($E121="","",LEFT($E121,1))</f>
        <v/>
      </c>
      <c r="Y121" s="101" t="str">
        <f aca="false">IF($E121="","",LEFT($E121,2))</f>
        <v/>
      </c>
      <c r="Z121" s="101" t="str">
        <f aca="false">IF($E121="","",LEFT($E121,3))</f>
        <v/>
      </c>
      <c r="AA121" s="101" t="str">
        <f aca="false">IF($E121="","",LEFT($E121,4))</f>
        <v/>
      </c>
    </row>
    <row r="122" customFormat="false" ht="15" hidden="false" customHeight="true" outlineLevel="0" collapsed="false">
      <c r="A122" s="484" t="str">
        <f aca="false">IF(DITARI!$D126="","",ROW()-1)</f>
        <v/>
      </c>
      <c r="B122" s="485" t="str">
        <f aca="false">IF(DITARI!$D126="","",DITARI!$A126)</f>
        <v/>
      </c>
      <c r="C122" s="484" t="str">
        <f aca="false">IF(DITARI!$D126="","",DITARI!$B126)</f>
        <v/>
      </c>
      <c r="D122" s="484" t="str">
        <f aca="false">IF(DITARI!$D126="","",DITARI!$C126)</f>
        <v/>
      </c>
      <c r="E122" s="484" t="str">
        <f aca="false">IF(DITARI!$D126="","",TRIM(DITARI!$D126&amp;""))</f>
        <v/>
      </c>
      <c r="F122" s="484" t="str">
        <f aca="false">IF($E122="","",IFERROR(VLOOKUP($E122,PLANI_LLOGARIVE!$A:$I,2,FALSE()),DITARI!$E126))</f>
        <v/>
      </c>
      <c r="G122" s="484" t="str">
        <f aca="false">IF($E122="","",DITARI!$I126)</f>
        <v/>
      </c>
      <c r="H122" s="484" t="str">
        <f aca="false">IFERROR(IF($E122="","",DITARI!$H126),"")</f>
        <v/>
      </c>
      <c r="I122" s="487" t="n">
        <f aca="false">IF($E122="",0,IFERROR(DITARI!$F126,0))</f>
        <v>0</v>
      </c>
      <c r="J122" s="487" t="n">
        <f aca="false">IF($E122="",0,IFERROR(DITARI!$G126,0))</f>
        <v>0</v>
      </c>
      <c r="K122" s="484" t="str">
        <f aca="false">IF($E122="","",IFERROR(VLOOKUP($E122,PLANI_LLOGARIVE!$A:$I,9,FALSE()),""))</f>
        <v/>
      </c>
      <c r="L122" s="487" t="str">
        <f aca="false">IF($E122="","",$I122-$J122)</f>
        <v/>
      </c>
      <c r="M122" s="484" t="str">
        <f aca="false">IF($E122="","",IF($I122&gt;0,"DEBIT",IF($J122&gt;0,"KREDIT","ZERO")))</f>
        <v/>
      </c>
      <c r="N122" s="484" t="str">
        <f aca="false">IF($E122="","",TEXT($B122,"yyyymmdd")&amp;"-"&amp;TEXT(ROW(),"0000"))</f>
        <v/>
      </c>
      <c r="O122" s="101" t="str">
        <f aca="false">IF($E122="","",$E122&amp;"")</f>
        <v/>
      </c>
      <c r="P122" s="101" t="str">
        <f aca="false">IF(AND($O122&lt;&gt;"",$I122&lt;&gt;0),COUNTIFS($O$2:O122,$O122,$I$2:I122,"&gt;0"),"")</f>
        <v/>
      </c>
      <c r="Q122" s="101" t="str">
        <f aca="false">IF(AND($O122&lt;&gt;"",$J122&lt;&gt;0),COUNTIFS($O$2:O122,$O122,$J$2:J122,"&gt;0"),"")</f>
        <v/>
      </c>
      <c r="R122" s="101" t="str">
        <f aca="false">IF($P122="","",$O122&amp;"|"&amp;$P122)</f>
        <v/>
      </c>
      <c r="S122" s="101" t="str">
        <f aca="false">IF($Q122="","",$O122&amp;"|"&amp;$Q122)</f>
        <v/>
      </c>
      <c r="T122" s="101" t="str">
        <f aca="false">IF($O122="","",COUNTIF($O$2:O122,$O122))</f>
        <v/>
      </c>
      <c r="U122" s="101" t="str">
        <f aca="false">IF($O122="","",$O122&amp;"|"&amp;$T122)</f>
        <v/>
      </c>
      <c r="V122" s="488" t="n">
        <f aca="false">IF(OR(LEFT($D122,5)="MB-CL",LEFT($D122,6)="MB-RES"),0,$I122)</f>
        <v>0</v>
      </c>
      <c r="W122" s="488" t="n">
        <f aca="false">IF(OR(LEFT($D122,5)="MB-CL",LEFT($D122,6)="MB-RES"),0,$J122)</f>
        <v>0</v>
      </c>
      <c r="X122" s="101" t="str">
        <f aca="false">IF($E122="","",LEFT($E122,1))</f>
        <v/>
      </c>
      <c r="Y122" s="101" t="str">
        <f aca="false">IF($E122="","",LEFT($E122,2))</f>
        <v/>
      </c>
      <c r="Z122" s="101" t="str">
        <f aca="false">IF($E122="","",LEFT($E122,3))</f>
        <v/>
      </c>
      <c r="AA122" s="101" t="str">
        <f aca="false">IF($E122="","",LEFT($E122,4))</f>
        <v/>
      </c>
    </row>
    <row r="123" customFormat="false" ht="15" hidden="false" customHeight="true" outlineLevel="0" collapsed="false">
      <c r="A123" s="484" t="str">
        <f aca="false">IF(DITARI!$D127="","",ROW()-1)</f>
        <v/>
      </c>
      <c r="B123" s="485" t="str">
        <f aca="false">IF(DITARI!$D127="","",DITARI!$A127)</f>
        <v/>
      </c>
      <c r="C123" s="484" t="str">
        <f aca="false">IF(DITARI!$D127="","",DITARI!$B127)</f>
        <v/>
      </c>
      <c r="D123" s="484" t="str">
        <f aca="false">IF(DITARI!$D127="","",DITARI!$C127)</f>
        <v/>
      </c>
      <c r="E123" s="484" t="str">
        <f aca="false">IF(DITARI!$D127="","",TRIM(DITARI!$D127&amp;""))</f>
        <v/>
      </c>
      <c r="F123" s="484" t="str">
        <f aca="false">IF($E123="","",IFERROR(VLOOKUP($E123,PLANI_LLOGARIVE!$A:$I,2,FALSE()),DITARI!$E127))</f>
        <v/>
      </c>
      <c r="G123" s="484" t="str">
        <f aca="false">IF($E123="","",DITARI!$I127)</f>
        <v/>
      </c>
      <c r="H123" s="484" t="str">
        <f aca="false">IFERROR(IF($E123="","",DITARI!$H127),"")</f>
        <v/>
      </c>
      <c r="I123" s="487" t="n">
        <f aca="false">IF($E123="",0,IFERROR(DITARI!$F127,0))</f>
        <v>0</v>
      </c>
      <c r="J123" s="487" t="n">
        <f aca="false">IF($E123="",0,IFERROR(DITARI!$G127,0))</f>
        <v>0</v>
      </c>
      <c r="K123" s="484" t="str">
        <f aca="false">IF($E123="","",IFERROR(VLOOKUP($E123,PLANI_LLOGARIVE!$A:$I,9,FALSE()),""))</f>
        <v/>
      </c>
      <c r="L123" s="487" t="str">
        <f aca="false">IF($E123="","",$I123-$J123)</f>
        <v/>
      </c>
      <c r="M123" s="484" t="str">
        <f aca="false">IF($E123="","",IF($I123&gt;0,"DEBIT",IF($J123&gt;0,"KREDIT","ZERO")))</f>
        <v/>
      </c>
      <c r="N123" s="484" t="str">
        <f aca="false">IF($E123="","",TEXT($B123,"yyyymmdd")&amp;"-"&amp;TEXT(ROW(),"0000"))</f>
        <v/>
      </c>
      <c r="O123" s="101" t="str">
        <f aca="false">IF($E123="","",$E123&amp;"")</f>
        <v/>
      </c>
      <c r="P123" s="101" t="str">
        <f aca="false">IF(AND($O123&lt;&gt;"",$I123&lt;&gt;0),COUNTIFS($O$2:O123,$O123,$I$2:I123,"&gt;0"),"")</f>
        <v/>
      </c>
      <c r="Q123" s="101" t="str">
        <f aca="false">IF(AND($O123&lt;&gt;"",$J123&lt;&gt;0),COUNTIFS($O$2:O123,$O123,$J$2:J123,"&gt;0"),"")</f>
        <v/>
      </c>
      <c r="R123" s="101" t="str">
        <f aca="false">IF($P123="","",$O123&amp;"|"&amp;$P123)</f>
        <v/>
      </c>
      <c r="S123" s="101" t="str">
        <f aca="false">IF($Q123="","",$O123&amp;"|"&amp;$Q123)</f>
        <v/>
      </c>
      <c r="T123" s="101" t="str">
        <f aca="false">IF($O123="","",COUNTIF($O$2:O123,$O123))</f>
        <v/>
      </c>
      <c r="U123" s="101" t="str">
        <f aca="false">IF($O123="","",$O123&amp;"|"&amp;$T123)</f>
        <v/>
      </c>
      <c r="V123" s="488" t="n">
        <f aca="false">IF(OR(LEFT($D123,5)="MB-CL",LEFT($D123,6)="MB-RES"),0,$I123)</f>
        <v>0</v>
      </c>
      <c r="W123" s="488" t="n">
        <f aca="false">IF(OR(LEFT($D123,5)="MB-CL",LEFT($D123,6)="MB-RES"),0,$J123)</f>
        <v>0</v>
      </c>
      <c r="X123" s="101" t="str">
        <f aca="false">IF($E123="","",LEFT($E123,1))</f>
        <v/>
      </c>
      <c r="Y123" s="101" t="str">
        <f aca="false">IF($E123="","",LEFT($E123,2))</f>
        <v/>
      </c>
      <c r="Z123" s="101" t="str">
        <f aca="false">IF($E123="","",LEFT($E123,3))</f>
        <v/>
      </c>
      <c r="AA123" s="101" t="str">
        <f aca="false">IF($E123="","",LEFT($E123,4))</f>
        <v/>
      </c>
    </row>
    <row r="124" customFormat="false" ht="15" hidden="false" customHeight="true" outlineLevel="0" collapsed="false">
      <c r="A124" s="484" t="str">
        <f aca="false">IF(DITARI!$D128="","",ROW()-1)</f>
        <v/>
      </c>
      <c r="B124" s="485" t="str">
        <f aca="false">IF(DITARI!$D128="","",DITARI!$A128)</f>
        <v/>
      </c>
      <c r="C124" s="484" t="str">
        <f aca="false">IF(DITARI!$D128="","",DITARI!$B128)</f>
        <v/>
      </c>
      <c r="D124" s="484" t="str">
        <f aca="false">IF(DITARI!$D128="","",DITARI!$C128)</f>
        <v/>
      </c>
      <c r="E124" s="484" t="str">
        <f aca="false">IF(DITARI!$D128="","",TRIM(DITARI!$D128&amp;""))</f>
        <v/>
      </c>
      <c r="F124" s="484" t="str">
        <f aca="false">IF($E124="","",IFERROR(VLOOKUP($E124,PLANI_LLOGARIVE!$A:$I,2,FALSE()),DITARI!$E128))</f>
        <v/>
      </c>
      <c r="G124" s="484" t="str">
        <f aca="false">IF($E124="","",DITARI!$I128)</f>
        <v/>
      </c>
      <c r="H124" s="484" t="str">
        <f aca="false">IFERROR(IF($E124="","",DITARI!$H128),"")</f>
        <v/>
      </c>
      <c r="I124" s="487" t="n">
        <f aca="false">IF($E124="",0,IFERROR(DITARI!$F128,0))</f>
        <v>0</v>
      </c>
      <c r="J124" s="487" t="n">
        <f aca="false">IF($E124="",0,IFERROR(DITARI!$G128,0))</f>
        <v>0</v>
      </c>
      <c r="K124" s="484" t="str">
        <f aca="false">IF($E124="","",IFERROR(VLOOKUP($E124,PLANI_LLOGARIVE!$A:$I,9,FALSE()),""))</f>
        <v/>
      </c>
      <c r="L124" s="487" t="str">
        <f aca="false">IF($E124="","",$I124-$J124)</f>
        <v/>
      </c>
      <c r="M124" s="484" t="str">
        <f aca="false">IF($E124="","",IF($I124&gt;0,"DEBIT",IF($J124&gt;0,"KREDIT","ZERO")))</f>
        <v/>
      </c>
      <c r="N124" s="484" t="str">
        <f aca="false">IF($E124="","",TEXT($B124,"yyyymmdd")&amp;"-"&amp;TEXT(ROW(),"0000"))</f>
        <v/>
      </c>
      <c r="O124" s="101" t="str">
        <f aca="false">IF($E124="","",$E124&amp;"")</f>
        <v/>
      </c>
      <c r="P124" s="101" t="str">
        <f aca="false">IF(AND($O124&lt;&gt;"",$I124&lt;&gt;0),COUNTIFS($O$2:O124,$O124,$I$2:I124,"&gt;0"),"")</f>
        <v/>
      </c>
      <c r="Q124" s="101" t="str">
        <f aca="false">IF(AND($O124&lt;&gt;"",$J124&lt;&gt;0),COUNTIFS($O$2:O124,$O124,$J$2:J124,"&gt;0"),"")</f>
        <v/>
      </c>
      <c r="R124" s="101" t="str">
        <f aca="false">IF($P124="","",$O124&amp;"|"&amp;$P124)</f>
        <v/>
      </c>
      <c r="S124" s="101" t="str">
        <f aca="false">IF($Q124="","",$O124&amp;"|"&amp;$Q124)</f>
        <v/>
      </c>
      <c r="T124" s="101" t="str">
        <f aca="false">IF($O124="","",COUNTIF($O$2:O124,$O124))</f>
        <v/>
      </c>
      <c r="U124" s="101" t="str">
        <f aca="false">IF($O124="","",$O124&amp;"|"&amp;$T124)</f>
        <v/>
      </c>
      <c r="V124" s="488" t="n">
        <f aca="false">IF(OR(LEFT($D124,5)="MB-CL",LEFT($D124,6)="MB-RES"),0,$I124)</f>
        <v>0</v>
      </c>
      <c r="W124" s="488" t="n">
        <f aca="false">IF(OR(LEFT($D124,5)="MB-CL",LEFT($D124,6)="MB-RES"),0,$J124)</f>
        <v>0</v>
      </c>
      <c r="X124" s="101" t="str">
        <f aca="false">IF($E124="","",LEFT($E124,1))</f>
        <v/>
      </c>
      <c r="Y124" s="101" t="str">
        <f aca="false">IF($E124="","",LEFT($E124,2))</f>
        <v/>
      </c>
      <c r="Z124" s="101" t="str">
        <f aca="false">IF($E124="","",LEFT($E124,3))</f>
        <v/>
      </c>
      <c r="AA124" s="101" t="str">
        <f aca="false">IF($E124="","",LEFT($E124,4))</f>
        <v/>
      </c>
    </row>
    <row r="125" customFormat="false" ht="15" hidden="false" customHeight="true" outlineLevel="0" collapsed="false">
      <c r="A125" s="484" t="str">
        <f aca="false">IF(DITARI!$D129="","",ROW()-1)</f>
        <v/>
      </c>
      <c r="B125" s="485" t="str">
        <f aca="false">IF(DITARI!$D129="","",DITARI!$A129)</f>
        <v/>
      </c>
      <c r="C125" s="484" t="str">
        <f aca="false">IF(DITARI!$D129="","",DITARI!$B129)</f>
        <v/>
      </c>
      <c r="D125" s="484" t="str">
        <f aca="false">IF(DITARI!$D129="","",DITARI!$C129)</f>
        <v/>
      </c>
      <c r="E125" s="484" t="str">
        <f aca="false">IF(DITARI!$D129="","",TRIM(DITARI!$D129&amp;""))</f>
        <v/>
      </c>
      <c r="F125" s="484" t="str">
        <f aca="false">IF($E125="","",IFERROR(VLOOKUP($E125,PLANI_LLOGARIVE!$A:$I,2,FALSE()),DITARI!$E129))</f>
        <v/>
      </c>
      <c r="G125" s="484" t="str">
        <f aca="false">IF($E125="","",DITARI!$I129)</f>
        <v/>
      </c>
      <c r="H125" s="484" t="str">
        <f aca="false">IFERROR(IF($E125="","",DITARI!$H129),"")</f>
        <v/>
      </c>
      <c r="I125" s="487" t="n">
        <f aca="false">IF($E125="",0,IFERROR(DITARI!$F129,0))</f>
        <v>0</v>
      </c>
      <c r="J125" s="487" t="n">
        <f aca="false">IF($E125="",0,IFERROR(DITARI!$G129,0))</f>
        <v>0</v>
      </c>
      <c r="K125" s="484" t="str">
        <f aca="false">IF($E125="","",IFERROR(VLOOKUP($E125,PLANI_LLOGARIVE!$A:$I,9,FALSE()),""))</f>
        <v/>
      </c>
      <c r="L125" s="487" t="str">
        <f aca="false">IF($E125="","",$I125-$J125)</f>
        <v/>
      </c>
      <c r="M125" s="484" t="str">
        <f aca="false">IF($E125="","",IF($I125&gt;0,"DEBIT",IF($J125&gt;0,"KREDIT","ZERO")))</f>
        <v/>
      </c>
      <c r="N125" s="484" t="str">
        <f aca="false">IF($E125="","",TEXT($B125,"yyyymmdd")&amp;"-"&amp;TEXT(ROW(),"0000"))</f>
        <v/>
      </c>
      <c r="O125" s="101" t="str">
        <f aca="false">IF($E125="","",$E125&amp;"")</f>
        <v/>
      </c>
      <c r="P125" s="101" t="str">
        <f aca="false">IF(AND($O125&lt;&gt;"",$I125&lt;&gt;0),COUNTIFS($O$2:O125,$O125,$I$2:I125,"&gt;0"),"")</f>
        <v/>
      </c>
      <c r="Q125" s="101" t="str">
        <f aca="false">IF(AND($O125&lt;&gt;"",$J125&lt;&gt;0),COUNTIFS($O$2:O125,$O125,$J$2:J125,"&gt;0"),"")</f>
        <v/>
      </c>
      <c r="R125" s="101" t="str">
        <f aca="false">IF($P125="","",$O125&amp;"|"&amp;$P125)</f>
        <v/>
      </c>
      <c r="S125" s="101" t="str">
        <f aca="false">IF($Q125="","",$O125&amp;"|"&amp;$Q125)</f>
        <v/>
      </c>
      <c r="T125" s="101" t="str">
        <f aca="false">IF($O125="","",COUNTIF($O$2:O125,$O125))</f>
        <v/>
      </c>
      <c r="U125" s="101" t="str">
        <f aca="false">IF($O125="","",$O125&amp;"|"&amp;$T125)</f>
        <v/>
      </c>
      <c r="V125" s="488" t="n">
        <f aca="false">IF(OR(LEFT($D125,5)="MB-CL",LEFT($D125,6)="MB-RES"),0,$I125)</f>
        <v>0</v>
      </c>
      <c r="W125" s="488" t="n">
        <f aca="false">IF(OR(LEFT($D125,5)="MB-CL",LEFT($D125,6)="MB-RES"),0,$J125)</f>
        <v>0</v>
      </c>
      <c r="X125" s="101" t="str">
        <f aca="false">IF($E125="","",LEFT($E125,1))</f>
        <v/>
      </c>
      <c r="Y125" s="101" t="str">
        <f aca="false">IF($E125="","",LEFT($E125,2))</f>
        <v/>
      </c>
      <c r="Z125" s="101" t="str">
        <f aca="false">IF($E125="","",LEFT($E125,3))</f>
        <v/>
      </c>
      <c r="AA125" s="101" t="str">
        <f aca="false">IF($E125="","",LEFT($E125,4))</f>
        <v/>
      </c>
    </row>
    <row r="126" customFormat="false" ht="15" hidden="false" customHeight="true" outlineLevel="0" collapsed="false">
      <c r="A126" s="484" t="str">
        <f aca="false">IF(DITARI!$D130="","",ROW()-1)</f>
        <v/>
      </c>
      <c r="B126" s="485" t="str">
        <f aca="false">IF(DITARI!$D130="","",DITARI!$A130)</f>
        <v/>
      </c>
      <c r="C126" s="484" t="str">
        <f aca="false">IF(DITARI!$D130="","",DITARI!$B130)</f>
        <v/>
      </c>
      <c r="D126" s="484" t="str">
        <f aca="false">IF(DITARI!$D130="","",DITARI!$C130)</f>
        <v/>
      </c>
      <c r="E126" s="484" t="str">
        <f aca="false">IF(DITARI!$D130="","",TRIM(DITARI!$D130&amp;""))</f>
        <v/>
      </c>
      <c r="F126" s="484" t="str">
        <f aca="false">IF($E126="","",IFERROR(VLOOKUP($E126,PLANI_LLOGARIVE!$A:$I,2,FALSE()),DITARI!$E130))</f>
        <v/>
      </c>
      <c r="G126" s="484" t="str">
        <f aca="false">IF($E126="","",DITARI!$I130)</f>
        <v/>
      </c>
      <c r="H126" s="484" t="str">
        <f aca="false">IFERROR(IF($E126="","",DITARI!$H130),"")</f>
        <v/>
      </c>
      <c r="I126" s="487" t="n">
        <f aca="false">IF($E126="",0,IFERROR(DITARI!$F130,0))</f>
        <v>0</v>
      </c>
      <c r="J126" s="487" t="n">
        <f aca="false">IF($E126="",0,IFERROR(DITARI!$G130,0))</f>
        <v>0</v>
      </c>
      <c r="K126" s="484" t="str">
        <f aca="false">IF($E126="","",IFERROR(VLOOKUP($E126,PLANI_LLOGARIVE!$A:$I,9,FALSE()),""))</f>
        <v/>
      </c>
      <c r="L126" s="487" t="str">
        <f aca="false">IF($E126="","",$I126-$J126)</f>
        <v/>
      </c>
      <c r="M126" s="484" t="str">
        <f aca="false">IF($E126="","",IF($I126&gt;0,"DEBIT",IF($J126&gt;0,"KREDIT","ZERO")))</f>
        <v/>
      </c>
      <c r="N126" s="484" t="str">
        <f aca="false">IF($E126="","",TEXT($B126,"yyyymmdd")&amp;"-"&amp;TEXT(ROW(),"0000"))</f>
        <v/>
      </c>
      <c r="O126" s="101" t="str">
        <f aca="false">IF($E126="","",$E126&amp;"")</f>
        <v/>
      </c>
      <c r="P126" s="101" t="str">
        <f aca="false">IF(AND($O126&lt;&gt;"",$I126&lt;&gt;0),COUNTIFS($O$2:O126,$O126,$I$2:I126,"&gt;0"),"")</f>
        <v/>
      </c>
      <c r="Q126" s="101" t="str">
        <f aca="false">IF(AND($O126&lt;&gt;"",$J126&lt;&gt;0),COUNTIFS($O$2:O126,$O126,$J$2:J126,"&gt;0"),"")</f>
        <v/>
      </c>
      <c r="R126" s="101" t="str">
        <f aca="false">IF($P126="","",$O126&amp;"|"&amp;$P126)</f>
        <v/>
      </c>
      <c r="S126" s="101" t="str">
        <f aca="false">IF($Q126="","",$O126&amp;"|"&amp;$Q126)</f>
        <v/>
      </c>
      <c r="T126" s="101" t="str">
        <f aca="false">IF($O126="","",COUNTIF($O$2:O126,$O126))</f>
        <v/>
      </c>
      <c r="U126" s="101" t="str">
        <f aca="false">IF($O126="","",$O126&amp;"|"&amp;$T126)</f>
        <v/>
      </c>
      <c r="V126" s="488" t="n">
        <f aca="false">IF(OR(LEFT($D126,5)="MB-CL",LEFT($D126,6)="MB-RES"),0,$I126)</f>
        <v>0</v>
      </c>
      <c r="W126" s="488" t="n">
        <f aca="false">IF(OR(LEFT($D126,5)="MB-CL",LEFT($D126,6)="MB-RES"),0,$J126)</f>
        <v>0</v>
      </c>
      <c r="X126" s="101" t="str">
        <f aca="false">IF($E126="","",LEFT($E126,1))</f>
        <v/>
      </c>
      <c r="Y126" s="101" t="str">
        <f aca="false">IF($E126="","",LEFT($E126,2))</f>
        <v/>
      </c>
      <c r="Z126" s="101" t="str">
        <f aca="false">IF($E126="","",LEFT($E126,3))</f>
        <v/>
      </c>
      <c r="AA126" s="101" t="str">
        <f aca="false">IF($E126="","",LEFT($E126,4))</f>
        <v/>
      </c>
    </row>
    <row r="127" customFormat="false" ht="15" hidden="false" customHeight="true" outlineLevel="0" collapsed="false">
      <c r="A127" s="484" t="str">
        <f aca="false">IF(DITARI!$D131="","",ROW()-1)</f>
        <v/>
      </c>
      <c r="B127" s="485" t="str">
        <f aca="false">IF(DITARI!$D131="","",DITARI!$A131)</f>
        <v/>
      </c>
      <c r="C127" s="484" t="str">
        <f aca="false">IF(DITARI!$D131="","",DITARI!$B131)</f>
        <v/>
      </c>
      <c r="D127" s="484" t="str">
        <f aca="false">IF(DITARI!$D131="","",DITARI!$C131)</f>
        <v/>
      </c>
      <c r="E127" s="484" t="str">
        <f aca="false">IF(DITARI!$D131="","",TRIM(DITARI!$D131&amp;""))</f>
        <v/>
      </c>
      <c r="F127" s="484" t="str">
        <f aca="false">IF($E127="","",IFERROR(VLOOKUP($E127,PLANI_LLOGARIVE!$A:$I,2,FALSE()),DITARI!$E131))</f>
        <v/>
      </c>
      <c r="G127" s="484" t="str">
        <f aca="false">IF($E127="","",DITARI!$I131)</f>
        <v/>
      </c>
      <c r="H127" s="484" t="str">
        <f aca="false">IFERROR(IF($E127="","",DITARI!$H131),"")</f>
        <v/>
      </c>
      <c r="I127" s="487" t="n">
        <f aca="false">IF($E127="",0,IFERROR(DITARI!$F131,0))</f>
        <v>0</v>
      </c>
      <c r="J127" s="487" t="n">
        <f aca="false">IF($E127="",0,IFERROR(DITARI!$G131,0))</f>
        <v>0</v>
      </c>
      <c r="K127" s="484" t="str">
        <f aca="false">IF($E127="","",IFERROR(VLOOKUP($E127,PLANI_LLOGARIVE!$A:$I,9,FALSE()),""))</f>
        <v/>
      </c>
      <c r="L127" s="487" t="str">
        <f aca="false">IF($E127="","",$I127-$J127)</f>
        <v/>
      </c>
      <c r="M127" s="484" t="str">
        <f aca="false">IF($E127="","",IF($I127&gt;0,"DEBIT",IF($J127&gt;0,"KREDIT","ZERO")))</f>
        <v/>
      </c>
      <c r="N127" s="484" t="str">
        <f aca="false">IF($E127="","",TEXT($B127,"yyyymmdd")&amp;"-"&amp;TEXT(ROW(),"0000"))</f>
        <v/>
      </c>
      <c r="O127" s="101" t="str">
        <f aca="false">IF($E127="","",$E127&amp;"")</f>
        <v/>
      </c>
      <c r="P127" s="101" t="str">
        <f aca="false">IF(AND($O127&lt;&gt;"",$I127&lt;&gt;0),COUNTIFS($O$2:O127,$O127,$I$2:I127,"&gt;0"),"")</f>
        <v/>
      </c>
      <c r="Q127" s="101" t="str">
        <f aca="false">IF(AND($O127&lt;&gt;"",$J127&lt;&gt;0),COUNTIFS($O$2:O127,$O127,$J$2:J127,"&gt;0"),"")</f>
        <v/>
      </c>
      <c r="R127" s="101" t="str">
        <f aca="false">IF($P127="","",$O127&amp;"|"&amp;$P127)</f>
        <v/>
      </c>
      <c r="S127" s="101" t="str">
        <f aca="false">IF($Q127="","",$O127&amp;"|"&amp;$Q127)</f>
        <v/>
      </c>
      <c r="T127" s="101" t="str">
        <f aca="false">IF($O127="","",COUNTIF($O$2:O127,$O127))</f>
        <v/>
      </c>
      <c r="U127" s="101" t="str">
        <f aca="false">IF($O127="","",$O127&amp;"|"&amp;$T127)</f>
        <v/>
      </c>
      <c r="V127" s="488" t="n">
        <f aca="false">IF(OR(LEFT($D127,5)="MB-CL",LEFT($D127,6)="MB-RES"),0,$I127)</f>
        <v>0</v>
      </c>
      <c r="W127" s="488" t="n">
        <f aca="false">IF(OR(LEFT($D127,5)="MB-CL",LEFT($D127,6)="MB-RES"),0,$J127)</f>
        <v>0</v>
      </c>
      <c r="X127" s="101" t="str">
        <f aca="false">IF($E127="","",LEFT($E127,1))</f>
        <v/>
      </c>
      <c r="Y127" s="101" t="str">
        <f aca="false">IF($E127="","",LEFT($E127,2))</f>
        <v/>
      </c>
      <c r="Z127" s="101" t="str">
        <f aca="false">IF($E127="","",LEFT($E127,3))</f>
        <v/>
      </c>
      <c r="AA127" s="101" t="str">
        <f aca="false">IF($E127="","",LEFT($E127,4))</f>
        <v/>
      </c>
    </row>
    <row r="128" customFormat="false" ht="15" hidden="false" customHeight="true" outlineLevel="0" collapsed="false">
      <c r="A128" s="484" t="str">
        <f aca="false">IF(DITARI!$D132="","",ROW()-1)</f>
        <v/>
      </c>
      <c r="B128" s="485" t="str">
        <f aca="false">IF(DITARI!$D132="","",DITARI!$A132)</f>
        <v/>
      </c>
      <c r="C128" s="484" t="str">
        <f aca="false">IF(DITARI!$D132="","",DITARI!$B132)</f>
        <v/>
      </c>
      <c r="D128" s="484" t="str">
        <f aca="false">IF(DITARI!$D132="","",DITARI!$C132)</f>
        <v/>
      </c>
      <c r="E128" s="484" t="str">
        <f aca="false">IF(DITARI!$D132="","",TRIM(DITARI!$D132&amp;""))</f>
        <v/>
      </c>
      <c r="F128" s="484" t="str">
        <f aca="false">IF($E128="","",IFERROR(VLOOKUP($E128,PLANI_LLOGARIVE!$A:$I,2,FALSE()),DITARI!$E132))</f>
        <v/>
      </c>
      <c r="G128" s="484" t="str">
        <f aca="false">IF($E128="","",DITARI!$I132)</f>
        <v/>
      </c>
      <c r="H128" s="484" t="str">
        <f aca="false">IFERROR(IF($E128="","",DITARI!$H132),"")</f>
        <v/>
      </c>
      <c r="I128" s="487" t="n">
        <f aca="false">IF($E128="",0,IFERROR(DITARI!$F132,0))</f>
        <v>0</v>
      </c>
      <c r="J128" s="487" t="n">
        <f aca="false">IF($E128="",0,IFERROR(DITARI!$G132,0))</f>
        <v>0</v>
      </c>
      <c r="K128" s="484" t="str">
        <f aca="false">IF($E128="","",IFERROR(VLOOKUP($E128,PLANI_LLOGARIVE!$A:$I,9,FALSE()),""))</f>
        <v/>
      </c>
      <c r="L128" s="487" t="str">
        <f aca="false">IF($E128="","",$I128-$J128)</f>
        <v/>
      </c>
      <c r="M128" s="484" t="str">
        <f aca="false">IF($E128="","",IF($I128&gt;0,"DEBIT",IF($J128&gt;0,"KREDIT","ZERO")))</f>
        <v/>
      </c>
      <c r="N128" s="484" t="str">
        <f aca="false">IF($E128="","",TEXT($B128,"yyyymmdd")&amp;"-"&amp;TEXT(ROW(),"0000"))</f>
        <v/>
      </c>
      <c r="O128" s="101" t="str">
        <f aca="false">IF($E128="","",$E128&amp;"")</f>
        <v/>
      </c>
      <c r="P128" s="101" t="str">
        <f aca="false">IF(AND($O128&lt;&gt;"",$I128&lt;&gt;0),COUNTIFS($O$2:O128,$O128,$I$2:I128,"&gt;0"),"")</f>
        <v/>
      </c>
      <c r="Q128" s="101" t="str">
        <f aca="false">IF(AND($O128&lt;&gt;"",$J128&lt;&gt;0),COUNTIFS($O$2:O128,$O128,$J$2:J128,"&gt;0"),"")</f>
        <v/>
      </c>
      <c r="R128" s="101" t="str">
        <f aca="false">IF($P128="","",$O128&amp;"|"&amp;$P128)</f>
        <v/>
      </c>
      <c r="S128" s="101" t="str">
        <f aca="false">IF($Q128="","",$O128&amp;"|"&amp;$Q128)</f>
        <v/>
      </c>
      <c r="T128" s="101" t="str">
        <f aca="false">IF($O128="","",COUNTIF($O$2:O128,$O128))</f>
        <v/>
      </c>
      <c r="U128" s="101" t="str">
        <f aca="false">IF($O128="","",$O128&amp;"|"&amp;$T128)</f>
        <v/>
      </c>
      <c r="V128" s="488" t="n">
        <f aca="false">IF(OR(LEFT($D128,5)="MB-CL",LEFT($D128,6)="MB-RES"),0,$I128)</f>
        <v>0</v>
      </c>
      <c r="W128" s="488" t="n">
        <f aca="false">IF(OR(LEFT($D128,5)="MB-CL",LEFT($D128,6)="MB-RES"),0,$J128)</f>
        <v>0</v>
      </c>
      <c r="X128" s="101" t="str">
        <f aca="false">IF($E128="","",LEFT($E128,1))</f>
        <v/>
      </c>
      <c r="Y128" s="101" t="str">
        <f aca="false">IF($E128="","",LEFT($E128,2))</f>
        <v/>
      </c>
      <c r="Z128" s="101" t="str">
        <f aca="false">IF($E128="","",LEFT($E128,3))</f>
        <v/>
      </c>
      <c r="AA128" s="101" t="str">
        <f aca="false">IF($E128="","",LEFT($E128,4))</f>
        <v/>
      </c>
    </row>
    <row r="129" customFormat="false" ht="15" hidden="false" customHeight="true" outlineLevel="0" collapsed="false">
      <c r="A129" s="484" t="str">
        <f aca="false">IF(DITARI!$D133="","",ROW()-1)</f>
        <v/>
      </c>
      <c r="B129" s="485" t="str">
        <f aca="false">IF(DITARI!$D133="","",DITARI!$A133)</f>
        <v/>
      </c>
      <c r="C129" s="484" t="str">
        <f aca="false">IF(DITARI!$D133="","",DITARI!$B133)</f>
        <v/>
      </c>
      <c r="D129" s="484" t="str">
        <f aca="false">IF(DITARI!$D133="","",DITARI!$C133)</f>
        <v/>
      </c>
      <c r="E129" s="484" t="str">
        <f aca="false">IF(DITARI!$D133="","",TRIM(DITARI!$D133&amp;""))</f>
        <v/>
      </c>
      <c r="F129" s="484" t="str">
        <f aca="false">IF($E129="","",IFERROR(VLOOKUP($E129,PLANI_LLOGARIVE!$A:$I,2,FALSE()),DITARI!$E133))</f>
        <v/>
      </c>
      <c r="G129" s="484" t="str">
        <f aca="false">IF($E129="","",DITARI!$I133)</f>
        <v/>
      </c>
      <c r="H129" s="484" t="str">
        <f aca="false">IFERROR(IF($E129="","",DITARI!$H133),"")</f>
        <v/>
      </c>
      <c r="I129" s="487" t="n">
        <f aca="false">IF($E129="",0,IFERROR(DITARI!$F133,0))</f>
        <v>0</v>
      </c>
      <c r="J129" s="487" t="n">
        <f aca="false">IF($E129="",0,IFERROR(DITARI!$G133,0))</f>
        <v>0</v>
      </c>
      <c r="K129" s="484" t="str">
        <f aca="false">IF($E129="","",IFERROR(VLOOKUP($E129,PLANI_LLOGARIVE!$A:$I,9,FALSE()),""))</f>
        <v/>
      </c>
      <c r="L129" s="487" t="str">
        <f aca="false">IF($E129="","",$I129-$J129)</f>
        <v/>
      </c>
      <c r="M129" s="484" t="str">
        <f aca="false">IF($E129="","",IF($I129&gt;0,"DEBIT",IF($J129&gt;0,"KREDIT","ZERO")))</f>
        <v/>
      </c>
      <c r="N129" s="484" t="str">
        <f aca="false">IF($E129="","",TEXT($B129,"yyyymmdd")&amp;"-"&amp;TEXT(ROW(),"0000"))</f>
        <v/>
      </c>
      <c r="O129" s="101" t="str">
        <f aca="false">IF($E129="","",$E129&amp;"")</f>
        <v/>
      </c>
      <c r="P129" s="101" t="str">
        <f aca="false">IF(AND($O129&lt;&gt;"",$I129&lt;&gt;0),COUNTIFS($O$2:O129,$O129,$I$2:I129,"&gt;0"),"")</f>
        <v/>
      </c>
      <c r="Q129" s="101" t="str">
        <f aca="false">IF(AND($O129&lt;&gt;"",$J129&lt;&gt;0),COUNTIFS($O$2:O129,$O129,$J$2:J129,"&gt;0"),"")</f>
        <v/>
      </c>
      <c r="R129" s="101" t="str">
        <f aca="false">IF($P129="","",$O129&amp;"|"&amp;$P129)</f>
        <v/>
      </c>
      <c r="S129" s="101" t="str">
        <f aca="false">IF($Q129="","",$O129&amp;"|"&amp;$Q129)</f>
        <v/>
      </c>
      <c r="T129" s="101" t="str">
        <f aca="false">IF($O129="","",COUNTIF($O$2:O129,$O129))</f>
        <v/>
      </c>
      <c r="U129" s="101" t="str">
        <f aca="false">IF($O129="","",$O129&amp;"|"&amp;$T129)</f>
        <v/>
      </c>
      <c r="V129" s="488" t="n">
        <f aca="false">IF(OR(LEFT($D129,5)="MB-CL",LEFT($D129,6)="MB-RES"),0,$I129)</f>
        <v>0</v>
      </c>
      <c r="W129" s="488" t="n">
        <f aca="false">IF(OR(LEFT($D129,5)="MB-CL",LEFT($D129,6)="MB-RES"),0,$J129)</f>
        <v>0</v>
      </c>
      <c r="X129" s="101" t="str">
        <f aca="false">IF($E129="","",LEFT($E129,1))</f>
        <v/>
      </c>
      <c r="Y129" s="101" t="str">
        <f aca="false">IF($E129="","",LEFT($E129,2))</f>
        <v/>
      </c>
      <c r="Z129" s="101" t="str">
        <f aca="false">IF($E129="","",LEFT($E129,3))</f>
        <v/>
      </c>
      <c r="AA129" s="101" t="str">
        <f aca="false">IF($E129="","",LEFT($E129,4))</f>
        <v/>
      </c>
    </row>
    <row r="130" customFormat="false" ht="15" hidden="false" customHeight="true" outlineLevel="0" collapsed="false">
      <c r="A130" s="484" t="str">
        <f aca="false">IF(DITARI!$D134="","",ROW()-1)</f>
        <v/>
      </c>
      <c r="B130" s="485" t="str">
        <f aca="false">IF(DITARI!$D134="","",DITARI!$A134)</f>
        <v/>
      </c>
      <c r="C130" s="484" t="str">
        <f aca="false">IF(DITARI!$D134="","",DITARI!$B134)</f>
        <v/>
      </c>
      <c r="D130" s="484" t="str">
        <f aca="false">IF(DITARI!$D134="","",DITARI!$C134)</f>
        <v/>
      </c>
      <c r="E130" s="484" t="str">
        <f aca="false">IF(DITARI!$D134="","",TRIM(DITARI!$D134&amp;""))</f>
        <v/>
      </c>
      <c r="F130" s="484" t="str">
        <f aca="false">IF($E130="","",IFERROR(VLOOKUP($E130,PLANI_LLOGARIVE!$A:$I,2,FALSE()),DITARI!$E134))</f>
        <v/>
      </c>
      <c r="G130" s="484" t="str">
        <f aca="false">IF($E130="","",DITARI!$I134)</f>
        <v/>
      </c>
      <c r="H130" s="484" t="str">
        <f aca="false">IFERROR(IF($E130="","",DITARI!$H134),"")</f>
        <v/>
      </c>
      <c r="I130" s="487" t="n">
        <f aca="false">IF($E130="",0,IFERROR(DITARI!$F134,0))</f>
        <v>0</v>
      </c>
      <c r="J130" s="487" t="n">
        <f aca="false">IF($E130="",0,IFERROR(DITARI!$G134,0))</f>
        <v>0</v>
      </c>
      <c r="K130" s="484" t="str">
        <f aca="false">IF($E130="","",IFERROR(VLOOKUP($E130,PLANI_LLOGARIVE!$A:$I,9,FALSE()),""))</f>
        <v/>
      </c>
      <c r="L130" s="487" t="str">
        <f aca="false">IF($E130="","",$I130-$J130)</f>
        <v/>
      </c>
      <c r="M130" s="484" t="str">
        <f aca="false">IF($E130="","",IF($I130&gt;0,"DEBIT",IF($J130&gt;0,"KREDIT","ZERO")))</f>
        <v/>
      </c>
      <c r="N130" s="484" t="str">
        <f aca="false">IF($E130="","",TEXT($B130,"yyyymmdd")&amp;"-"&amp;TEXT(ROW(),"0000"))</f>
        <v/>
      </c>
      <c r="O130" s="101" t="str">
        <f aca="false">IF($E130="","",$E130&amp;"")</f>
        <v/>
      </c>
      <c r="P130" s="101" t="str">
        <f aca="false">IF(AND($O130&lt;&gt;"",$I130&lt;&gt;0),COUNTIFS($O$2:O130,$O130,$I$2:I130,"&gt;0"),"")</f>
        <v/>
      </c>
      <c r="Q130" s="101" t="str">
        <f aca="false">IF(AND($O130&lt;&gt;"",$J130&lt;&gt;0),COUNTIFS($O$2:O130,$O130,$J$2:J130,"&gt;0"),"")</f>
        <v/>
      </c>
      <c r="R130" s="101" t="str">
        <f aca="false">IF($P130="","",$O130&amp;"|"&amp;$P130)</f>
        <v/>
      </c>
      <c r="S130" s="101" t="str">
        <f aca="false">IF($Q130="","",$O130&amp;"|"&amp;$Q130)</f>
        <v/>
      </c>
      <c r="T130" s="101" t="str">
        <f aca="false">IF($O130="","",COUNTIF($O$2:O130,$O130))</f>
        <v/>
      </c>
      <c r="U130" s="101" t="str">
        <f aca="false">IF($O130="","",$O130&amp;"|"&amp;$T130)</f>
        <v/>
      </c>
      <c r="V130" s="488" t="n">
        <f aca="false">IF(OR(LEFT($D130,5)="MB-CL",LEFT($D130,6)="MB-RES"),0,$I130)</f>
        <v>0</v>
      </c>
      <c r="W130" s="488" t="n">
        <f aca="false">IF(OR(LEFT($D130,5)="MB-CL",LEFT($D130,6)="MB-RES"),0,$J130)</f>
        <v>0</v>
      </c>
      <c r="X130" s="101" t="str">
        <f aca="false">IF($E130="","",LEFT($E130,1))</f>
        <v/>
      </c>
      <c r="Y130" s="101" t="str">
        <f aca="false">IF($E130="","",LEFT($E130,2))</f>
        <v/>
      </c>
      <c r="Z130" s="101" t="str">
        <f aca="false">IF($E130="","",LEFT($E130,3))</f>
        <v/>
      </c>
      <c r="AA130" s="101" t="str">
        <f aca="false">IF($E130="","",LEFT($E130,4))</f>
        <v/>
      </c>
    </row>
    <row r="131" customFormat="false" ht="15" hidden="false" customHeight="true" outlineLevel="0" collapsed="false">
      <c r="A131" s="484" t="str">
        <f aca="false">IF(DITARI!$D135="","",ROW()-1)</f>
        <v/>
      </c>
      <c r="B131" s="485" t="str">
        <f aca="false">IF(DITARI!$D135="","",DITARI!$A135)</f>
        <v/>
      </c>
      <c r="C131" s="484" t="str">
        <f aca="false">IF(DITARI!$D135="","",DITARI!$B135)</f>
        <v/>
      </c>
      <c r="D131" s="484" t="str">
        <f aca="false">IF(DITARI!$D135="","",DITARI!$C135)</f>
        <v/>
      </c>
      <c r="E131" s="484" t="str">
        <f aca="false">IF(DITARI!$D135="","",TRIM(DITARI!$D135&amp;""))</f>
        <v/>
      </c>
      <c r="F131" s="484" t="str">
        <f aca="false">IF($E131="","",IFERROR(VLOOKUP($E131,PLANI_LLOGARIVE!$A:$I,2,FALSE()),DITARI!$E135))</f>
        <v/>
      </c>
      <c r="G131" s="484" t="str">
        <f aca="false">IF($E131="","",DITARI!$I135)</f>
        <v/>
      </c>
      <c r="H131" s="484" t="str">
        <f aca="false">IFERROR(IF($E131="","",DITARI!$H135),"")</f>
        <v/>
      </c>
      <c r="I131" s="487" t="n">
        <f aca="false">IF($E131="",0,IFERROR(DITARI!$F135,0))</f>
        <v>0</v>
      </c>
      <c r="J131" s="487" t="n">
        <f aca="false">IF($E131="",0,IFERROR(DITARI!$G135,0))</f>
        <v>0</v>
      </c>
      <c r="K131" s="484" t="str">
        <f aca="false">IF($E131="","",IFERROR(VLOOKUP($E131,PLANI_LLOGARIVE!$A:$I,9,FALSE()),""))</f>
        <v/>
      </c>
      <c r="L131" s="487" t="str">
        <f aca="false">IF($E131="","",$I131-$J131)</f>
        <v/>
      </c>
      <c r="M131" s="484" t="str">
        <f aca="false">IF($E131="","",IF($I131&gt;0,"DEBIT",IF($J131&gt;0,"KREDIT","ZERO")))</f>
        <v/>
      </c>
      <c r="N131" s="484" t="str">
        <f aca="false">IF($E131="","",TEXT($B131,"yyyymmdd")&amp;"-"&amp;TEXT(ROW(),"0000"))</f>
        <v/>
      </c>
      <c r="O131" s="101" t="str">
        <f aca="false">IF($E131="","",$E131&amp;"")</f>
        <v/>
      </c>
      <c r="P131" s="101" t="str">
        <f aca="false">IF(AND($O131&lt;&gt;"",$I131&lt;&gt;0),COUNTIFS($O$2:O131,$O131,$I$2:I131,"&gt;0"),"")</f>
        <v/>
      </c>
      <c r="Q131" s="101" t="str">
        <f aca="false">IF(AND($O131&lt;&gt;"",$J131&lt;&gt;0),COUNTIFS($O$2:O131,$O131,$J$2:J131,"&gt;0"),"")</f>
        <v/>
      </c>
      <c r="R131" s="101" t="str">
        <f aca="false">IF($P131="","",$O131&amp;"|"&amp;$P131)</f>
        <v/>
      </c>
      <c r="S131" s="101" t="str">
        <f aca="false">IF($Q131="","",$O131&amp;"|"&amp;$Q131)</f>
        <v/>
      </c>
      <c r="T131" s="101" t="str">
        <f aca="false">IF($O131="","",COUNTIF($O$2:O131,$O131))</f>
        <v/>
      </c>
      <c r="U131" s="101" t="str">
        <f aca="false">IF($O131="","",$O131&amp;"|"&amp;$T131)</f>
        <v/>
      </c>
      <c r="V131" s="488" t="n">
        <f aca="false">IF(OR(LEFT($D131,5)="MB-CL",LEFT($D131,6)="MB-RES"),0,$I131)</f>
        <v>0</v>
      </c>
      <c r="W131" s="488" t="n">
        <f aca="false">IF(OR(LEFT($D131,5)="MB-CL",LEFT($D131,6)="MB-RES"),0,$J131)</f>
        <v>0</v>
      </c>
      <c r="X131" s="101" t="str">
        <f aca="false">IF($E131="","",LEFT($E131,1))</f>
        <v/>
      </c>
      <c r="Y131" s="101" t="str">
        <f aca="false">IF($E131="","",LEFT($E131,2))</f>
        <v/>
      </c>
      <c r="Z131" s="101" t="str">
        <f aca="false">IF($E131="","",LEFT($E131,3))</f>
        <v/>
      </c>
      <c r="AA131" s="101" t="str">
        <f aca="false">IF($E131="","",LEFT($E131,4))</f>
        <v/>
      </c>
    </row>
    <row r="132" customFormat="false" ht="15" hidden="false" customHeight="true" outlineLevel="0" collapsed="false">
      <c r="A132" s="484" t="str">
        <f aca="false">IF(DITARI!$D136="","",ROW()-1)</f>
        <v/>
      </c>
      <c r="B132" s="485" t="str">
        <f aca="false">IF(DITARI!$D136="","",DITARI!$A136)</f>
        <v/>
      </c>
      <c r="C132" s="484" t="str">
        <f aca="false">IF(DITARI!$D136="","",DITARI!$B136)</f>
        <v/>
      </c>
      <c r="D132" s="484" t="str">
        <f aca="false">IF(DITARI!$D136="","",DITARI!$C136)</f>
        <v/>
      </c>
      <c r="E132" s="484" t="str">
        <f aca="false">IF(DITARI!$D136="","",TRIM(DITARI!$D136&amp;""))</f>
        <v/>
      </c>
      <c r="F132" s="484" t="str">
        <f aca="false">IF($E132="","",IFERROR(VLOOKUP($E132,PLANI_LLOGARIVE!$A:$I,2,FALSE()),DITARI!$E136))</f>
        <v/>
      </c>
      <c r="G132" s="484" t="str">
        <f aca="false">IF($E132="","",DITARI!$I136)</f>
        <v/>
      </c>
      <c r="H132" s="484" t="str">
        <f aca="false">IFERROR(IF($E132="","",DITARI!$H136),"")</f>
        <v/>
      </c>
      <c r="I132" s="487" t="n">
        <f aca="false">IF($E132="",0,IFERROR(DITARI!$F136,0))</f>
        <v>0</v>
      </c>
      <c r="J132" s="487" t="n">
        <f aca="false">IF($E132="",0,IFERROR(DITARI!$G136,0))</f>
        <v>0</v>
      </c>
      <c r="K132" s="484" t="str">
        <f aca="false">IF($E132="","",IFERROR(VLOOKUP($E132,PLANI_LLOGARIVE!$A:$I,9,FALSE()),""))</f>
        <v/>
      </c>
      <c r="L132" s="487" t="str">
        <f aca="false">IF($E132="","",$I132-$J132)</f>
        <v/>
      </c>
      <c r="M132" s="484" t="str">
        <f aca="false">IF($E132="","",IF($I132&gt;0,"DEBIT",IF($J132&gt;0,"KREDIT","ZERO")))</f>
        <v/>
      </c>
      <c r="N132" s="484" t="str">
        <f aca="false">IF($E132="","",TEXT($B132,"yyyymmdd")&amp;"-"&amp;TEXT(ROW(),"0000"))</f>
        <v/>
      </c>
      <c r="O132" s="101" t="str">
        <f aca="false">IF($E132="","",$E132&amp;"")</f>
        <v/>
      </c>
      <c r="P132" s="101" t="str">
        <f aca="false">IF(AND($O132&lt;&gt;"",$I132&lt;&gt;0),COUNTIFS($O$2:O132,$O132,$I$2:I132,"&gt;0"),"")</f>
        <v/>
      </c>
      <c r="Q132" s="101" t="str">
        <f aca="false">IF(AND($O132&lt;&gt;"",$J132&lt;&gt;0),COUNTIFS($O$2:O132,$O132,$J$2:J132,"&gt;0"),"")</f>
        <v/>
      </c>
      <c r="R132" s="101" t="str">
        <f aca="false">IF($P132="","",$O132&amp;"|"&amp;$P132)</f>
        <v/>
      </c>
      <c r="S132" s="101" t="str">
        <f aca="false">IF($Q132="","",$O132&amp;"|"&amp;$Q132)</f>
        <v/>
      </c>
      <c r="T132" s="101" t="str">
        <f aca="false">IF($O132="","",COUNTIF($O$2:O132,$O132))</f>
        <v/>
      </c>
      <c r="U132" s="101" t="str">
        <f aca="false">IF($O132="","",$O132&amp;"|"&amp;$T132)</f>
        <v/>
      </c>
      <c r="V132" s="488" t="n">
        <f aca="false">IF(OR(LEFT($D132,5)="MB-CL",LEFT($D132,6)="MB-RES"),0,$I132)</f>
        <v>0</v>
      </c>
      <c r="W132" s="488" t="n">
        <f aca="false">IF(OR(LEFT($D132,5)="MB-CL",LEFT($D132,6)="MB-RES"),0,$J132)</f>
        <v>0</v>
      </c>
      <c r="X132" s="101" t="str">
        <f aca="false">IF($E132="","",LEFT($E132,1))</f>
        <v/>
      </c>
      <c r="Y132" s="101" t="str">
        <f aca="false">IF($E132="","",LEFT($E132,2))</f>
        <v/>
      </c>
      <c r="Z132" s="101" t="str">
        <f aca="false">IF($E132="","",LEFT($E132,3))</f>
        <v/>
      </c>
      <c r="AA132" s="101" t="str">
        <f aca="false">IF($E132="","",LEFT($E132,4))</f>
        <v/>
      </c>
    </row>
    <row r="133" customFormat="false" ht="15" hidden="false" customHeight="true" outlineLevel="0" collapsed="false">
      <c r="A133" s="484" t="str">
        <f aca="false">IF(DITARI!$D137="","",ROW()-1)</f>
        <v/>
      </c>
      <c r="B133" s="485" t="str">
        <f aca="false">IF(DITARI!$D137="","",DITARI!$A137)</f>
        <v/>
      </c>
      <c r="C133" s="484" t="str">
        <f aca="false">IF(DITARI!$D137="","",DITARI!$B137)</f>
        <v/>
      </c>
      <c r="D133" s="484" t="str">
        <f aca="false">IF(DITARI!$D137="","",DITARI!$C137)</f>
        <v/>
      </c>
      <c r="E133" s="484" t="str">
        <f aca="false">IF(DITARI!$D137="","",TRIM(DITARI!$D137&amp;""))</f>
        <v/>
      </c>
      <c r="F133" s="484" t="str">
        <f aca="false">IF($E133="","",IFERROR(VLOOKUP($E133,PLANI_LLOGARIVE!$A:$I,2,FALSE()),DITARI!$E137))</f>
        <v/>
      </c>
      <c r="G133" s="484" t="str">
        <f aca="false">IF($E133="","",DITARI!$I137)</f>
        <v/>
      </c>
      <c r="H133" s="484" t="str">
        <f aca="false">IFERROR(IF($E133="","",DITARI!$H137),"")</f>
        <v/>
      </c>
      <c r="I133" s="487" t="n">
        <f aca="false">IF($E133="",0,IFERROR(DITARI!$F137,0))</f>
        <v>0</v>
      </c>
      <c r="J133" s="487" t="n">
        <f aca="false">IF($E133="",0,IFERROR(DITARI!$G137,0))</f>
        <v>0</v>
      </c>
      <c r="K133" s="484" t="str">
        <f aca="false">IF($E133="","",IFERROR(VLOOKUP($E133,PLANI_LLOGARIVE!$A:$I,9,FALSE()),""))</f>
        <v/>
      </c>
      <c r="L133" s="487" t="str">
        <f aca="false">IF($E133="","",$I133-$J133)</f>
        <v/>
      </c>
      <c r="M133" s="484" t="str">
        <f aca="false">IF($E133="","",IF($I133&gt;0,"DEBIT",IF($J133&gt;0,"KREDIT","ZERO")))</f>
        <v/>
      </c>
      <c r="N133" s="484" t="str">
        <f aca="false">IF($E133="","",TEXT($B133,"yyyymmdd")&amp;"-"&amp;TEXT(ROW(),"0000"))</f>
        <v/>
      </c>
      <c r="O133" s="101" t="str">
        <f aca="false">IF($E133="","",$E133&amp;"")</f>
        <v/>
      </c>
      <c r="P133" s="101" t="str">
        <f aca="false">IF(AND($O133&lt;&gt;"",$I133&lt;&gt;0),COUNTIFS($O$2:O133,$O133,$I$2:I133,"&gt;0"),"")</f>
        <v/>
      </c>
      <c r="Q133" s="101" t="str">
        <f aca="false">IF(AND($O133&lt;&gt;"",$J133&lt;&gt;0),COUNTIFS($O$2:O133,$O133,$J$2:J133,"&gt;0"),"")</f>
        <v/>
      </c>
      <c r="R133" s="101" t="str">
        <f aca="false">IF($P133="","",$O133&amp;"|"&amp;$P133)</f>
        <v/>
      </c>
      <c r="S133" s="101" t="str">
        <f aca="false">IF($Q133="","",$O133&amp;"|"&amp;$Q133)</f>
        <v/>
      </c>
      <c r="T133" s="101" t="str">
        <f aca="false">IF($O133="","",COUNTIF($O$2:O133,$O133))</f>
        <v/>
      </c>
      <c r="U133" s="101" t="str">
        <f aca="false">IF($O133="","",$O133&amp;"|"&amp;$T133)</f>
        <v/>
      </c>
      <c r="V133" s="488" t="n">
        <f aca="false">IF(OR(LEFT($D133,5)="MB-CL",LEFT($D133,6)="MB-RES"),0,$I133)</f>
        <v>0</v>
      </c>
      <c r="W133" s="488" t="n">
        <f aca="false">IF(OR(LEFT($D133,5)="MB-CL",LEFT($D133,6)="MB-RES"),0,$J133)</f>
        <v>0</v>
      </c>
      <c r="X133" s="101" t="str">
        <f aca="false">IF($E133="","",LEFT($E133,1))</f>
        <v/>
      </c>
      <c r="Y133" s="101" t="str">
        <f aca="false">IF($E133="","",LEFT($E133,2))</f>
        <v/>
      </c>
      <c r="Z133" s="101" t="str">
        <f aca="false">IF($E133="","",LEFT($E133,3))</f>
        <v/>
      </c>
      <c r="AA133" s="101" t="str">
        <f aca="false">IF($E133="","",LEFT($E133,4))</f>
        <v/>
      </c>
    </row>
    <row r="134" customFormat="false" ht="15" hidden="false" customHeight="true" outlineLevel="0" collapsed="false">
      <c r="A134" s="484" t="str">
        <f aca="false">IF(DITARI!$D138="","",ROW()-1)</f>
        <v/>
      </c>
      <c r="B134" s="485" t="str">
        <f aca="false">IF(DITARI!$D138="","",DITARI!$A138)</f>
        <v/>
      </c>
      <c r="C134" s="484" t="str">
        <f aca="false">IF(DITARI!$D138="","",DITARI!$B138)</f>
        <v/>
      </c>
      <c r="D134" s="484" t="str">
        <f aca="false">IF(DITARI!$D138="","",DITARI!$C138)</f>
        <v/>
      </c>
      <c r="E134" s="484" t="str">
        <f aca="false">IF(DITARI!$D138="","",TRIM(DITARI!$D138&amp;""))</f>
        <v/>
      </c>
      <c r="F134" s="484" t="str">
        <f aca="false">IF($E134="","",IFERROR(VLOOKUP($E134,PLANI_LLOGARIVE!$A:$I,2,FALSE()),DITARI!$E138))</f>
        <v/>
      </c>
      <c r="G134" s="484" t="str">
        <f aca="false">IF($E134="","",DITARI!$I138)</f>
        <v/>
      </c>
      <c r="H134" s="484" t="str">
        <f aca="false">IFERROR(IF($E134="","",DITARI!$H138),"")</f>
        <v/>
      </c>
      <c r="I134" s="487" t="n">
        <f aca="false">IF($E134="",0,IFERROR(DITARI!$F138,0))</f>
        <v>0</v>
      </c>
      <c r="J134" s="487" t="n">
        <f aca="false">IF($E134="",0,IFERROR(DITARI!$G138,0))</f>
        <v>0</v>
      </c>
      <c r="K134" s="484" t="str">
        <f aca="false">IF($E134="","",IFERROR(VLOOKUP($E134,PLANI_LLOGARIVE!$A:$I,9,FALSE()),""))</f>
        <v/>
      </c>
      <c r="L134" s="487" t="str">
        <f aca="false">IF($E134="","",$I134-$J134)</f>
        <v/>
      </c>
      <c r="M134" s="484" t="str">
        <f aca="false">IF($E134="","",IF($I134&gt;0,"DEBIT",IF($J134&gt;0,"KREDIT","ZERO")))</f>
        <v/>
      </c>
      <c r="N134" s="484" t="str">
        <f aca="false">IF($E134="","",TEXT($B134,"yyyymmdd")&amp;"-"&amp;TEXT(ROW(),"0000"))</f>
        <v/>
      </c>
      <c r="O134" s="101" t="str">
        <f aca="false">IF($E134="","",$E134&amp;"")</f>
        <v/>
      </c>
      <c r="P134" s="101" t="str">
        <f aca="false">IF(AND($O134&lt;&gt;"",$I134&lt;&gt;0),COUNTIFS($O$2:O134,$O134,$I$2:I134,"&gt;0"),"")</f>
        <v/>
      </c>
      <c r="Q134" s="101" t="str">
        <f aca="false">IF(AND($O134&lt;&gt;"",$J134&lt;&gt;0),COUNTIFS($O$2:O134,$O134,$J$2:J134,"&gt;0"),"")</f>
        <v/>
      </c>
      <c r="R134" s="101" t="str">
        <f aca="false">IF($P134="","",$O134&amp;"|"&amp;$P134)</f>
        <v/>
      </c>
      <c r="S134" s="101" t="str">
        <f aca="false">IF($Q134="","",$O134&amp;"|"&amp;$Q134)</f>
        <v/>
      </c>
      <c r="T134" s="101" t="str">
        <f aca="false">IF($O134="","",COUNTIF($O$2:O134,$O134))</f>
        <v/>
      </c>
      <c r="U134" s="101" t="str">
        <f aca="false">IF($O134="","",$O134&amp;"|"&amp;$T134)</f>
        <v/>
      </c>
      <c r="V134" s="488" t="n">
        <f aca="false">IF(OR(LEFT($D134,5)="MB-CL",LEFT($D134,6)="MB-RES"),0,$I134)</f>
        <v>0</v>
      </c>
      <c r="W134" s="488" t="n">
        <f aca="false">IF(OR(LEFT($D134,5)="MB-CL",LEFT($D134,6)="MB-RES"),0,$J134)</f>
        <v>0</v>
      </c>
      <c r="X134" s="101" t="str">
        <f aca="false">IF($E134="","",LEFT($E134,1))</f>
        <v/>
      </c>
      <c r="Y134" s="101" t="str">
        <f aca="false">IF($E134="","",LEFT($E134,2))</f>
        <v/>
      </c>
      <c r="Z134" s="101" t="str">
        <f aca="false">IF($E134="","",LEFT($E134,3))</f>
        <v/>
      </c>
      <c r="AA134" s="101" t="str">
        <f aca="false">IF($E134="","",LEFT($E134,4))</f>
        <v/>
      </c>
    </row>
    <row r="135" customFormat="false" ht="15" hidden="false" customHeight="true" outlineLevel="0" collapsed="false">
      <c r="A135" s="484" t="str">
        <f aca="false">IF(DITARI!$D139="","",ROW()-1)</f>
        <v/>
      </c>
      <c r="B135" s="485" t="str">
        <f aca="false">IF(DITARI!$D139="","",DITARI!$A139)</f>
        <v/>
      </c>
      <c r="C135" s="484" t="str">
        <f aca="false">IF(DITARI!$D139="","",DITARI!$B139)</f>
        <v/>
      </c>
      <c r="D135" s="484" t="str">
        <f aca="false">IF(DITARI!$D139="","",DITARI!$C139)</f>
        <v/>
      </c>
      <c r="E135" s="484" t="str">
        <f aca="false">IF(DITARI!$D139="","",TRIM(DITARI!$D139&amp;""))</f>
        <v/>
      </c>
      <c r="F135" s="484" t="str">
        <f aca="false">IF($E135="","",IFERROR(VLOOKUP($E135,PLANI_LLOGARIVE!$A:$I,2,FALSE()),DITARI!$E139))</f>
        <v/>
      </c>
      <c r="G135" s="484" t="str">
        <f aca="false">IF($E135="","",DITARI!$I139)</f>
        <v/>
      </c>
      <c r="H135" s="484" t="str">
        <f aca="false">IFERROR(IF($E135="","",DITARI!$H139),"")</f>
        <v/>
      </c>
      <c r="I135" s="487" t="n">
        <f aca="false">IF($E135="",0,IFERROR(DITARI!$F139,0))</f>
        <v>0</v>
      </c>
      <c r="J135" s="487" t="n">
        <f aca="false">IF($E135="",0,IFERROR(DITARI!$G139,0))</f>
        <v>0</v>
      </c>
      <c r="K135" s="484" t="str">
        <f aca="false">IF($E135="","",IFERROR(VLOOKUP($E135,PLANI_LLOGARIVE!$A:$I,9,FALSE()),""))</f>
        <v/>
      </c>
      <c r="L135" s="487" t="str">
        <f aca="false">IF($E135="","",$I135-$J135)</f>
        <v/>
      </c>
      <c r="M135" s="484" t="str">
        <f aca="false">IF($E135="","",IF($I135&gt;0,"DEBIT",IF($J135&gt;0,"KREDIT","ZERO")))</f>
        <v/>
      </c>
      <c r="N135" s="484" t="str">
        <f aca="false">IF($E135="","",TEXT($B135,"yyyymmdd")&amp;"-"&amp;TEXT(ROW(),"0000"))</f>
        <v/>
      </c>
      <c r="O135" s="101" t="str">
        <f aca="false">IF($E135="","",$E135&amp;"")</f>
        <v/>
      </c>
      <c r="P135" s="101" t="str">
        <f aca="false">IF(AND($O135&lt;&gt;"",$I135&lt;&gt;0),COUNTIFS($O$2:O135,$O135,$I$2:I135,"&gt;0"),"")</f>
        <v/>
      </c>
      <c r="Q135" s="101" t="str">
        <f aca="false">IF(AND($O135&lt;&gt;"",$J135&lt;&gt;0),COUNTIFS($O$2:O135,$O135,$J$2:J135,"&gt;0"),"")</f>
        <v/>
      </c>
      <c r="R135" s="101" t="str">
        <f aca="false">IF($P135="","",$O135&amp;"|"&amp;$P135)</f>
        <v/>
      </c>
      <c r="S135" s="101" t="str">
        <f aca="false">IF($Q135="","",$O135&amp;"|"&amp;$Q135)</f>
        <v/>
      </c>
      <c r="T135" s="101" t="str">
        <f aca="false">IF($O135="","",COUNTIF($O$2:O135,$O135))</f>
        <v/>
      </c>
      <c r="U135" s="101" t="str">
        <f aca="false">IF($O135="","",$O135&amp;"|"&amp;$T135)</f>
        <v/>
      </c>
      <c r="V135" s="488" t="n">
        <f aca="false">IF(OR(LEFT($D135,5)="MB-CL",LEFT($D135,6)="MB-RES"),0,$I135)</f>
        <v>0</v>
      </c>
      <c r="W135" s="488" t="n">
        <f aca="false">IF(OR(LEFT($D135,5)="MB-CL",LEFT($D135,6)="MB-RES"),0,$J135)</f>
        <v>0</v>
      </c>
      <c r="X135" s="101" t="str">
        <f aca="false">IF($E135="","",LEFT($E135,1))</f>
        <v/>
      </c>
      <c r="Y135" s="101" t="str">
        <f aca="false">IF($E135="","",LEFT($E135,2))</f>
        <v/>
      </c>
      <c r="Z135" s="101" t="str">
        <f aca="false">IF($E135="","",LEFT($E135,3))</f>
        <v/>
      </c>
      <c r="AA135" s="101" t="str">
        <f aca="false">IF($E135="","",LEFT($E135,4))</f>
        <v/>
      </c>
    </row>
    <row r="136" customFormat="false" ht="15" hidden="false" customHeight="true" outlineLevel="0" collapsed="false">
      <c r="A136" s="484" t="str">
        <f aca="false">IF(DITARI!$D140="","",ROW()-1)</f>
        <v/>
      </c>
      <c r="B136" s="485" t="str">
        <f aca="false">IF(DITARI!$D140="","",DITARI!$A140)</f>
        <v/>
      </c>
      <c r="C136" s="484" t="str">
        <f aca="false">IF(DITARI!$D140="","",DITARI!$B140)</f>
        <v/>
      </c>
      <c r="D136" s="484" t="str">
        <f aca="false">IF(DITARI!$D140="","",DITARI!$C140)</f>
        <v/>
      </c>
      <c r="E136" s="484" t="str">
        <f aca="false">IF(DITARI!$D140="","",TRIM(DITARI!$D140&amp;""))</f>
        <v/>
      </c>
      <c r="F136" s="484" t="str">
        <f aca="false">IF($E136="","",IFERROR(VLOOKUP($E136,PLANI_LLOGARIVE!$A:$I,2,FALSE()),DITARI!$E140))</f>
        <v/>
      </c>
      <c r="G136" s="484" t="str">
        <f aca="false">IF($E136="","",DITARI!$I140)</f>
        <v/>
      </c>
      <c r="H136" s="484" t="str">
        <f aca="false">IFERROR(IF($E136="","",DITARI!$H140),"")</f>
        <v/>
      </c>
      <c r="I136" s="487" t="n">
        <f aca="false">IF($E136="",0,IFERROR(DITARI!$F140,0))</f>
        <v>0</v>
      </c>
      <c r="J136" s="487" t="n">
        <f aca="false">IF($E136="",0,IFERROR(DITARI!$G140,0))</f>
        <v>0</v>
      </c>
      <c r="K136" s="484" t="str">
        <f aca="false">IF($E136="","",IFERROR(VLOOKUP($E136,PLANI_LLOGARIVE!$A:$I,9,FALSE()),""))</f>
        <v/>
      </c>
      <c r="L136" s="487" t="str">
        <f aca="false">IF($E136="","",$I136-$J136)</f>
        <v/>
      </c>
      <c r="M136" s="484" t="str">
        <f aca="false">IF($E136="","",IF($I136&gt;0,"DEBIT",IF($J136&gt;0,"KREDIT","ZERO")))</f>
        <v/>
      </c>
      <c r="N136" s="484" t="str">
        <f aca="false">IF($E136="","",TEXT($B136,"yyyymmdd")&amp;"-"&amp;TEXT(ROW(),"0000"))</f>
        <v/>
      </c>
      <c r="O136" s="101" t="str">
        <f aca="false">IF($E136="","",$E136&amp;"")</f>
        <v/>
      </c>
      <c r="P136" s="101" t="str">
        <f aca="false">IF(AND($O136&lt;&gt;"",$I136&lt;&gt;0),COUNTIFS($O$2:O136,$O136,$I$2:I136,"&gt;0"),"")</f>
        <v/>
      </c>
      <c r="Q136" s="101" t="str">
        <f aca="false">IF(AND($O136&lt;&gt;"",$J136&lt;&gt;0),COUNTIFS($O$2:O136,$O136,$J$2:J136,"&gt;0"),"")</f>
        <v/>
      </c>
      <c r="R136" s="101" t="str">
        <f aca="false">IF($P136="","",$O136&amp;"|"&amp;$P136)</f>
        <v/>
      </c>
      <c r="S136" s="101" t="str">
        <f aca="false">IF($Q136="","",$O136&amp;"|"&amp;$Q136)</f>
        <v/>
      </c>
      <c r="T136" s="101" t="str">
        <f aca="false">IF($O136="","",COUNTIF($O$2:O136,$O136))</f>
        <v/>
      </c>
      <c r="U136" s="101" t="str">
        <f aca="false">IF($O136="","",$O136&amp;"|"&amp;$T136)</f>
        <v/>
      </c>
      <c r="V136" s="488" t="n">
        <f aca="false">IF(OR(LEFT($D136,5)="MB-CL",LEFT($D136,6)="MB-RES"),0,$I136)</f>
        <v>0</v>
      </c>
      <c r="W136" s="488" t="n">
        <f aca="false">IF(OR(LEFT($D136,5)="MB-CL",LEFT($D136,6)="MB-RES"),0,$J136)</f>
        <v>0</v>
      </c>
      <c r="X136" s="101" t="str">
        <f aca="false">IF($E136="","",LEFT($E136,1))</f>
        <v/>
      </c>
      <c r="Y136" s="101" t="str">
        <f aca="false">IF($E136="","",LEFT($E136,2))</f>
        <v/>
      </c>
      <c r="Z136" s="101" t="str">
        <f aca="false">IF($E136="","",LEFT($E136,3))</f>
        <v/>
      </c>
      <c r="AA136" s="101" t="str">
        <f aca="false">IF($E136="","",LEFT($E136,4))</f>
        <v/>
      </c>
    </row>
    <row r="137" customFormat="false" ht="15" hidden="false" customHeight="true" outlineLevel="0" collapsed="false">
      <c r="A137" s="484" t="str">
        <f aca="false">IF(DITARI!$D141="","",ROW()-1)</f>
        <v/>
      </c>
      <c r="B137" s="485" t="str">
        <f aca="false">IF(DITARI!$D141="","",DITARI!$A141)</f>
        <v/>
      </c>
      <c r="C137" s="484" t="str">
        <f aca="false">IF(DITARI!$D141="","",DITARI!$B141)</f>
        <v/>
      </c>
      <c r="D137" s="484" t="str">
        <f aca="false">IF(DITARI!$D141="","",DITARI!$C141)</f>
        <v/>
      </c>
      <c r="E137" s="484" t="str">
        <f aca="false">IF(DITARI!$D141="","",TRIM(DITARI!$D141&amp;""))</f>
        <v/>
      </c>
      <c r="F137" s="484" t="str">
        <f aca="false">IF($E137="","",IFERROR(VLOOKUP($E137,PLANI_LLOGARIVE!$A:$I,2,FALSE()),DITARI!$E141))</f>
        <v/>
      </c>
      <c r="G137" s="484" t="str">
        <f aca="false">IF($E137="","",DITARI!$I141)</f>
        <v/>
      </c>
      <c r="H137" s="484" t="str">
        <f aca="false">IFERROR(IF($E137="","",DITARI!$H141),"")</f>
        <v/>
      </c>
      <c r="I137" s="487" t="n">
        <f aca="false">IF($E137="",0,IFERROR(DITARI!$F141,0))</f>
        <v>0</v>
      </c>
      <c r="J137" s="487" t="n">
        <f aca="false">IF($E137="",0,IFERROR(DITARI!$G141,0))</f>
        <v>0</v>
      </c>
      <c r="K137" s="484" t="str">
        <f aca="false">IF($E137="","",IFERROR(VLOOKUP($E137,PLANI_LLOGARIVE!$A:$I,9,FALSE()),""))</f>
        <v/>
      </c>
      <c r="L137" s="487" t="str">
        <f aca="false">IF($E137="","",$I137-$J137)</f>
        <v/>
      </c>
      <c r="M137" s="484" t="str">
        <f aca="false">IF($E137="","",IF($I137&gt;0,"DEBIT",IF($J137&gt;0,"KREDIT","ZERO")))</f>
        <v/>
      </c>
      <c r="N137" s="484" t="str">
        <f aca="false">IF($E137="","",TEXT($B137,"yyyymmdd")&amp;"-"&amp;TEXT(ROW(),"0000"))</f>
        <v/>
      </c>
      <c r="O137" s="101" t="str">
        <f aca="false">IF($E137="","",$E137&amp;"")</f>
        <v/>
      </c>
      <c r="P137" s="101" t="str">
        <f aca="false">IF(AND($O137&lt;&gt;"",$I137&lt;&gt;0),COUNTIFS($O$2:O137,$O137,$I$2:I137,"&gt;0"),"")</f>
        <v/>
      </c>
      <c r="Q137" s="101" t="str">
        <f aca="false">IF(AND($O137&lt;&gt;"",$J137&lt;&gt;0),COUNTIFS($O$2:O137,$O137,$J$2:J137,"&gt;0"),"")</f>
        <v/>
      </c>
      <c r="R137" s="101" t="str">
        <f aca="false">IF($P137="","",$O137&amp;"|"&amp;$P137)</f>
        <v/>
      </c>
      <c r="S137" s="101" t="str">
        <f aca="false">IF($Q137="","",$O137&amp;"|"&amp;$Q137)</f>
        <v/>
      </c>
      <c r="T137" s="101" t="str">
        <f aca="false">IF($O137="","",COUNTIF($O$2:O137,$O137))</f>
        <v/>
      </c>
      <c r="U137" s="101" t="str">
        <f aca="false">IF($O137="","",$O137&amp;"|"&amp;$T137)</f>
        <v/>
      </c>
      <c r="V137" s="488" t="n">
        <f aca="false">IF(OR(LEFT($D137,5)="MB-CL",LEFT($D137,6)="MB-RES"),0,$I137)</f>
        <v>0</v>
      </c>
      <c r="W137" s="488" t="n">
        <f aca="false">IF(OR(LEFT($D137,5)="MB-CL",LEFT($D137,6)="MB-RES"),0,$J137)</f>
        <v>0</v>
      </c>
      <c r="X137" s="101" t="str">
        <f aca="false">IF($E137="","",LEFT($E137,1))</f>
        <v/>
      </c>
      <c r="Y137" s="101" t="str">
        <f aca="false">IF($E137="","",LEFT($E137,2))</f>
        <v/>
      </c>
      <c r="Z137" s="101" t="str">
        <f aca="false">IF($E137="","",LEFT($E137,3))</f>
        <v/>
      </c>
      <c r="AA137" s="101" t="str">
        <f aca="false">IF($E137="","",LEFT($E137,4))</f>
        <v/>
      </c>
    </row>
    <row r="138" customFormat="false" ht="15" hidden="false" customHeight="true" outlineLevel="0" collapsed="false">
      <c r="A138" s="484" t="str">
        <f aca="false">IF(DITARI!$D142="","",ROW()-1)</f>
        <v/>
      </c>
      <c r="B138" s="485" t="str">
        <f aca="false">IF(DITARI!$D142="","",DITARI!$A142)</f>
        <v/>
      </c>
      <c r="C138" s="484" t="str">
        <f aca="false">IF(DITARI!$D142="","",DITARI!$B142)</f>
        <v/>
      </c>
      <c r="D138" s="484" t="str">
        <f aca="false">IF(DITARI!$D142="","",DITARI!$C142)</f>
        <v/>
      </c>
      <c r="E138" s="484" t="str">
        <f aca="false">IF(DITARI!$D142="","",TRIM(DITARI!$D142&amp;""))</f>
        <v/>
      </c>
      <c r="F138" s="484" t="str">
        <f aca="false">IF($E138="","",IFERROR(VLOOKUP($E138,PLANI_LLOGARIVE!$A:$I,2,FALSE()),DITARI!$E142))</f>
        <v/>
      </c>
      <c r="G138" s="484" t="str">
        <f aca="false">IF($E138="","",DITARI!$I142)</f>
        <v/>
      </c>
      <c r="H138" s="484" t="str">
        <f aca="false">IFERROR(IF($E138="","",DITARI!$H142),"")</f>
        <v/>
      </c>
      <c r="I138" s="487" t="n">
        <f aca="false">IF($E138="",0,IFERROR(DITARI!$F142,0))</f>
        <v>0</v>
      </c>
      <c r="J138" s="487" t="n">
        <f aca="false">IF($E138="",0,IFERROR(DITARI!$G142,0))</f>
        <v>0</v>
      </c>
      <c r="K138" s="484" t="str">
        <f aca="false">IF($E138="","",IFERROR(VLOOKUP($E138,PLANI_LLOGARIVE!$A:$I,9,FALSE()),""))</f>
        <v/>
      </c>
      <c r="L138" s="487" t="str">
        <f aca="false">IF($E138="","",$I138-$J138)</f>
        <v/>
      </c>
      <c r="M138" s="484" t="str">
        <f aca="false">IF($E138="","",IF($I138&gt;0,"DEBIT",IF($J138&gt;0,"KREDIT","ZERO")))</f>
        <v/>
      </c>
      <c r="N138" s="484" t="str">
        <f aca="false">IF($E138="","",TEXT($B138,"yyyymmdd")&amp;"-"&amp;TEXT(ROW(),"0000"))</f>
        <v/>
      </c>
      <c r="O138" s="101" t="str">
        <f aca="false">IF($E138="","",$E138&amp;"")</f>
        <v/>
      </c>
      <c r="P138" s="101" t="str">
        <f aca="false">IF(AND($O138&lt;&gt;"",$I138&lt;&gt;0),COUNTIFS($O$2:O138,$O138,$I$2:I138,"&gt;0"),"")</f>
        <v/>
      </c>
      <c r="Q138" s="101" t="str">
        <f aca="false">IF(AND($O138&lt;&gt;"",$J138&lt;&gt;0),COUNTIFS($O$2:O138,$O138,$J$2:J138,"&gt;0"),"")</f>
        <v/>
      </c>
      <c r="R138" s="101" t="str">
        <f aca="false">IF($P138="","",$O138&amp;"|"&amp;$P138)</f>
        <v/>
      </c>
      <c r="S138" s="101" t="str">
        <f aca="false">IF($Q138="","",$O138&amp;"|"&amp;$Q138)</f>
        <v/>
      </c>
      <c r="T138" s="101" t="str">
        <f aca="false">IF($O138="","",COUNTIF($O$2:O138,$O138))</f>
        <v/>
      </c>
      <c r="U138" s="101" t="str">
        <f aca="false">IF($O138="","",$O138&amp;"|"&amp;$T138)</f>
        <v/>
      </c>
      <c r="V138" s="488" t="n">
        <f aca="false">IF(OR(LEFT($D138,5)="MB-CL",LEFT($D138,6)="MB-RES"),0,$I138)</f>
        <v>0</v>
      </c>
      <c r="W138" s="488" t="n">
        <f aca="false">IF(OR(LEFT($D138,5)="MB-CL",LEFT($D138,6)="MB-RES"),0,$J138)</f>
        <v>0</v>
      </c>
      <c r="X138" s="101" t="str">
        <f aca="false">IF($E138="","",LEFT($E138,1))</f>
        <v/>
      </c>
      <c r="Y138" s="101" t="str">
        <f aca="false">IF($E138="","",LEFT($E138,2))</f>
        <v/>
      </c>
      <c r="Z138" s="101" t="str">
        <f aca="false">IF($E138="","",LEFT($E138,3))</f>
        <v/>
      </c>
      <c r="AA138" s="101" t="str">
        <f aca="false">IF($E138="","",LEFT($E138,4))</f>
        <v/>
      </c>
    </row>
    <row r="139" customFormat="false" ht="15" hidden="false" customHeight="true" outlineLevel="0" collapsed="false">
      <c r="A139" s="484" t="str">
        <f aca="false">IF(DITARI!$D143="","",ROW()-1)</f>
        <v/>
      </c>
      <c r="B139" s="485" t="str">
        <f aca="false">IF(DITARI!$D143="","",DITARI!$A143)</f>
        <v/>
      </c>
      <c r="C139" s="484" t="str">
        <f aca="false">IF(DITARI!$D143="","",DITARI!$B143)</f>
        <v/>
      </c>
      <c r="D139" s="484" t="str">
        <f aca="false">IF(DITARI!$D143="","",DITARI!$C143)</f>
        <v/>
      </c>
      <c r="E139" s="484" t="str">
        <f aca="false">IF(DITARI!$D143="","",TRIM(DITARI!$D143&amp;""))</f>
        <v/>
      </c>
      <c r="F139" s="484" t="str">
        <f aca="false">IF($E139="","",IFERROR(VLOOKUP($E139,PLANI_LLOGARIVE!$A:$I,2,FALSE()),DITARI!$E143))</f>
        <v/>
      </c>
      <c r="G139" s="484" t="str">
        <f aca="false">IF($E139="","",DITARI!$I143)</f>
        <v/>
      </c>
      <c r="H139" s="484" t="str">
        <f aca="false">IFERROR(IF($E139="","",DITARI!$H143),"")</f>
        <v/>
      </c>
      <c r="I139" s="487" t="n">
        <f aca="false">IF($E139="",0,IFERROR(DITARI!$F143,0))</f>
        <v>0</v>
      </c>
      <c r="J139" s="487" t="n">
        <f aca="false">IF($E139="",0,IFERROR(DITARI!$G143,0))</f>
        <v>0</v>
      </c>
      <c r="K139" s="484" t="str">
        <f aca="false">IF($E139="","",IFERROR(VLOOKUP($E139,PLANI_LLOGARIVE!$A:$I,9,FALSE()),""))</f>
        <v/>
      </c>
      <c r="L139" s="487" t="str">
        <f aca="false">IF($E139="","",$I139-$J139)</f>
        <v/>
      </c>
      <c r="M139" s="484" t="str">
        <f aca="false">IF($E139="","",IF($I139&gt;0,"DEBIT",IF($J139&gt;0,"KREDIT","ZERO")))</f>
        <v/>
      </c>
      <c r="N139" s="484" t="str">
        <f aca="false">IF($E139="","",TEXT($B139,"yyyymmdd")&amp;"-"&amp;TEXT(ROW(),"0000"))</f>
        <v/>
      </c>
      <c r="O139" s="101" t="str">
        <f aca="false">IF($E139="","",$E139&amp;"")</f>
        <v/>
      </c>
      <c r="P139" s="101" t="str">
        <f aca="false">IF(AND($O139&lt;&gt;"",$I139&lt;&gt;0),COUNTIFS($O$2:O139,$O139,$I$2:I139,"&gt;0"),"")</f>
        <v/>
      </c>
      <c r="Q139" s="101" t="str">
        <f aca="false">IF(AND($O139&lt;&gt;"",$J139&lt;&gt;0),COUNTIFS($O$2:O139,$O139,$J$2:J139,"&gt;0"),"")</f>
        <v/>
      </c>
      <c r="R139" s="101" t="str">
        <f aca="false">IF($P139="","",$O139&amp;"|"&amp;$P139)</f>
        <v/>
      </c>
      <c r="S139" s="101" t="str">
        <f aca="false">IF($Q139="","",$O139&amp;"|"&amp;$Q139)</f>
        <v/>
      </c>
      <c r="T139" s="101" t="str">
        <f aca="false">IF($O139="","",COUNTIF($O$2:O139,$O139))</f>
        <v/>
      </c>
      <c r="U139" s="101" t="str">
        <f aca="false">IF($O139="","",$O139&amp;"|"&amp;$T139)</f>
        <v/>
      </c>
      <c r="V139" s="488" t="n">
        <f aca="false">IF(OR(LEFT($D139,5)="MB-CL",LEFT($D139,6)="MB-RES"),0,$I139)</f>
        <v>0</v>
      </c>
      <c r="W139" s="488" t="n">
        <f aca="false">IF(OR(LEFT($D139,5)="MB-CL",LEFT($D139,6)="MB-RES"),0,$J139)</f>
        <v>0</v>
      </c>
      <c r="X139" s="101" t="str">
        <f aca="false">IF($E139="","",LEFT($E139,1))</f>
        <v/>
      </c>
      <c r="Y139" s="101" t="str">
        <f aca="false">IF($E139="","",LEFT($E139,2))</f>
        <v/>
      </c>
      <c r="Z139" s="101" t="str">
        <f aca="false">IF($E139="","",LEFT($E139,3))</f>
        <v/>
      </c>
      <c r="AA139" s="101" t="str">
        <f aca="false">IF($E139="","",LEFT($E139,4))</f>
        <v/>
      </c>
    </row>
    <row r="140" customFormat="false" ht="15" hidden="false" customHeight="true" outlineLevel="0" collapsed="false">
      <c r="A140" s="484" t="str">
        <f aca="false">IF(DITARI!$D144="","",ROW()-1)</f>
        <v/>
      </c>
      <c r="B140" s="485" t="str">
        <f aca="false">IF(DITARI!$D144="","",DITARI!$A144)</f>
        <v/>
      </c>
      <c r="C140" s="484" t="str">
        <f aca="false">IF(DITARI!$D144="","",DITARI!$B144)</f>
        <v/>
      </c>
      <c r="D140" s="484" t="str">
        <f aca="false">IF(DITARI!$D144="","",DITARI!$C144)</f>
        <v/>
      </c>
      <c r="E140" s="484" t="str">
        <f aca="false">IF(DITARI!$D144="","",TRIM(DITARI!$D144&amp;""))</f>
        <v/>
      </c>
      <c r="F140" s="484" t="str">
        <f aca="false">IF($E140="","",IFERROR(VLOOKUP($E140,PLANI_LLOGARIVE!$A:$I,2,FALSE()),DITARI!$E144))</f>
        <v/>
      </c>
      <c r="G140" s="484" t="str">
        <f aca="false">IF($E140="","",DITARI!$I144)</f>
        <v/>
      </c>
      <c r="H140" s="484" t="str">
        <f aca="false">IFERROR(IF($E140="","",DITARI!$H144),"")</f>
        <v/>
      </c>
      <c r="I140" s="487" t="n">
        <f aca="false">IF($E140="",0,IFERROR(DITARI!$F144,0))</f>
        <v>0</v>
      </c>
      <c r="J140" s="487" t="n">
        <f aca="false">IF($E140="",0,IFERROR(DITARI!$G144,0))</f>
        <v>0</v>
      </c>
      <c r="K140" s="484" t="str">
        <f aca="false">IF($E140="","",IFERROR(VLOOKUP($E140,PLANI_LLOGARIVE!$A:$I,9,FALSE()),""))</f>
        <v/>
      </c>
      <c r="L140" s="487" t="str">
        <f aca="false">IF($E140="","",$I140-$J140)</f>
        <v/>
      </c>
      <c r="M140" s="484" t="str">
        <f aca="false">IF($E140="","",IF($I140&gt;0,"DEBIT",IF($J140&gt;0,"KREDIT","ZERO")))</f>
        <v/>
      </c>
      <c r="N140" s="484" t="str">
        <f aca="false">IF($E140="","",TEXT($B140,"yyyymmdd")&amp;"-"&amp;TEXT(ROW(),"0000"))</f>
        <v/>
      </c>
      <c r="O140" s="101" t="str">
        <f aca="false">IF($E140="","",$E140&amp;"")</f>
        <v/>
      </c>
      <c r="P140" s="101" t="str">
        <f aca="false">IF(AND($O140&lt;&gt;"",$I140&lt;&gt;0),COUNTIFS($O$2:O140,$O140,$I$2:I140,"&gt;0"),"")</f>
        <v/>
      </c>
      <c r="Q140" s="101" t="str">
        <f aca="false">IF(AND($O140&lt;&gt;"",$J140&lt;&gt;0),COUNTIFS($O$2:O140,$O140,$J$2:J140,"&gt;0"),"")</f>
        <v/>
      </c>
      <c r="R140" s="101" t="str">
        <f aca="false">IF($P140="","",$O140&amp;"|"&amp;$P140)</f>
        <v/>
      </c>
      <c r="S140" s="101" t="str">
        <f aca="false">IF($Q140="","",$O140&amp;"|"&amp;$Q140)</f>
        <v/>
      </c>
      <c r="T140" s="101" t="str">
        <f aca="false">IF($O140="","",COUNTIF($O$2:O140,$O140))</f>
        <v/>
      </c>
      <c r="U140" s="101" t="str">
        <f aca="false">IF($O140="","",$O140&amp;"|"&amp;$T140)</f>
        <v/>
      </c>
      <c r="V140" s="488" t="n">
        <f aca="false">IF(OR(LEFT($D140,5)="MB-CL",LEFT($D140,6)="MB-RES"),0,$I140)</f>
        <v>0</v>
      </c>
      <c r="W140" s="488" t="n">
        <f aca="false">IF(OR(LEFT($D140,5)="MB-CL",LEFT($D140,6)="MB-RES"),0,$J140)</f>
        <v>0</v>
      </c>
      <c r="X140" s="101" t="str">
        <f aca="false">IF($E140="","",LEFT($E140,1))</f>
        <v/>
      </c>
      <c r="Y140" s="101" t="str">
        <f aca="false">IF($E140="","",LEFT($E140,2))</f>
        <v/>
      </c>
      <c r="Z140" s="101" t="str">
        <f aca="false">IF($E140="","",LEFT($E140,3))</f>
        <v/>
      </c>
      <c r="AA140" s="101" t="str">
        <f aca="false">IF($E140="","",LEFT($E140,4))</f>
        <v/>
      </c>
    </row>
    <row r="141" customFormat="false" ht="15" hidden="false" customHeight="true" outlineLevel="0" collapsed="false">
      <c r="A141" s="484" t="str">
        <f aca="false">IF(DITARI!$D145="","",ROW()-1)</f>
        <v/>
      </c>
      <c r="B141" s="485" t="str">
        <f aca="false">IF(DITARI!$D145="","",DITARI!$A145)</f>
        <v/>
      </c>
      <c r="C141" s="484" t="str">
        <f aca="false">IF(DITARI!$D145="","",DITARI!$B145)</f>
        <v/>
      </c>
      <c r="D141" s="484" t="str">
        <f aca="false">IF(DITARI!$D145="","",DITARI!$C145)</f>
        <v/>
      </c>
      <c r="E141" s="484" t="str">
        <f aca="false">IF(DITARI!$D145="","",TRIM(DITARI!$D145&amp;""))</f>
        <v/>
      </c>
      <c r="F141" s="484" t="str">
        <f aca="false">IF($E141="","",IFERROR(VLOOKUP($E141,PLANI_LLOGARIVE!$A:$I,2,FALSE()),DITARI!$E145))</f>
        <v/>
      </c>
      <c r="G141" s="484" t="str">
        <f aca="false">IF($E141="","",DITARI!$I145)</f>
        <v/>
      </c>
      <c r="H141" s="484" t="str">
        <f aca="false">IFERROR(IF($E141="","",DITARI!$H145),"")</f>
        <v/>
      </c>
      <c r="I141" s="487" t="n">
        <f aca="false">IF($E141="",0,IFERROR(DITARI!$F145,0))</f>
        <v>0</v>
      </c>
      <c r="J141" s="487" t="n">
        <f aca="false">IF($E141="",0,IFERROR(DITARI!$G145,0))</f>
        <v>0</v>
      </c>
      <c r="K141" s="484" t="str">
        <f aca="false">IF($E141="","",IFERROR(VLOOKUP($E141,PLANI_LLOGARIVE!$A:$I,9,FALSE()),""))</f>
        <v/>
      </c>
      <c r="L141" s="487" t="str">
        <f aca="false">IF($E141="","",$I141-$J141)</f>
        <v/>
      </c>
      <c r="M141" s="484" t="str">
        <f aca="false">IF($E141="","",IF($I141&gt;0,"DEBIT",IF($J141&gt;0,"KREDIT","ZERO")))</f>
        <v/>
      </c>
      <c r="N141" s="484" t="str">
        <f aca="false">IF($E141="","",TEXT($B141,"yyyymmdd")&amp;"-"&amp;TEXT(ROW(),"0000"))</f>
        <v/>
      </c>
      <c r="O141" s="101" t="str">
        <f aca="false">IF($E141="","",$E141&amp;"")</f>
        <v/>
      </c>
      <c r="P141" s="101" t="str">
        <f aca="false">IF(AND($O141&lt;&gt;"",$I141&lt;&gt;0),COUNTIFS($O$2:O141,$O141,$I$2:I141,"&gt;0"),"")</f>
        <v/>
      </c>
      <c r="Q141" s="101" t="str">
        <f aca="false">IF(AND($O141&lt;&gt;"",$J141&lt;&gt;0),COUNTIFS($O$2:O141,$O141,$J$2:J141,"&gt;0"),"")</f>
        <v/>
      </c>
      <c r="R141" s="101" t="str">
        <f aca="false">IF($P141="","",$O141&amp;"|"&amp;$P141)</f>
        <v/>
      </c>
      <c r="S141" s="101" t="str">
        <f aca="false">IF($Q141="","",$O141&amp;"|"&amp;$Q141)</f>
        <v/>
      </c>
      <c r="T141" s="101" t="str">
        <f aca="false">IF($O141="","",COUNTIF($O$2:O141,$O141))</f>
        <v/>
      </c>
      <c r="U141" s="101" t="str">
        <f aca="false">IF($O141="","",$O141&amp;"|"&amp;$T141)</f>
        <v/>
      </c>
      <c r="V141" s="488" t="n">
        <f aca="false">IF(OR(LEFT($D141,5)="MB-CL",LEFT($D141,6)="MB-RES"),0,$I141)</f>
        <v>0</v>
      </c>
      <c r="W141" s="488" t="n">
        <f aca="false">IF(OR(LEFT($D141,5)="MB-CL",LEFT($D141,6)="MB-RES"),0,$J141)</f>
        <v>0</v>
      </c>
      <c r="X141" s="101" t="str">
        <f aca="false">IF($E141="","",LEFT($E141,1))</f>
        <v/>
      </c>
      <c r="Y141" s="101" t="str">
        <f aca="false">IF($E141="","",LEFT($E141,2))</f>
        <v/>
      </c>
      <c r="Z141" s="101" t="str">
        <f aca="false">IF($E141="","",LEFT($E141,3))</f>
        <v/>
      </c>
      <c r="AA141" s="101" t="str">
        <f aca="false">IF($E141="","",LEFT($E141,4))</f>
        <v/>
      </c>
    </row>
    <row r="142" customFormat="false" ht="15" hidden="false" customHeight="true" outlineLevel="0" collapsed="false">
      <c r="A142" s="484" t="str">
        <f aca="false">IF(DITARI!$D146="","",ROW()-1)</f>
        <v/>
      </c>
      <c r="B142" s="485" t="str">
        <f aca="false">IF(DITARI!$D146="","",DITARI!$A146)</f>
        <v/>
      </c>
      <c r="C142" s="484" t="str">
        <f aca="false">IF(DITARI!$D146="","",DITARI!$B146)</f>
        <v/>
      </c>
      <c r="D142" s="484" t="str">
        <f aca="false">IF(DITARI!$D146="","",DITARI!$C146)</f>
        <v/>
      </c>
      <c r="E142" s="484" t="str">
        <f aca="false">IF(DITARI!$D146="","",TRIM(DITARI!$D146&amp;""))</f>
        <v/>
      </c>
      <c r="F142" s="484" t="str">
        <f aca="false">IF($E142="","",IFERROR(VLOOKUP($E142,PLANI_LLOGARIVE!$A:$I,2,FALSE()),DITARI!$E146))</f>
        <v/>
      </c>
      <c r="G142" s="484" t="str">
        <f aca="false">IF($E142="","",DITARI!$I146)</f>
        <v/>
      </c>
      <c r="H142" s="484" t="str">
        <f aca="false">IFERROR(IF($E142="","",DITARI!$H146),"")</f>
        <v/>
      </c>
      <c r="I142" s="487" t="n">
        <f aca="false">IF($E142="",0,IFERROR(DITARI!$F146,0))</f>
        <v>0</v>
      </c>
      <c r="J142" s="487" t="n">
        <f aca="false">IF($E142="",0,IFERROR(DITARI!$G146,0))</f>
        <v>0</v>
      </c>
      <c r="K142" s="484" t="str">
        <f aca="false">IF($E142="","",IFERROR(VLOOKUP($E142,PLANI_LLOGARIVE!$A:$I,9,FALSE()),""))</f>
        <v/>
      </c>
      <c r="L142" s="487" t="str">
        <f aca="false">IF($E142="","",$I142-$J142)</f>
        <v/>
      </c>
      <c r="M142" s="484" t="str">
        <f aca="false">IF($E142="","",IF($I142&gt;0,"DEBIT",IF($J142&gt;0,"KREDIT","ZERO")))</f>
        <v/>
      </c>
      <c r="N142" s="484" t="str">
        <f aca="false">IF($E142="","",TEXT($B142,"yyyymmdd")&amp;"-"&amp;TEXT(ROW(),"0000"))</f>
        <v/>
      </c>
      <c r="O142" s="101" t="str">
        <f aca="false">IF($E142="","",$E142&amp;"")</f>
        <v/>
      </c>
      <c r="P142" s="101" t="str">
        <f aca="false">IF(AND($O142&lt;&gt;"",$I142&lt;&gt;0),COUNTIFS($O$2:O142,$O142,$I$2:I142,"&gt;0"),"")</f>
        <v/>
      </c>
      <c r="Q142" s="101" t="str">
        <f aca="false">IF(AND($O142&lt;&gt;"",$J142&lt;&gt;0),COUNTIFS($O$2:O142,$O142,$J$2:J142,"&gt;0"),"")</f>
        <v/>
      </c>
      <c r="R142" s="101" t="str">
        <f aca="false">IF($P142="","",$O142&amp;"|"&amp;$P142)</f>
        <v/>
      </c>
      <c r="S142" s="101" t="str">
        <f aca="false">IF($Q142="","",$O142&amp;"|"&amp;$Q142)</f>
        <v/>
      </c>
      <c r="T142" s="101" t="str">
        <f aca="false">IF($O142="","",COUNTIF($O$2:O142,$O142))</f>
        <v/>
      </c>
      <c r="U142" s="101" t="str">
        <f aca="false">IF($O142="","",$O142&amp;"|"&amp;$T142)</f>
        <v/>
      </c>
      <c r="V142" s="488" t="n">
        <f aca="false">IF(OR(LEFT($D142,5)="MB-CL",LEFT($D142,6)="MB-RES"),0,$I142)</f>
        <v>0</v>
      </c>
      <c r="W142" s="488" t="n">
        <f aca="false">IF(OR(LEFT($D142,5)="MB-CL",LEFT($D142,6)="MB-RES"),0,$J142)</f>
        <v>0</v>
      </c>
      <c r="X142" s="101" t="str">
        <f aca="false">IF($E142="","",LEFT($E142,1))</f>
        <v/>
      </c>
      <c r="Y142" s="101" t="str">
        <f aca="false">IF($E142="","",LEFT($E142,2))</f>
        <v/>
      </c>
      <c r="Z142" s="101" t="str">
        <f aca="false">IF($E142="","",LEFT($E142,3))</f>
        <v/>
      </c>
      <c r="AA142" s="101" t="str">
        <f aca="false">IF($E142="","",LEFT($E142,4))</f>
        <v/>
      </c>
    </row>
    <row r="143" customFormat="false" ht="15" hidden="false" customHeight="true" outlineLevel="0" collapsed="false">
      <c r="A143" s="484" t="str">
        <f aca="false">IF(DITARI!$D147="","",ROW()-1)</f>
        <v/>
      </c>
      <c r="B143" s="485" t="str">
        <f aca="false">IF(DITARI!$D147="","",DITARI!$A147)</f>
        <v/>
      </c>
      <c r="C143" s="484" t="str">
        <f aca="false">IF(DITARI!$D147="","",DITARI!$B147)</f>
        <v/>
      </c>
      <c r="D143" s="484" t="str">
        <f aca="false">IF(DITARI!$D147="","",DITARI!$C147)</f>
        <v/>
      </c>
      <c r="E143" s="484" t="str">
        <f aca="false">IF(DITARI!$D147="","",TRIM(DITARI!$D147&amp;""))</f>
        <v/>
      </c>
      <c r="F143" s="484" t="str">
        <f aca="false">IF($E143="","",IFERROR(VLOOKUP($E143,PLANI_LLOGARIVE!$A:$I,2,FALSE()),DITARI!$E147))</f>
        <v/>
      </c>
      <c r="G143" s="484" t="str">
        <f aca="false">IF($E143="","",DITARI!$I147)</f>
        <v/>
      </c>
      <c r="H143" s="484" t="str">
        <f aca="false">IFERROR(IF($E143="","",DITARI!$H147),"")</f>
        <v/>
      </c>
      <c r="I143" s="487" t="n">
        <f aca="false">IF($E143="",0,IFERROR(DITARI!$F147,0))</f>
        <v>0</v>
      </c>
      <c r="J143" s="487" t="n">
        <f aca="false">IF($E143="",0,IFERROR(DITARI!$G147,0))</f>
        <v>0</v>
      </c>
      <c r="K143" s="484" t="str">
        <f aca="false">IF($E143="","",IFERROR(VLOOKUP($E143,PLANI_LLOGARIVE!$A:$I,9,FALSE()),""))</f>
        <v/>
      </c>
      <c r="L143" s="487" t="str">
        <f aca="false">IF($E143="","",$I143-$J143)</f>
        <v/>
      </c>
      <c r="M143" s="484" t="str">
        <f aca="false">IF($E143="","",IF($I143&gt;0,"DEBIT",IF($J143&gt;0,"KREDIT","ZERO")))</f>
        <v/>
      </c>
      <c r="N143" s="484" t="str">
        <f aca="false">IF($E143="","",TEXT($B143,"yyyymmdd")&amp;"-"&amp;TEXT(ROW(),"0000"))</f>
        <v/>
      </c>
      <c r="O143" s="101" t="str">
        <f aca="false">IF($E143="","",$E143&amp;"")</f>
        <v/>
      </c>
      <c r="P143" s="101" t="str">
        <f aca="false">IF(AND($O143&lt;&gt;"",$I143&lt;&gt;0),COUNTIFS($O$2:O143,$O143,$I$2:I143,"&gt;0"),"")</f>
        <v/>
      </c>
      <c r="Q143" s="101" t="str">
        <f aca="false">IF(AND($O143&lt;&gt;"",$J143&lt;&gt;0),COUNTIFS($O$2:O143,$O143,$J$2:J143,"&gt;0"),"")</f>
        <v/>
      </c>
      <c r="R143" s="101" t="str">
        <f aca="false">IF($P143="","",$O143&amp;"|"&amp;$P143)</f>
        <v/>
      </c>
      <c r="S143" s="101" t="str">
        <f aca="false">IF($Q143="","",$O143&amp;"|"&amp;$Q143)</f>
        <v/>
      </c>
      <c r="T143" s="101" t="str">
        <f aca="false">IF($O143="","",COUNTIF($O$2:O143,$O143))</f>
        <v/>
      </c>
      <c r="U143" s="101" t="str">
        <f aca="false">IF($O143="","",$O143&amp;"|"&amp;$T143)</f>
        <v/>
      </c>
      <c r="V143" s="488" t="n">
        <f aca="false">IF(OR(LEFT($D143,5)="MB-CL",LEFT($D143,6)="MB-RES"),0,$I143)</f>
        <v>0</v>
      </c>
      <c r="W143" s="488" t="n">
        <f aca="false">IF(OR(LEFT($D143,5)="MB-CL",LEFT($D143,6)="MB-RES"),0,$J143)</f>
        <v>0</v>
      </c>
      <c r="X143" s="101" t="str">
        <f aca="false">IF($E143="","",LEFT($E143,1))</f>
        <v/>
      </c>
      <c r="Y143" s="101" t="str">
        <f aca="false">IF($E143="","",LEFT($E143,2))</f>
        <v/>
      </c>
      <c r="Z143" s="101" t="str">
        <f aca="false">IF($E143="","",LEFT($E143,3))</f>
        <v/>
      </c>
      <c r="AA143" s="101" t="str">
        <f aca="false">IF($E143="","",LEFT($E143,4))</f>
        <v/>
      </c>
    </row>
    <row r="144" customFormat="false" ht="15" hidden="false" customHeight="true" outlineLevel="0" collapsed="false">
      <c r="A144" s="484" t="str">
        <f aca="false">IF(DITARI!$D148="","",ROW()-1)</f>
        <v/>
      </c>
      <c r="B144" s="485" t="str">
        <f aca="false">IF(DITARI!$D148="","",DITARI!$A148)</f>
        <v/>
      </c>
      <c r="C144" s="484" t="str">
        <f aca="false">IF(DITARI!$D148="","",DITARI!$B148)</f>
        <v/>
      </c>
      <c r="D144" s="484" t="str">
        <f aca="false">IF(DITARI!$D148="","",DITARI!$C148)</f>
        <v/>
      </c>
      <c r="E144" s="484" t="str">
        <f aca="false">IF(DITARI!$D148="","",TRIM(DITARI!$D148&amp;""))</f>
        <v/>
      </c>
      <c r="F144" s="484" t="str">
        <f aca="false">IF($E144="","",IFERROR(VLOOKUP($E144,PLANI_LLOGARIVE!$A:$I,2,FALSE()),DITARI!$E148))</f>
        <v/>
      </c>
      <c r="G144" s="484" t="str">
        <f aca="false">IF($E144="","",DITARI!$I148)</f>
        <v/>
      </c>
      <c r="H144" s="484" t="str">
        <f aca="false">IFERROR(IF($E144="","",DITARI!$H148),"")</f>
        <v/>
      </c>
      <c r="I144" s="487" t="n">
        <f aca="false">IF($E144="",0,IFERROR(DITARI!$F148,0))</f>
        <v>0</v>
      </c>
      <c r="J144" s="487" t="n">
        <f aca="false">IF($E144="",0,IFERROR(DITARI!$G148,0))</f>
        <v>0</v>
      </c>
      <c r="K144" s="484" t="str">
        <f aca="false">IF($E144="","",IFERROR(VLOOKUP($E144,PLANI_LLOGARIVE!$A:$I,9,FALSE()),""))</f>
        <v/>
      </c>
      <c r="L144" s="487" t="str">
        <f aca="false">IF($E144="","",$I144-$J144)</f>
        <v/>
      </c>
      <c r="M144" s="484" t="str">
        <f aca="false">IF($E144="","",IF($I144&gt;0,"DEBIT",IF($J144&gt;0,"KREDIT","ZERO")))</f>
        <v/>
      </c>
      <c r="N144" s="484" t="str">
        <f aca="false">IF($E144="","",TEXT($B144,"yyyymmdd")&amp;"-"&amp;TEXT(ROW(),"0000"))</f>
        <v/>
      </c>
      <c r="O144" s="101" t="str">
        <f aca="false">IF($E144="","",$E144&amp;"")</f>
        <v/>
      </c>
      <c r="P144" s="101" t="str">
        <f aca="false">IF(AND($O144&lt;&gt;"",$I144&lt;&gt;0),COUNTIFS($O$2:O144,$O144,$I$2:I144,"&gt;0"),"")</f>
        <v/>
      </c>
      <c r="Q144" s="101" t="str">
        <f aca="false">IF(AND($O144&lt;&gt;"",$J144&lt;&gt;0),COUNTIFS($O$2:O144,$O144,$J$2:J144,"&gt;0"),"")</f>
        <v/>
      </c>
      <c r="R144" s="101" t="str">
        <f aca="false">IF($P144="","",$O144&amp;"|"&amp;$P144)</f>
        <v/>
      </c>
      <c r="S144" s="101" t="str">
        <f aca="false">IF($Q144="","",$O144&amp;"|"&amp;$Q144)</f>
        <v/>
      </c>
      <c r="T144" s="101" t="str">
        <f aca="false">IF($O144="","",COUNTIF($O$2:O144,$O144))</f>
        <v/>
      </c>
      <c r="U144" s="101" t="str">
        <f aca="false">IF($O144="","",$O144&amp;"|"&amp;$T144)</f>
        <v/>
      </c>
      <c r="V144" s="488" t="n">
        <f aca="false">IF(OR(LEFT($D144,5)="MB-CL",LEFT($D144,6)="MB-RES"),0,$I144)</f>
        <v>0</v>
      </c>
      <c r="W144" s="488" t="n">
        <f aca="false">IF(OR(LEFT($D144,5)="MB-CL",LEFT($D144,6)="MB-RES"),0,$J144)</f>
        <v>0</v>
      </c>
      <c r="X144" s="101" t="str">
        <f aca="false">IF($E144="","",LEFT($E144,1))</f>
        <v/>
      </c>
      <c r="Y144" s="101" t="str">
        <f aca="false">IF($E144="","",LEFT($E144,2))</f>
        <v/>
      </c>
      <c r="Z144" s="101" t="str">
        <f aca="false">IF($E144="","",LEFT($E144,3))</f>
        <v/>
      </c>
      <c r="AA144" s="101" t="str">
        <f aca="false">IF($E144="","",LEFT($E144,4))</f>
        <v/>
      </c>
    </row>
    <row r="145" customFormat="false" ht="15" hidden="false" customHeight="true" outlineLevel="0" collapsed="false">
      <c r="A145" s="484" t="str">
        <f aca="false">IF(DITARI!$D149="","",ROW()-1)</f>
        <v/>
      </c>
      <c r="B145" s="485" t="str">
        <f aca="false">IF(DITARI!$D149="","",DITARI!$A149)</f>
        <v/>
      </c>
      <c r="C145" s="484" t="str">
        <f aca="false">IF(DITARI!$D149="","",DITARI!$B149)</f>
        <v/>
      </c>
      <c r="D145" s="484" t="str">
        <f aca="false">IF(DITARI!$D149="","",DITARI!$C149)</f>
        <v/>
      </c>
      <c r="E145" s="484" t="str">
        <f aca="false">IF(DITARI!$D149="","",TRIM(DITARI!$D149&amp;""))</f>
        <v/>
      </c>
      <c r="F145" s="484" t="str">
        <f aca="false">IF($E145="","",IFERROR(VLOOKUP($E145,PLANI_LLOGARIVE!$A:$I,2,FALSE()),DITARI!$E149))</f>
        <v/>
      </c>
      <c r="G145" s="484" t="str">
        <f aca="false">IF($E145="","",DITARI!$I149)</f>
        <v/>
      </c>
      <c r="H145" s="484" t="str">
        <f aca="false">IFERROR(IF($E145="","",DITARI!$H149),"")</f>
        <v/>
      </c>
      <c r="I145" s="487" t="n">
        <f aca="false">IF($E145="",0,IFERROR(DITARI!$F149,0))</f>
        <v>0</v>
      </c>
      <c r="J145" s="487" t="n">
        <f aca="false">IF($E145="",0,IFERROR(DITARI!$G149,0))</f>
        <v>0</v>
      </c>
      <c r="K145" s="484" t="str">
        <f aca="false">IF($E145="","",IFERROR(VLOOKUP($E145,PLANI_LLOGARIVE!$A:$I,9,FALSE()),""))</f>
        <v/>
      </c>
      <c r="L145" s="487" t="str">
        <f aca="false">IF($E145="","",$I145-$J145)</f>
        <v/>
      </c>
      <c r="M145" s="484" t="str">
        <f aca="false">IF($E145="","",IF($I145&gt;0,"DEBIT",IF($J145&gt;0,"KREDIT","ZERO")))</f>
        <v/>
      </c>
      <c r="N145" s="484" t="str">
        <f aca="false">IF($E145="","",TEXT($B145,"yyyymmdd")&amp;"-"&amp;TEXT(ROW(),"0000"))</f>
        <v/>
      </c>
      <c r="O145" s="101" t="str">
        <f aca="false">IF($E145="","",$E145&amp;"")</f>
        <v/>
      </c>
      <c r="P145" s="101" t="str">
        <f aca="false">IF(AND($O145&lt;&gt;"",$I145&lt;&gt;0),COUNTIFS($O$2:O145,$O145,$I$2:I145,"&gt;0"),"")</f>
        <v/>
      </c>
      <c r="Q145" s="101" t="str">
        <f aca="false">IF(AND($O145&lt;&gt;"",$J145&lt;&gt;0),COUNTIFS($O$2:O145,$O145,$J$2:J145,"&gt;0"),"")</f>
        <v/>
      </c>
      <c r="R145" s="101" t="str">
        <f aca="false">IF($P145="","",$O145&amp;"|"&amp;$P145)</f>
        <v/>
      </c>
      <c r="S145" s="101" t="str">
        <f aca="false">IF($Q145="","",$O145&amp;"|"&amp;$Q145)</f>
        <v/>
      </c>
      <c r="T145" s="101" t="str">
        <f aca="false">IF($O145="","",COUNTIF($O$2:O145,$O145))</f>
        <v/>
      </c>
      <c r="U145" s="101" t="str">
        <f aca="false">IF($O145="","",$O145&amp;"|"&amp;$T145)</f>
        <v/>
      </c>
      <c r="V145" s="488" t="n">
        <f aca="false">IF(OR(LEFT($D145,5)="MB-CL",LEFT($D145,6)="MB-RES"),0,$I145)</f>
        <v>0</v>
      </c>
      <c r="W145" s="488" t="n">
        <f aca="false">IF(OR(LEFT($D145,5)="MB-CL",LEFT($D145,6)="MB-RES"),0,$J145)</f>
        <v>0</v>
      </c>
      <c r="X145" s="101" t="str">
        <f aca="false">IF($E145="","",LEFT($E145,1))</f>
        <v/>
      </c>
      <c r="Y145" s="101" t="str">
        <f aca="false">IF($E145="","",LEFT($E145,2))</f>
        <v/>
      </c>
      <c r="Z145" s="101" t="str">
        <f aca="false">IF($E145="","",LEFT($E145,3))</f>
        <v/>
      </c>
      <c r="AA145" s="101" t="str">
        <f aca="false">IF($E145="","",LEFT($E145,4))</f>
        <v/>
      </c>
    </row>
    <row r="146" customFormat="false" ht="15" hidden="false" customHeight="true" outlineLevel="0" collapsed="false">
      <c r="A146" s="484" t="str">
        <f aca="false">IF(DITARI!$D150="","",ROW()-1)</f>
        <v/>
      </c>
      <c r="B146" s="485" t="str">
        <f aca="false">IF(DITARI!$D150="","",DITARI!$A150)</f>
        <v/>
      </c>
      <c r="C146" s="484" t="str">
        <f aca="false">IF(DITARI!$D150="","",DITARI!$B150)</f>
        <v/>
      </c>
      <c r="D146" s="484" t="str">
        <f aca="false">IF(DITARI!$D150="","",DITARI!$C150)</f>
        <v/>
      </c>
      <c r="E146" s="484" t="str">
        <f aca="false">IF(DITARI!$D150="","",TRIM(DITARI!$D150&amp;""))</f>
        <v/>
      </c>
      <c r="F146" s="484" t="str">
        <f aca="false">IF($E146="","",IFERROR(VLOOKUP($E146,PLANI_LLOGARIVE!$A:$I,2,FALSE()),DITARI!$E150))</f>
        <v/>
      </c>
      <c r="G146" s="484" t="str">
        <f aca="false">IF($E146="","",DITARI!$I150)</f>
        <v/>
      </c>
      <c r="H146" s="484" t="str">
        <f aca="false">IFERROR(IF($E146="","",DITARI!$H150),"")</f>
        <v/>
      </c>
      <c r="I146" s="487" t="n">
        <f aca="false">IF($E146="",0,IFERROR(DITARI!$F150,0))</f>
        <v>0</v>
      </c>
      <c r="J146" s="487" t="n">
        <f aca="false">IF($E146="",0,IFERROR(DITARI!$G150,0))</f>
        <v>0</v>
      </c>
      <c r="K146" s="484" t="str">
        <f aca="false">IF($E146="","",IFERROR(VLOOKUP($E146,PLANI_LLOGARIVE!$A:$I,9,FALSE()),""))</f>
        <v/>
      </c>
      <c r="L146" s="487" t="str">
        <f aca="false">IF($E146="","",$I146-$J146)</f>
        <v/>
      </c>
      <c r="M146" s="484" t="str">
        <f aca="false">IF($E146="","",IF($I146&gt;0,"DEBIT",IF($J146&gt;0,"KREDIT","ZERO")))</f>
        <v/>
      </c>
      <c r="N146" s="484" t="str">
        <f aca="false">IF($E146="","",TEXT($B146,"yyyymmdd")&amp;"-"&amp;TEXT(ROW(),"0000"))</f>
        <v/>
      </c>
      <c r="O146" s="101" t="str">
        <f aca="false">IF($E146="","",$E146&amp;"")</f>
        <v/>
      </c>
      <c r="P146" s="101" t="str">
        <f aca="false">IF(AND($O146&lt;&gt;"",$I146&lt;&gt;0),COUNTIFS($O$2:O146,$O146,$I$2:I146,"&gt;0"),"")</f>
        <v/>
      </c>
      <c r="Q146" s="101" t="str">
        <f aca="false">IF(AND($O146&lt;&gt;"",$J146&lt;&gt;0),COUNTIFS($O$2:O146,$O146,$J$2:J146,"&gt;0"),"")</f>
        <v/>
      </c>
      <c r="R146" s="101" t="str">
        <f aca="false">IF($P146="","",$O146&amp;"|"&amp;$P146)</f>
        <v/>
      </c>
      <c r="S146" s="101" t="str">
        <f aca="false">IF($Q146="","",$O146&amp;"|"&amp;$Q146)</f>
        <v/>
      </c>
      <c r="T146" s="101" t="str">
        <f aca="false">IF($O146="","",COUNTIF($O$2:O146,$O146))</f>
        <v/>
      </c>
      <c r="U146" s="101" t="str">
        <f aca="false">IF($O146="","",$O146&amp;"|"&amp;$T146)</f>
        <v/>
      </c>
      <c r="V146" s="488" t="n">
        <f aca="false">IF(OR(LEFT($D146,5)="MB-CL",LEFT($D146,6)="MB-RES"),0,$I146)</f>
        <v>0</v>
      </c>
      <c r="W146" s="488" t="n">
        <f aca="false">IF(OR(LEFT($D146,5)="MB-CL",LEFT($D146,6)="MB-RES"),0,$J146)</f>
        <v>0</v>
      </c>
      <c r="X146" s="101" t="str">
        <f aca="false">IF($E146="","",LEFT($E146,1))</f>
        <v/>
      </c>
      <c r="Y146" s="101" t="str">
        <f aca="false">IF($E146="","",LEFT($E146,2))</f>
        <v/>
      </c>
      <c r="Z146" s="101" t="str">
        <f aca="false">IF($E146="","",LEFT($E146,3))</f>
        <v/>
      </c>
      <c r="AA146" s="101" t="str">
        <f aca="false">IF($E146="","",LEFT($E146,4))</f>
        <v/>
      </c>
    </row>
    <row r="147" customFormat="false" ht="15" hidden="false" customHeight="true" outlineLevel="0" collapsed="false">
      <c r="A147" s="484" t="str">
        <f aca="false">IF(DITARI!$D151="","",ROW()-1)</f>
        <v/>
      </c>
      <c r="B147" s="485" t="str">
        <f aca="false">IF(DITARI!$D151="","",DITARI!$A151)</f>
        <v/>
      </c>
      <c r="C147" s="484" t="str">
        <f aca="false">IF(DITARI!$D151="","",DITARI!$B151)</f>
        <v/>
      </c>
      <c r="D147" s="484" t="str">
        <f aca="false">IF(DITARI!$D151="","",DITARI!$C151)</f>
        <v/>
      </c>
      <c r="E147" s="484" t="str">
        <f aca="false">IF(DITARI!$D151="","",TRIM(DITARI!$D151&amp;""))</f>
        <v/>
      </c>
      <c r="F147" s="484" t="str">
        <f aca="false">IF($E147="","",IFERROR(VLOOKUP($E147,PLANI_LLOGARIVE!$A:$I,2,FALSE()),DITARI!$E151))</f>
        <v/>
      </c>
      <c r="G147" s="484" t="str">
        <f aca="false">IF($E147="","",DITARI!$I151)</f>
        <v/>
      </c>
      <c r="H147" s="484" t="str">
        <f aca="false">IFERROR(IF($E147="","",DITARI!$H151),"")</f>
        <v/>
      </c>
      <c r="I147" s="487" t="n">
        <f aca="false">IF($E147="",0,IFERROR(DITARI!$F151,0))</f>
        <v>0</v>
      </c>
      <c r="J147" s="487" t="n">
        <f aca="false">IF($E147="",0,IFERROR(DITARI!$G151,0))</f>
        <v>0</v>
      </c>
      <c r="K147" s="484" t="str">
        <f aca="false">IF($E147="","",IFERROR(VLOOKUP($E147,PLANI_LLOGARIVE!$A:$I,9,FALSE()),""))</f>
        <v/>
      </c>
      <c r="L147" s="487" t="str">
        <f aca="false">IF($E147="","",$I147-$J147)</f>
        <v/>
      </c>
      <c r="M147" s="484" t="str">
        <f aca="false">IF($E147="","",IF($I147&gt;0,"DEBIT",IF($J147&gt;0,"KREDIT","ZERO")))</f>
        <v/>
      </c>
      <c r="N147" s="484" t="str">
        <f aca="false">IF($E147="","",TEXT($B147,"yyyymmdd")&amp;"-"&amp;TEXT(ROW(),"0000"))</f>
        <v/>
      </c>
      <c r="O147" s="101" t="str">
        <f aca="false">IF($E147="","",$E147&amp;"")</f>
        <v/>
      </c>
      <c r="P147" s="101" t="str">
        <f aca="false">IF(AND($O147&lt;&gt;"",$I147&lt;&gt;0),COUNTIFS($O$2:O147,$O147,$I$2:I147,"&gt;0"),"")</f>
        <v/>
      </c>
      <c r="Q147" s="101" t="str">
        <f aca="false">IF(AND($O147&lt;&gt;"",$J147&lt;&gt;0),COUNTIFS($O$2:O147,$O147,$J$2:J147,"&gt;0"),"")</f>
        <v/>
      </c>
      <c r="R147" s="101" t="str">
        <f aca="false">IF($P147="","",$O147&amp;"|"&amp;$P147)</f>
        <v/>
      </c>
      <c r="S147" s="101" t="str">
        <f aca="false">IF($Q147="","",$O147&amp;"|"&amp;$Q147)</f>
        <v/>
      </c>
      <c r="T147" s="101" t="str">
        <f aca="false">IF($O147="","",COUNTIF($O$2:O147,$O147))</f>
        <v/>
      </c>
      <c r="U147" s="101" t="str">
        <f aca="false">IF($O147="","",$O147&amp;"|"&amp;$T147)</f>
        <v/>
      </c>
      <c r="V147" s="488" t="n">
        <f aca="false">IF(OR(LEFT($D147,5)="MB-CL",LEFT($D147,6)="MB-RES"),0,$I147)</f>
        <v>0</v>
      </c>
      <c r="W147" s="488" t="n">
        <f aca="false">IF(OR(LEFT($D147,5)="MB-CL",LEFT($D147,6)="MB-RES"),0,$J147)</f>
        <v>0</v>
      </c>
      <c r="X147" s="101" t="str">
        <f aca="false">IF($E147="","",LEFT($E147,1))</f>
        <v/>
      </c>
      <c r="Y147" s="101" t="str">
        <f aca="false">IF($E147="","",LEFT($E147,2))</f>
        <v/>
      </c>
      <c r="Z147" s="101" t="str">
        <f aca="false">IF($E147="","",LEFT($E147,3))</f>
        <v/>
      </c>
      <c r="AA147" s="101" t="str">
        <f aca="false">IF($E147="","",LEFT($E147,4))</f>
        <v/>
      </c>
    </row>
    <row r="148" customFormat="false" ht="15" hidden="false" customHeight="true" outlineLevel="0" collapsed="false">
      <c r="A148" s="484" t="str">
        <f aca="false">IF(DITARI!$D152="","",ROW()-1)</f>
        <v/>
      </c>
      <c r="B148" s="485" t="str">
        <f aca="false">IF(DITARI!$D152="","",DITARI!$A152)</f>
        <v/>
      </c>
      <c r="C148" s="484" t="str">
        <f aca="false">IF(DITARI!$D152="","",DITARI!$B152)</f>
        <v/>
      </c>
      <c r="D148" s="484" t="str">
        <f aca="false">IF(DITARI!$D152="","",DITARI!$C152)</f>
        <v/>
      </c>
      <c r="E148" s="484" t="str">
        <f aca="false">IF(DITARI!$D152="","",TRIM(DITARI!$D152&amp;""))</f>
        <v/>
      </c>
      <c r="F148" s="484" t="str">
        <f aca="false">IF($E148="","",IFERROR(VLOOKUP($E148,PLANI_LLOGARIVE!$A:$I,2,FALSE()),DITARI!$E152))</f>
        <v/>
      </c>
      <c r="G148" s="484" t="str">
        <f aca="false">IF($E148="","",DITARI!$I152)</f>
        <v/>
      </c>
      <c r="H148" s="484" t="str">
        <f aca="false">IFERROR(IF($E148="","",DITARI!$H152),"")</f>
        <v/>
      </c>
      <c r="I148" s="487" t="n">
        <f aca="false">IF($E148="",0,IFERROR(DITARI!$F152,0))</f>
        <v>0</v>
      </c>
      <c r="J148" s="487" t="n">
        <f aca="false">IF($E148="",0,IFERROR(DITARI!$G152,0))</f>
        <v>0</v>
      </c>
      <c r="K148" s="484" t="str">
        <f aca="false">IF($E148="","",IFERROR(VLOOKUP($E148,PLANI_LLOGARIVE!$A:$I,9,FALSE()),""))</f>
        <v/>
      </c>
      <c r="L148" s="487" t="str">
        <f aca="false">IF($E148="","",$I148-$J148)</f>
        <v/>
      </c>
      <c r="M148" s="484" t="str">
        <f aca="false">IF($E148="","",IF($I148&gt;0,"DEBIT",IF($J148&gt;0,"KREDIT","ZERO")))</f>
        <v/>
      </c>
      <c r="N148" s="484" t="str">
        <f aca="false">IF($E148="","",TEXT($B148,"yyyymmdd")&amp;"-"&amp;TEXT(ROW(),"0000"))</f>
        <v/>
      </c>
      <c r="O148" s="101" t="str">
        <f aca="false">IF($E148="","",$E148&amp;"")</f>
        <v/>
      </c>
      <c r="P148" s="101" t="str">
        <f aca="false">IF(AND($O148&lt;&gt;"",$I148&lt;&gt;0),COUNTIFS($O$2:O148,$O148,$I$2:I148,"&gt;0"),"")</f>
        <v/>
      </c>
      <c r="Q148" s="101" t="str">
        <f aca="false">IF(AND($O148&lt;&gt;"",$J148&lt;&gt;0),COUNTIFS($O$2:O148,$O148,$J$2:J148,"&gt;0"),"")</f>
        <v/>
      </c>
      <c r="R148" s="101" t="str">
        <f aca="false">IF($P148="","",$O148&amp;"|"&amp;$P148)</f>
        <v/>
      </c>
      <c r="S148" s="101" t="str">
        <f aca="false">IF($Q148="","",$O148&amp;"|"&amp;$Q148)</f>
        <v/>
      </c>
      <c r="T148" s="101" t="str">
        <f aca="false">IF($O148="","",COUNTIF($O$2:O148,$O148))</f>
        <v/>
      </c>
      <c r="U148" s="101" t="str">
        <f aca="false">IF($O148="","",$O148&amp;"|"&amp;$T148)</f>
        <v/>
      </c>
      <c r="V148" s="488" t="n">
        <f aca="false">IF(OR(LEFT($D148,5)="MB-CL",LEFT($D148,6)="MB-RES"),0,$I148)</f>
        <v>0</v>
      </c>
      <c r="W148" s="488" t="n">
        <f aca="false">IF(OR(LEFT($D148,5)="MB-CL",LEFT($D148,6)="MB-RES"),0,$J148)</f>
        <v>0</v>
      </c>
      <c r="X148" s="101" t="str">
        <f aca="false">IF($E148="","",LEFT($E148,1))</f>
        <v/>
      </c>
      <c r="Y148" s="101" t="str">
        <f aca="false">IF($E148="","",LEFT($E148,2))</f>
        <v/>
      </c>
      <c r="Z148" s="101" t="str">
        <f aca="false">IF($E148="","",LEFT($E148,3))</f>
        <v/>
      </c>
      <c r="AA148" s="101" t="str">
        <f aca="false">IF($E148="","",LEFT($E148,4))</f>
        <v/>
      </c>
    </row>
    <row r="149" customFormat="false" ht="15" hidden="false" customHeight="true" outlineLevel="0" collapsed="false">
      <c r="A149" s="484" t="str">
        <f aca="false">IF(DITARI!$D153="","",ROW()-1)</f>
        <v/>
      </c>
      <c r="B149" s="485" t="str">
        <f aca="false">IF(DITARI!$D153="","",DITARI!$A153)</f>
        <v/>
      </c>
      <c r="C149" s="484" t="str">
        <f aca="false">IF(DITARI!$D153="","",DITARI!$B153)</f>
        <v/>
      </c>
      <c r="D149" s="484" t="str">
        <f aca="false">IF(DITARI!$D153="","",DITARI!$C153)</f>
        <v/>
      </c>
      <c r="E149" s="484" t="str">
        <f aca="false">IF(DITARI!$D153="","",TRIM(DITARI!$D153&amp;""))</f>
        <v/>
      </c>
      <c r="F149" s="484" t="str">
        <f aca="false">IF($E149="","",IFERROR(VLOOKUP($E149,PLANI_LLOGARIVE!$A:$I,2,FALSE()),DITARI!$E153))</f>
        <v/>
      </c>
      <c r="G149" s="484" t="str">
        <f aca="false">IF($E149="","",DITARI!$I153)</f>
        <v/>
      </c>
      <c r="H149" s="484" t="str">
        <f aca="false">IFERROR(IF($E149="","",DITARI!$H153),"")</f>
        <v/>
      </c>
      <c r="I149" s="487" t="n">
        <f aca="false">IF($E149="",0,IFERROR(DITARI!$F153,0))</f>
        <v>0</v>
      </c>
      <c r="J149" s="487" t="n">
        <f aca="false">IF($E149="",0,IFERROR(DITARI!$G153,0))</f>
        <v>0</v>
      </c>
      <c r="K149" s="484" t="str">
        <f aca="false">IF($E149="","",IFERROR(VLOOKUP($E149,PLANI_LLOGARIVE!$A:$I,9,FALSE()),""))</f>
        <v/>
      </c>
      <c r="L149" s="487" t="str">
        <f aca="false">IF($E149="","",$I149-$J149)</f>
        <v/>
      </c>
      <c r="M149" s="484" t="str">
        <f aca="false">IF($E149="","",IF($I149&gt;0,"DEBIT",IF($J149&gt;0,"KREDIT","ZERO")))</f>
        <v/>
      </c>
      <c r="N149" s="484" t="str">
        <f aca="false">IF($E149="","",TEXT($B149,"yyyymmdd")&amp;"-"&amp;TEXT(ROW(),"0000"))</f>
        <v/>
      </c>
      <c r="O149" s="101" t="str">
        <f aca="false">IF($E149="","",$E149&amp;"")</f>
        <v/>
      </c>
      <c r="P149" s="101" t="str">
        <f aca="false">IF(AND($O149&lt;&gt;"",$I149&lt;&gt;0),COUNTIFS($O$2:O149,$O149,$I$2:I149,"&gt;0"),"")</f>
        <v/>
      </c>
      <c r="Q149" s="101" t="str">
        <f aca="false">IF(AND($O149&lt;&gt;"",$J149&lt;&gt;0),COUNTIFS($O$2:O149,$O149,$J$2:J149,"&gt;0"),"")</f>
        <v/>
      </c>
      <c r="R149" s="101" t="str">
        <f aca="false">IF($P149="","",$O149&amp;"|"&amp;$P149)</f>
        <v/>
      </c>
      <c r="S149" s="101" t="str">
        <f aca="false">IF($Q149="","",$O149&amp;"|"&amp;$Q149)</f>
        <v/>
      </c>
      <c r="T149" s="101" t="str">
        <f aca="false">IF($O149="","",COUNTIF($O$2:O149,$O149))</f>
        <v/>
      </c>
      <c r="U149" s="101" t="str">
        <f aca="false">IF($O149="","",$O149&amp;"|"&amp;$T149)</f>
        <v/>
      </c>
      <c r="V149" s="488" t="n">
        <f aca="false">IF(OR(LEFT($D149,5)="MB-CL",LEFT($D149,6)="MB-RES"),0,$I149)</f>
        <v>0</v>
      </c>
      <c r="W149" s="488" t="n">
        <f aca="false">IF(OR(LEFT($D149,5)="MB-CL",LEFT($D149,6)="MB-RES"),0,$J149)</f>
        <v>0</v>
      </c>
      <c r="X149" s="101" t="str">
        <f aca="false">IF($E149="","",LEFT($E149,1))</f>
        <v/>
      </c>
      <c r="Y149" s="101" t="str">
        <f aca="false">IF($E149="","",LEFT($E149,2))</f>
        <v/>
      </c>
      <c r="Z149" s="101" t="str">
        <f aca="false">IF($E149="","",LEFT($E149,3))</f>
        <v/>
      </c>
      <c r="AA149" s="101" t="str">
        <f aca="false">IF($E149="","",LEFT($E149,4))</f>
        <v/>
      </c>
    </row>
    <row r="150" customFormat="false" ht="15" hidden="false" customHeight="true" outlineLevel="0" collapsed="false">
      <c r="A150" s="484" t="str">
        <f aca="false">IF(DITARI!$D154="","",ROW()-1)</f>
        <v/>
      </c>
      <c r="B150" s="485" t="str">
        <f aca="false">IF(DITARI!$D154="","",DITARI!$A154)</f>
        <v/>
      </c>
      <c r="C150" s="484" t="str">
        <f aca="false">IF(DITARI!$D154="","",DITARI!$B154)</f>
        <v/>
      </c>
      <c r="D150" s="484" t="str">
        <f aca="false">IF(DITARI!$D154="","",DITARI!$C154)</f>
        <v/>
      </c>
      <c r="E150" s="484" t="str">
        <f aca="false">IF(DITARI!$D154="","",TRIM(DITARI!$D154&amp;""))</f>
        <v/>
      </c>
      <c r="F150" s="484" t="str">
        <f aca="false">IF($E150="","",IFERROR(VLOOKUP($E150,PLANI_LLOGARIVE!$A:$I,2,FALSE()),DITARI!$E154))</f>
        <v/>
      </c>
      <c r="G150" s="484" t="str">
        <f aca="false">IF($E150="","",DITARI!$I154)</f>
        <v/>
      </c>
      <c r="H150" s="484" t="str">
        <f aca="false">IFERROR(IF($E150="","",DITARI!$H154),"")</f>
        <v/>
      </c>
      <c r="I150" s="487" t="n">
        <f aca="false">IF($E150="",0,IFERROR(DITARI!$F154,0))</f>
        <v>0</v>
      </c>
      <c r="J150" s="487" t="n">
        <f aca="false">IF($E150="",0,IFERROR(DITARI!$G154,0))</f>
        <v>0</v>
      </c>
      <c r="K150" s="484" t="str">
        <f aca="false">IF($E150="","",IFERROR(VLOOKUP($E150,PLANI_LLOGARIVE!$A:$I,9,FALSE()),""))</f>
        <v/>
      </c>
      <c r="L150" s="487" t="str">
        <f aca="false">IF($E150="","",$I150-$J150)</f>
        <v/>
      </c>
      <c r="M150" s="484" t="str">
        <f aca="false">IF($E150="","",IF($I150&gt;0,"DEBIT",IF($J150&gt;0,"KREDIT","ZERO")))</f>
        <v/>
      </c>
      <c r="N150" s="484" t="str">
        <f aca="false">IF($E150="","",TEXT($B150,"yyyymmdd")&amp;"-"&amp;TEXT(ROW(),"0000"))</f>
        <v/>
      </c>
      <c r="O150" s="101" t="str">
        <f aca="false">IF($E150="","",$E150&amp;"")</f>
        <v/>
      </c>
      <c r="P150" s="101" t="str">
        <f aca="false">IF(AND($O150&lt;&gt;"",$I150&lt;&gt;0),COUNTIFS($O$2:O150,$O150,$I$2:I150,"&gt;0"),"")</f>
        <v/>
      </c>
      <c r="Q150" s="101" t="str">
        <f aca="false">IF(AND($O150&lt;&gt;"",$J150&lt;&gt;0),COUNTIFS($O$2:O150,$O150,$J$2:J150,"&gt;0"),"")</f>
        <v/>
      </c>
      <c r="R150" s="101" t="str">
        <f aca="false">IF($P150="","",$O150&amp;"|"&amp;$P150)</f>
        <v/>
      </c>
      <c r="S150" s="101" t="str">
        <f aca="false">IF($Q150="","",$O150&amp;"|"&amp;$Q150)</f>
        <v/>
      </c>
      <c r="T150" s="101" t="str">
        <f aca="false">IF($O150="","",COUNTIF($O$2:O150,$O150))</f>
        <v/>
      </c>
      <c r="U150" s="101" t="str">
        <f aca="false">IF($O150="","",$O150&amp;"|"&amp;$T150)</f>
        <v/>
      </c>
      <c r="V150" s="488" t="n">
        <f aca="false">IF(OR(LEFT($D150,5)="MB-CL",LEFT($D150,6)="MB-RES"),0,$I150)</f>
        <v>0</v>
      </c>
      <c r="W150" s="488" t="n">
        <f aca="false">IF(OR(LEFT($D150,5)="MB-CL",LEFT($D150,6)="MB-RES"),0,$J150)</f>
        <v>0</v>
      </c>
      <c r="X150" s="101" t="str">
        <f aca="false">IF($E150="","",LEFT($E150,1))</f>
        <v/>
      </c>
      <c r="Y150" s="101" t="str">
        <f aca="false">IF($E150="","",LEFT($E150,2))</f>
        <v/>
      </c>
      <c r="Z150" s="101" t="str">
        <f aca="false">IF($E150="","",LEFT($E150,3))</f>
        <v/>
      </c>
      <c r="AA150" s="101" t="str">
        <f aca="false">IF($E150="","",LEFT($E150,4))</f>
        <v/>
      </c>
    </row>
    <row r="151" customFormat="false" ht="15" hidden="false" customHeight="true" outlineLevel="0" collapsed="false">
      <c r="A151" s="484" t="str">
        <f aca="false">IF(DITARI!$D155="","",ROW()-1)</f>
        <v/>
      </c>
      <c r="B151" s="485" t="str">
        <f aca="false">IF(DITARI!$D155="","",DITARI!$A155)</f>
        <v/>
      </c>
      <c r="C151" s="484" t="str">
        <f aca="false">IF(DITARI!$D155="","",DITARI!$B155)</f>
        <v/>
      </c>
      <c r="D151" s="484" t="str">
        <f aca="false">IF(DITARI!$D155="","",DITARI!$C155)</f>
        <v/>
      </c>
      <c r="E151" s="484" t="str">
        <f aca="false">IF(DITARI!$D155="","",TRIM(DITARI!$D155&amp;""))</f>
        <v/>
      </c>
      <c r="F151" s="484" t="str">
        <f aca="false">IF($E151="","",IFERROR(VLOOKUP($E151,PLANI_LLOGARIVE!$A:$I,2,FALSE()),DITARI!$E155))</f>
        <v/>
      </c>
      <c r="G151" s="484" t="str">
        <f aca="false">IF($E151="","",DITARI!$I155)</f>
        <v/>
      </c>
      <c r="H151" s="484" t="str">
        <f aca="false">IFERROR(IF($E151="","",DITARI!$H155),"")</f>
        <v/>
      </c>
      <c r="I151" s="487" t="n">
        <f aca="false">IF($E151="",0,IFERROR(DITARI!$F155,0))</f>
        <v>0</v>
      </c>
      <c r="J151" s="487" t="n">
        <f aca="false">IF($E151="",0,IFERROR(DITARI!$G155,0))</f>
        <v>0</v>
      </c>
      <c r="K151" s="484" t="str">
        <f aca="false">IF($E151="","",IFERROR(VLOOKUP($E151,PLANI_LLOGARIVE!$A:$I,9,FALSE()),""))</f>
        <v/>
      </c>
      <c r="L151" s="487" t="str">
        <f aca="false">IF($E151="","",$I151-$J151)</f>
        <v/>
      </c>
      <c r="M151" s="484" t="str">
        <f aca="false">IF($E151="","",IF($I151&gt;0,"DEBIT",IF($J151&gt;0,"KREDIT","ZERO")))</f>
        <v/>
      </c>
      <c r="N151" s="484" t="str">
        <f aca="false">IF($E151="","",TEXT($B151,"yyyymmdd")&amp;"-"&amp;TEXT(ROW(),"0000"))</f>
        <v/>
      </c>
      <c r="O151" s="101" t="str">
        <f aca="false">IF($E151="","",$E151&amp;"")</f>
        <v/>
      </c>
      <c r="P151" s="101" t="str">
        <f aca="false">IF(AND($O151&lt;&gt;"",$I151&lt;&gt;0),COUNTIFS($O$2:O151,$O151,$I$2:I151,"&gt;0"),"")</f>
        <v/>
      </c>
      <c r="Q151" s="101" t="str">
        <f aca="false">IF(AND($O151&lt;&gt;"",$J151&lt;&gt;0),COUNTIFS($O$2:O151,$O151,$J$2:J151,"&gt;0"),"")</f>
        <v/>
      </c>
      <c r="R151" s="101" t="str">
        <f aca="false">IF($P151="","",$O151&amp;"|"&amp;$P151)</f>
        <v/>
      </c>
      <c r="S151" s="101" t="str">
        <f aca="false">IF($Q151="","",$O151&amp;"|"&amp;$Q151)</f>
        <v/>
      </c>
      <c r="T151" s="101" t="str">
        <f aca="false">IF($O151="","",COUNTIF($O$2:O151,$O151))</f>
        <v/>
      </c>
      <c r="U151" s="101" t="str">
        <f aca="false">IF($O151="","",$O151&amp;"|"&amp;$T151)</f>
        <v/>
      </c>
      <c r="V151" s="488" t="n">
        <f aca="false">IF(OR(LEFT($D151,5)="MB-CL",LEFT($D151,6)="MB-RES"),0,$I151)</f>
        <v>0</v>
      </c>
      <c r="W151" s="488" t="n">
        <f aca="false">IF(OR(LEFT($D151,5)="MB-CL",LEFT($D151,6)="MB-RES"),0,$J151)</f>
        <v>0</v>
      </c>
      <c r="X151" s="101" t="str">
        <f aca="false">IF($E151="","",LEFT($E151,1))</f>
        <v/>
      </c>
      <c r="Y151" s="101" t="str">
        <f aca="false">IF($E151="","",LEFT($E151,2))</f>
        <v/>
      </c>
      <c r="Z151" s="101" t="str">
        <f aca="false">IF($E151="","",LEFT($E151,3))</f>
        <v/>
      </c>
      <c r="AA151" s="101" t="str">
        <f aca="false">IF($E151="","",LEFT($E151,4))</f>
        <v/>
      </c>
    </row>
    <row r="152" customFormat="false" ht="15" hidden="false" customHeight="true" outlineLevel="0" collapsed="false">
      <c r="A152" s="484" t="str">
        <f aca="false">IF(DITARI!$D156="","",ROW()-1)</f>
        <v/>
      </c>
      <c r="B152" s="485" t="str">
        <f aca="false">IF(DITARI!$D156="","",DITARI!$A156)</f>
        <v/>
      </c>
      <c r="C152" s="484" t="str">
        <f aca="false">IF(DITARI!$D156="","",DITARI!$B156)</f>
        <v/>
      </c>
      <c r="D152" s="484" t="str">
        <f aca="false">IF(DITARI!$D156="","",DITARI!$C156)</f>
        <v/>
      </c>
      <c r="E152" s="484" t="str">
        <f aca="false">IF(DITARI!$D156="","",TRIM(DITARI!$D156&amp;""))</f>
        <v/>
      </c>
      <c r="F152" s="484" t="str">
        <f aca="false">IF($E152="","",IFERROR(VLOOKUP($E152,PLANI_LLOGARIVE!$A:$I,2,FALSE()),DITARI!$E156))</f>
        <v/>
      </c>
      <c r="G152" s="484" t="str">
        <f aca="false">IF($E152="","",DITARI!$I156)</f>
        <v/>
      </c>
      <c r="H152" s="484" t="str">
        <f aca="false">IFERROR(IF($E152="","",DITARI!$H156),"")</f>
        <v/>
      </c>
      <c r="I152" s="487" t="n">
        <f aca="false">IF($E152="",0,IFERROR(DITARI!$F156,0))</f>
        <v>0</v>
      </c>
      <c r="J152" s="487" t="n">
        <f aca="false">IF($E152="",0,IFERROR(DITARI!$G156,0))</f>
        <v>0</v>
      </c>
      <c r="K152" s="484" t="str">
        <f aca="false">IF($E152="","",IFERROR(VLOOKUP($E152,PLANI_LLOGARIVE!$A:$I,9,FALSE()),""))</f>
        <v/>
      </c>
      <c r="L152" s="487" t="str">
        <f aca="false">IF($E152="","",$I152-$J152)</f>
        <v/>
      </c>
      <c r="M152" s="484" t="str">
        <f aca="false">IF($E152="","",IF($I152&gt;0,"DEBIT",IF($J152&gt;0,"KREDIT","ZERO")))</f>
        <v/>
      </c>
      <c r="N152" s="484" t="str">
        <f aca="false">IF($E152="","",TEXT($B152,"yyyymmdd")&amp;"-"&amp;TEXT(ROW(),"0000"))</f>
        <v/>
      </c>
      <c r="O152" s="101" t="str">
        <f aca="false">IF($E152="","",$E152&amp;"")</f>
        <v/>
      </c>
      <c r="P152" s="101" t="str">
        <f aca="false">IF(AND($O152&lt;&gt;"",$I152&lt;&gt;0),COUNTIFS($O$2:O152,$O152,$I$2:I152,"&gt;0"),"")</f>
        <v/>
      </c>
      <c r="Q152" s="101" t="str">
        <f aca="false">IF(AND($O152&lt;&gt;"",$J152&lt;&gt;0),COUNTIFS($O$2:O152,$O152,$J$2:J152,"&gt;0"),"")</f>
        <v/>
      </c>
      <c r="R152" s="101" t="str">
        <f aca="false">IF($P152="","",$O152&amp;"|"&amp;$P152)</f>
        <v/>
      </c>
      <c r="S152" s="101" t="str">
        <f aca="false">IF($Q152="","",$O152&amp;"|"&amp;$Q152)</f>
        <v/>
      </c>
      <c r="T152" s="101" t="str">
        <f aca="false">IF($O152="","",COUNTIF($O$2:O152,$O152))</f>
        <v/>
      </c>
      <c r="U152" s="101" t="str">
        <f aca="false">IF($O152="","",$O152&amp;"|"&amp;$T152)</f>
        <v/>
      </c>
      <c r="V152" s="488" t="n">
        <f aca="false">IF(OR(LEFT($D152,5)="MB-CL",LEFT($D152,6)="MB-RES"),0,$I152)</f>
        <v>0</v>
      </c>
      <c r="W152" s="488" t="n">
        <f aca="false">IF(OR(LEFT($D152,5)="MB-CL",LEFT($D152,6)="MB-RES"),0,$J152)</f>
        <v>0</v>
      </c>
      <c r="X152" s="101" t="str">
        <f aca="false">IF($E152="","",LEFT($E152,1))</f>
        <v/>
      </c>
      <c r="Y152" s="101" t="str">
        <f aca="false">IF($E152="","",LEFT($E152,2))</f>
        <v/>
      </c>
      <c r="Z152" s="101" t="str">
        <f aca="false">IF($E152="","",LEFT($E152,3))</f>
        <v/>
      </c>
      <c r="AA152" s="101" t="str">
        <f aca="false">IF($E152="","",LEFT($E152,4))</f>
        <v/>
      </c>
    </row>
    <row r="153" customFormat="false" ht="15" hidden="false" customHeight="true" outlineLevel="0" collapsed="false">
      <c r="A153" s="484" t="str">
        <f aca="false">IF(DITARI!$D157="","",ROW()-1)</f>
        <v/>
      </c>
      <c r="B153" s="485" t="str">
        <f aca="false">IF(DITARI!$D157="","",DITARI!$A157)</f>
        <v/>
      </c>
      <c r="C153" s="484" t="str">
        <f aca="false">IF(DITARI!$D157="","",DITARI!$B157)</f>
        <v/>
      </c>
      <c r="D153" s="484" t="str">
        <f aca="false">IF(DITARI!$D157="","",DITARI!$C157)</f>
        <v/>
      </c>
      <c r="E153" s="484" t="str">
        <f aca="false">IF(DITARI!$D157="","",TRIM(DITARI!$D157&amp;""))</f>
        <v/>
      </c>
      <c r="F153" s="484" t="str">
        <f aca="false">IF($E153="","",IFERROR(VLOOKUP($E153,PLANI_LLOGARIVE!$A:$I,2,FALSE()),DITARI!$E157))</f>
        <v/>
      </c>
      <c r="G153" s="484" t="str">
        <f aca="false">IF($E153="","",DITARI!$I157)</f>
        <v/>
      </c>
      <c r="H153" s="484" t="str">
        <f aca="false">IFERROR(IF($E153="","",DITARI!$H157),"")</f>
        <v/>
      </c>
      <c r="I153" s="487" t="n">
        <f aca="false">IF($E153="",0,IFERROR(DITARI!$F157,0))</f>
        <v>0</v>
      </c>
      <c r="J153" s="487" t="n">
        <f aca="false">IF($E153="",0,IFERROR(DITARI!$G157,0))</f>
        <v>0</v>
      </c>
      <c r="K153" s="484" t="str">
        <f aca="false">IF($E153="","",IFERROR(VLOOKUP($E153,PLANI_LLOGARIVE!$A:$I,9,FALSE()),""))</f>
        <v/>
      </c>
      <c r="L153" s="487" t="str">
        <f aca="false">IF($E153="","",$I153-$J153)</f>
        <v/>
      </c>
      <c r="M153" s="484" t="str">
        <f aca="false">IF($E153="","",IF($I153&gt;0,"DEBIT",IF($J153&gt;0,"KREDIT","ZERO")))</f>
        <v/>
      </c>
      <c r="N153" s="484" t="str">
        <f aca="false">IF($E153="","",TEXT($B153,"yyyymmdd")&amp;"-"&amp;TEXT(ROW(),"0000"))</f>
        <v/>
      </c>
      <c r="O153" s="101" t="str">
        <f aca="false">IF($E153="","",$E153&amp;"")</f>
        <v/>
      </c>
      <c r="P153" s="101" t="str">
        <f aca="false">IF(AND($O153&lt;&gt;"",$I153&lt;&gt;0),COUNTIFS($O$2:O153,$O153,$I$2:I153,"&gt;0"),"")</f>
        <v/>
      </c>
      <c r="Q153" s="101" t="str">
        <f aca="false">IF(AND($O153&lt;&gt;"",$J153&lt;&gt;0),COUNTIFS($O$2:O153,$O153,$J$2:J153,"&gt;0"),"")</f>
        <v/>
      </c>
      <c r="R153" s="101" t="str">
        <f aca="false">IF($P153="","",$O153&amp;"|"&amp;$P153)</f>
        <v/>
      </c>
      <c r="S153" s="101" t="str">
        <f aca="false">IF($Q153="","",$O153&amp;"|"&amp;$Q153)</f>
        <v/>
      </c>
      <c r="T153" s="101" t="str">
        <f aca="false">IF($O153="","",COUNTIF($O$2:O153,$O153))</f>
        <v/>
      </c>
      <c r="U153" s="101" t="str">
        <f aca="false">IF($O153="","",$O153&amp;"|"&amp;$T153)</f>
        <v/>
      </c>
      <c r="V153" s="488" t="n">
        <f aca="false">IF(OR(LEFT($D153,5)="MB-CL",LEFT($D153,6)="MB-RES"),0,$I153)</f>
        <v>0</v>
      </c>
      <c r="W153" s="488" t="n">
        <f aca="false">IF(OR(LEFT($D153,5)="MB-CL",LEFT($D153,6)="MB-RES"),0,$J153)</f>
        <v>0</v>
      </c>
      <c r="X153" s="101" t="str">
        <f aca="false">IF($E153="","",LEFT($E153,1))</f>
        <v/>
      </c>
      <c r="Y153" s="101" t="str">
        <f aca="false">IF($E153="","",LEFT($E153,2))</f>
        <v/>
      </c>
      <c r="Z153" s="101" t="str">
        <f aca="false">IF($E153="","",LEFT($E153,3))</f>
        <v/>
      </c>
      <c r="AA153" s="101" t="str">
        <f aca="false">IF($E153="","",LEFT($E153,4))</f>
        <v/>
      </c>
    </row>
    <row r="154" customFormat="false" ht="15" hidden="false" customHeight="true" outlineLevel="0" collapsed="false">
      <c r="A154" s="484" t="str">
        <f aca="false">IF(DITARI!$D158="","",ROW()-1)</f>
        <v/>
      </c>
      <c r="B154" s="485" t="str">
        <f aca="false">IF(DITARI!$D158="","",DITARI!$A158)</f>
        <v/>
      </c>
      <c r="C154" s="484" t="str">
        <f aca="false">IF(DITARI!$D158="","",DITARI!$B158)</f>
        <v/>
      </c>
      <c r="D154" s="484" t="str">
        <f aca="false">IF(DITARI!$D158="","",DITARI!$C158)</f>
        <v/>
      </c>
      <c r="E154" s="484" t="str">
        <f aca="false">IF(DITARI!$D158="","",TRIM(DITARI!$D158&amp;""))</f>
        <v/>
      </c>
      <c r="F154" s="484" t="str">
        <f aca="false">IF($E154="","",IFERROR(VLOOKUP($E154,PLANI_LLOGARIVE!$A:$I,2,FALSE()),DITARI!$E158))</f>
        <v/>
      </c>
      <c r="G154" s="484" t="str">
        <f aca="false">IF($E154="","",DITARI!$I158)</f>
        <v/>
      </c>
      <c r="H154" s="484" t="str">
        <f aca="false">IFERROR(IF($E154="","",DITARI!$H158),"")</f>
        <v/>
      </c>
      <c r="I154" s="487" t="n">
        <f aca="false">IF($E154="",0,IFERROR(DITARI!$F158,0))</f>
        <v>0</v>
      </c>
      <c r="J154" s="487" t="n">
        <f aca="false">IF($E154="",0,IFERROR(DITARI!$G158,0))</f>
        <v>0</v>
      </c>
      <c r="K154" s="484" t="str">
        <f aca="false">IF($E154="","",IFERROR(VLOOKUP($E154,PLANI_LLOGARIVE!$A:$I,9,FALSE()),""))</f>
        <v/>
      </c>
      <c r="L154" s="487" t="str">
        <f aca="false">IF($E154="","",$I154-$J154)</f>
        <v/>
      </c>
      <c r="M154" s="484" t="str">
        <f aca="false">IF($E154="","",IF($I154&gt;0,"DEBIT",IF($J154&gt;0,"KREDIT","ZERO")))</f>
        <v/>
      </c>
      <c r="N154" s="484" t="str">
        <f aca="false">IF($E154="","",TEXT($B154,"yyyymmdd")&amp;"-"&amp;TEXT(ROW(),"0000"))</f>
        <v/>
      </c>
      <c r="O154" s="101" t="str">
        <f aca="false">IF($E154="","",$E154&amp;"")</f>
        <v/>
      </c>
      <c r="P154" s="101" t="str">
        <f aca="false">IF(AND($O154&lt;&gt;"",$I154&lt;&gt;0),COUNTIFS($O$2:O154,$O154,$I$2:I154,"&gt;0"),"")</f>
        <v/>
      </c>
      <c r="Q154" s="101" t="str">
        <f aca="false">IF(AND($O154&lt;&gt;"",$J154&lt;&gt;0),COUNTIFS($O$2:O154,$O154,$J$2:J154,"&gt;0"),"")</f>
        <v/>
      </c>
      <c r="R154" s="101" t="str">
        <f aca="false">IF($P154="","",$O154&amp;"|"&amp;$P154)</f>
        <v/>
      </c>
      <c r="S154" s="101" t="str">
        <f aca="false">IF($Q154="","",$O154&amp;"|"&amp;$Q154)</f>
        <v/>
      </c>
      <c r="T154" s="101" t="str">
        <f aca="false">IF($O154="","",COUNTIF($O$2:O154,$O154))</f>
        <v/>
      </c>
      <c r="U154" s="101" t="str">
        <f aca="false">IF($O154="","",$O154&amp;"|"&amp;$T154)</f>
        <v/>
      </c>
      <c r="V154" s="488" t="n">
        <f aca="false">IF(OR(LEFT($D154,5)="MB-CL",LEFT($D154,6)="MB-RES"),0,$I154)</f>
        <v>0</v>
      </c>
      <c r="W154" s="488" t="n">
        <f aca="false">IF(OR(LEFT($D154,5)="MB-CL",LEFT($D154,6)="MB-RES"),0,$J154)</f>
        <v>0</v>
      </c>
      <c r="X154" s="101" t="str">
        <f aca="false">IF($E154="","",LEFT($E154,1))</f>
        <v/>
      </c>
      <c r="Y154" s="101" t="str">
        <f aca="false">IF($E154="","",LEFT($E154,2))</f>
        <v/>
      </c>
      <c r="Z154" s="101" t="str">
        <f aca="false">IF($E154="","",LEFT($E154,3))</f>
        <v/>
      </c>
      <c r="AA154" s="101" t="str">
        <f aca="false">IF($E154="","",LEFT($E154,4))</f>
        <v/>
      </c>
    </row>
    <row r="155" customFormat="false" ht="15" hidden="false" customHeight="true" outlineLevel="0" collapsed="false">
      <c r="A155" s="484" t="str">
        <f aca="false">IF(DITARI!$D159="","",ROW()-1)</f>
        <v/>
      </c>
      <c r="B155" s="485" t="str">
        <f aca="false">IF(DITARI!$D159="","",DITARI!$A159)</f>
        <v/>
      </c>
      <c r="C155" s="484" t="str">
        <f aca="false">IF(DITARI!$D159="","",DITARI!$B159)</f>
        <v/>
      </c>
      <c r="D155" s="484" t="str">
        <f aca="false">IF(DITARI!$D159="","",DITARI!$C159)</f>
        <v/>
      </c>
      <c r="E155" s="484" t="str">
        <f aca="false">IF(DITARI!$D159="","",TRIM(DITARI!$D159&amp;""))</f>
        <v/>
      </c>
      <c r="F155" s="484" t="str">
        <f aca="false">IF($E155="","",IFERROR(VLOOKUP($E155,PLANI_LLOGARIVE!$A:$I,2,FALSE()),DITARI!$E159))</f>
        <v/>
      </c>
      <c r="G155" s="484" t="str">
        <f aca="false">IF($E155="","",DITARI!$I159)</f>
        <v/>
      </c>
      <c r="H155" s="484" t="str">
        <f aca="false">IFERROR(IF($E155="","",DITARI!$H159),"")</f>
        <v/>
      </c>
      <c r="I155" s="487" t="n">
        <f aca="false">IF($E155="",0,IFERROR(DITARI!$F159,0))</f>
        <v>0</v>
      </c>
      <c r="J155" s="487" t="n">
        <f aca="false">IF($E155="",0,IFERROR(DITARI!$G159,0))</f>
        <v>0</v>
      </c>
      <c r="K155" s="484" t="str">
        <f aca="false">IF($E155="","",IFERROR(VLOOKUP($E155,PLANI_LLOGARIVE!$A:$I,9,FALSE()),""))</f>
        <v/>
      </c>
      <c r="L155" s="487" t="str">
        <f aca="false">IF($E155="","",$I155-$J155)</f>
        <v/>
      </c>
      <c r="M155" s="484" t="str">
        <f aca="false">IF($E155="","",IF($I155&gt;0,"DEBIT",IF($J155&gt;0,"KREDIT","ZERO")))</f>
        <v/>
      </c>
      <c r="N155" s="484" t="str">
        <f aca="false">IF($E155="","",TEXT($B155,"yyyymmdd")&amp;"-"&amp;TEXT(ROW(),"0000"))</f>
        <v/>
      </c>
      <c r="O155" s="101" t="str">
        <f aca="false">IF($E155="","",$E155&amp;"")</f>
        <v/>
      </c>
      <c r="P155" s="101" t="str">
        <f aca="false">IF(AND($O155&lt;&gt;"",$I155&lt;&gt;0),COUNTIFS($O$2:O155,$O155,$I$2:I155,"&gt;0"),"")</f>
        <v/>
      </c>
      <c r="Q155" s="101" t="str">
        <f aca="false">IF(AND($O155&lt;&gt;"",$J155&lt;&gt;0),COUNTIFS($O$2:O155,$O155,$J$2:J155,"&gt;0"),"")</f>
        <v/>
      </c>
      <c r="R155" s="101" t="str">
        <f aca="false">IF($P155="","",$O155&amp;"|"&amp;$P155)</f>
        <v/>
      </c>
      <c r="S155" s="101" t="str">
        <f aca="false">IF($Q155="","",$O155&amp;"|"&amp;$Q155)</f>
        <v/>
      </c>
      <c r="T155" s="101" t="str">
        <f aca="false">IF($O155="","",COUNTIF($O$2:O155,$O155))</f>
        <v/>
      </c>
      <c r="U155" s="101" t="str">
        <f aca="false">IF($O155="","",$O155&amp;"|"&amp;$T155)</f>
        <v/>
      </c>
      <c r="V155" s="488" t="n">
        <f aca="false">IF(OR(LEFT($D155,5)="MB-CL",LEFT($D155,6)="MB-RES"),0,$I155)</f>
        <v>0</v>
      </c>
      <c r="W155" s="488" t="n">
        <f aca="false">IF(OR(LEFT($D155,5)="MB-CL",LEFT($D155,6)="MB-RES"),0,$J155)</f>
        <v>0</v>
      </c>
      <c r="X155" s="101" t="str">
        <f aca="false">IF($E155="","",LEFT($E155,1))</f>
        <v/>
      </c>
      <c r="Y155" s="101" t="str">
        <f aca="false">IF($E155="","",LEFT($E155,2))</f>
        <v/>
      </c>
      <c r="Z155" s="101" t="str">
        <f aca="false">IF($E155="","",LEFT($E155,3))</f>
        <v/>
      </c>
      <c r="AA155" s="101" t="str">
        <f aca="false">IF($E155="","",LEFT($E155,4))</f>
        <v/>
      </c>
    </row>
    <row r="156" customFormat="false" ht="15" hidden="false" customHeight="true" outlineLevel="0" collapsed="false">
      <c r="A156" s="484" t="str">
        <f aca="false">IF(DITARI!$D160="","",ROW()-1)</f>
        <v/>
      </c>
      <c r="B156" s="485" t="str">
        <f aca="false">IF(DITARI!$D160="","",DITARI!$A160)</f>
        <v/>
      </c>
      <c r="C156" s="484" t="str">
        <f aca="false">IF(DITARI!$D160="","",DITARI!$B160)</f>
        <v/>
      </c>
      <c r="D156" s="484" t="str">
        <f aca="false">IF(DITARI!$D160="","",DITARI!$C160)</f>
        <v/>
      </c>
      <c r="E156" s="484" t="str">
        <f aca="false">IF(DITARI!$D160="","",TRIM(DITARI!$D160&amp;""))</f>
        <v/>
      </c>
      <c r="F156" s="484" t="str">
        <f aca="false">IF($E156="","",IFERROR(VLOOKUP($E156,PLANI_LLOGARIVE!$A:$I,2,FALSE()),DITARI!$E160))</f>
        <v/>
      </c>
      <c r="G156" s="484" t="str">
        <f aca="false">IF($E156="","",DITARI!$I160)</f>
        <v/>
      </c>
      <c r="H156" s="484" t="str">
        <f aca="false">IFERROR(IF($E156="","",DITARI!$H160),"")</f>
        <v/>
      </c>
      <c r="I156" s="487" t="n">
        <f aca="false">IF($E156="",0,IFERROR(DITARI!$F160,0))</f>
        <v>0</v>
      </c>
      <c r="J156" s="487" t="n">
        <f aca="false">IF($E156="",0,IFERROR(DITARI!$G160,0))</f>
        <v>0</v>
      </c>
      <c r="K156" s="484" t="str">
        <f aca="false">IF($E156="","",IFERROR(VLOOKUP($E156,PLANI_LLOGARIVE!$A:$I,9,FALSE()),""))</f>
        <v/>
      </c>
      <c r="L156" s="487" t="str">
        <f aca="false">IF($E156="","",$I156-$J156)</f>
        <v/>
      </c>
      <c r="M156" s="484" t="str">
        <f aca="false">IF($E156="","",IF($I156&gt;0,"DEBIT",IF($J156&gt;0,"KREDIT","ZERO")))</f>
        <v/>
      </c>
      <c r="N156" s="484" t="str">
        <f aca="false">IF($E156="","",TEXT($B156,"yyyymmdd")&amp;"-"&amp;TEXT(ROW(),"0000"))</f>
        <v/>
      </c>
      <c r="O156" s="101" t="str">
        <f aca="false">IF($E156="","",$E156&amp;"")</f>
        <v/>
      </c>
      <c r="P156" s="101" t="str">
        <f aca="false">IF(AND($O156&lt;&gt;"",$I156&lt;&gt;0),COUNTIFS($O$2:O156,$O156,$I$2:I156,"&gt;0"),"")</f>
        <v/>
      </c>
      <c r="Q156" s="101" t="str">
        <f aca="false">IF(AND($O156&lt;&gt;"",$J156&lt;&gt;0),COUNTIFS($O$2:O156,$O156,$J$2:J156,"&gt;0"),"")</f>
        <v/>
      </c>
      <c r="R156" s="101" t="str">
        <f aca="false">IF($P156="","",$O156&amp;"|"&amp;$P156)</f>
        <v/>
      </c>
      <c r="S156" s="101" t="str">
        <f aca="false">IF($Q156="","",$O156&amp;"|"&amp;$Q156)</f>
        <v/>
      </c>
      <c r="T156" s="101" t="str">
        <f aca="false">IF($O156="","",COUNTIF($O$2:O156,$O156))</f>
        <v/>
      </c>
      <c r="U156" s="101" t="str">
        <f aca="false">IF($O156="","",$O156&amp;"|"&amp;$T156)</f>
        <v/>
      </c>
      <c r="V156" s="488" t="n">
        <f aca="false">IF(OR(LEFT($D156,5)="MB-CL",LEFT($D156,6)="MB-RES"),0,$I156)</f>
        <v>0</v>
      </c>
      <c r="W156" s="488" t="n">
        <f aca="false">IF(OR(LEFT($D156,5)="MB-CL",LEFT($D156,6)="MB-RES"),0,$J156)</f>
        <v>0</v>
      </c>
      <c r="X156" s="101" t="str">
        <f aca="false">IF($E156="","",LEFT($E156,1))</f>
        <v/>
      </c>
      <c r="Y156" s="101" t="str">
        <f aca="false">IF($E156="","",LEFT($E156,2))</f>
        <v/>
      </c>
      <c r="Z156" s="101" t="str">
        <f aca="false">IF($E156="","",LEFT($E156,3))</f>
        <v/>
      </c>
      <c r="AA156" s="101" t="str">
        <f aca="false">IF($E156="","",LEFT($E156,4))</f>
        <v/>
      </c>
    </row>
    <row r="157" customFormat="false" ht="15" hidden="false" customHeight="true" outlineLevel="0" collapsed="false">
      <c r="A157" s="484" t="str">
        <f aca="false">IF(DITARI!$D161="","",ROW()-1)</f>
        <v/>
      </c>
      <c r="B157" s="485" t="str">
        <f aca="false">IF(DITARI!$D161="","",DITARI!$A161)</f>
        <v/>
      </c>
      <c r="C157" s="484" t="str">
        <f aca="false">IF(DITARI!$D161="","",DITARI!$B161)</f>
        <v/>
      </c>
      <c r="D157" s="484" t="str">
        <f aca="false">IF(DITARI!$D161="","",DITARI!$C161)</f>
        <v/>
      </c>
      <c r="E157" s="484" t="str">
        <f aca="false">IF(DITARI!$D161="","",TRIM(DITARI!$D161&amp;""))</f>
        <v/>
      </c>
      <c r="F157" s="484" t="str">
        <f aca="false">IF($E157="","",IFERROR(VLOOKUP($E157,PLANI_LLOGARIVE!$A:$I,2,FALSE()),DITARI!$E161))</f>
        <v/>
      </c>
      <c r="G157" s="484" t="str">
        <f aca="false">IF($E157="","",DITARI!$I161)</f>
        <v/>
      </c>
      <c r="H157" s="484" t="str">
        <f aca="false">IFERROR(IF($E157="","",DITARI!$H161),"")</f>
        <v/>
      </c>
      <c r="I157" s="487" t="n">
        <f aca="false">IF($E157="",0,IFERROR(DITARI!$F161,0))</f>
        <v>0</v>
      </c>
      <c r="J157" s="487" t="n">
        <f aca="false">IF($E157="",0,IFERROR(DITARI!$G161,0))</f>
        <v>0</v>
      </c>
      <c r="K157" s="484" t="str">
        <f aca="false">IF($E157="","",IFERROR(VLOOKUP($E157,PLANI_LLOGARIVE!$A:$I,9,FALSE()),""))</f>
        <v/>
      </c>
      <c r="L157" s="487" t="str">
        <f aca="false">IF($E157="","",$I157-$J157)</f>
        <v/>
      </c>
      <c r="M157" s="484" t="str">
        <f aca="false">IF($E157="","",IF($I157&gt;0,"DEBIT",IF($J157&gt;0,"KREDIT","ZERO")))</f>
        <v/>
      </c>
      <c r="N157" s="484" t="str">
        <f aca="false">IF($E157="","",TEXT($B157,"yyyymmdd")&amp;"-"&amp;TEXT(ROW(),"0000"))</f>
        <v/>
      </c>
      <c r="O157" s="101" t="str">
        <f aca="false">IF($E157="","",$E157&amp;"")</f>
        <v/>
      </c>
      <c r="P157" s="101" t="str">
        <f aca="false">IF(AND($O157&lt;&gt;"",$I157&lt;&gt;0),COUNTIFS($O$2:O157,$O157,$I$2:I157,"&gt;0"),"")</f>
        <v/>
      </c>
      <c r="Q157" s="101" t="str">
        <f aca="false">IF(AND($O157&lt;&gt;"",$J157&lt;&gt;0),COUNTIFS($O$2:O157,$O157,$J$2:J157,"&gt;0"),"")</f>
        <v/>
      </c>
      <c r="R157" s="101" t="str">
        <f aca="false">IF($P157="","",$O157&amp;"|"&amp;$P157)</f>
        <v/>
      </c>
      <c r="S157" s="101" t="str">
        <f aca="false">IF($Q157="","",$O157&amp;"|"&amp;$Q157)</f>
        <v/>
      </c>
      <c r="T157" s="101" t="str">
        <f aca="false">IF($O157="","",COUNTIF($O$2:O157,$O157))</f>
        <v/>
      </c>
      <c r="U157" s="101" t="str">
        <f aca="false">IF($O157="","",$O157&amp;"|"&amp;$T157)</f>
        <v/>
      </c>
      <c r="V157" s="488" t="n">
        <f aca="false">IF(OR(LEFT($D157,5)="MB-CL",LEFT($D157,6)="MB-RES"),0,$I157)</f>
        <v>0</v>
      </c>
      <c r="W157" s="488" t="n">
        <f aca="false">IF(OR(LEFT($D157,5)="MB-CL",LEFT($D157,6)="MB-RES"),0,$J157)</f>
        <v>0</v>
      </c>
      <c r="X157" s="101" t="str">
        <f aca="false">IF($E157="","",LEFT($E157,1))</f>
        <v/>
      </c>
      <c r="Y157" s="101" t="str">
        <f aca="false">IF($E157="","",LEFT($E157,2))</f>
        <v/>
      </c>
      <c r="Z157" s="101" t="str">
        <f aca="false">IF($E157="","",LEFT($E157,3))</f>
        <v/>
      </c>
      <c r="AA157" s="101" t="str">
        <f aca="false">IF($E157="","",LEFT($E157,4))</f>
        <v/>
      </c>
    </row>
    <row r="158" customFormat="false" ht="15" hidden="false" customHeight="true" outlineLevel="0" collapsed="false">
      <c r="A158" s="484" t="str">
        <f aca="false">IF(DITARI!$D162="","",ROW()-1)</f>
        <v/>
      </c>
      <c r="B158" s="485" t="str">
        <f aca="false">IF(DITARI!$D162="","",DITARI!$A162)</f>
        <v/>
      </c>
      <c r="C158" s="484" t="str">
        <f aca="false">IF(DITARI!$D162="","",DITARI!$B162)</f>
        <v/>
      </c>
      <c r="D158" s="484" t="str">
        <f aca="false">IF(DITARI!$D162="","",DITARI!$C162)</f>
        <v/>
      </c>
      <c r="E158" s="484" t="str">
        <f aca="false">IF(DITARI!$D162="","",TRIM(DITARI!$D162&amp;""))</f>
        <v/>
      </c>
      <c r="F158" s="484" t="str">
        <f aca="false">IF($E158="","",IFERROR(VLOOKUP($E158,PLANI_LLOGARIVE!$A:$I,2,FALSE()),DITARI!$E162))</f>
        <v/>
      </c>
      <c r="G158" s="484" t="str">
        <f aca="false">IF($E158="","",DITARI!$I162)</f>
        <v/>
      </c>
      <c r="H158" s="484" t="str">
        <f aca="false">IFERROR(IF($E158="","",DITARI!$H162),"")</f>
        <v/>
      </c>
      <c r="I158" s="487" t="n">
        <f aca="false">IF($E158="",0,IFERROR(DITARI!$F162,0))</f>
        <v>0</v>
      </c>
      <c r="J158" s="487" t="n">
        <f aca="false">IF($E158="",0,IFERROR(DITARI!$G162,0))</f>
        <v>0</v>
      </c>
      <c r="K158" s="484" t="str">
        <f aca="false">IF($E158="","",IFERROR(VLOOKUP($E158,PLANI_LLOGARIVE!$A:$I,9,FALSE()),""))</f>
        <v/>
      </c>
      <c r="L158" s="487" t="str">
        <f aca="false">IF($E158="","",$I158-$J158)</f>
        <v/>
      </c>
      <c r="M158" s="484" t="str">
        <f aca="false">IF($E158="","",IF($I158&gt;0,"DEBIT",IF($J158&gt;0,"KREDIT","ZERO")))</f>
        <v/>
      </c>
      <c r="N158" s="484" t="str">
        <f aca="false">IF($E158="","",TEXT($B158,"yyyymmdd")&amp;"-"&amp;TEXT(ROW(),"0000"))</f>
        <v/>
      </c>
      <c r="O158" s="101" t="str">
        <f aca="false">IF($E158="","",$E158&amp;"")</f>
        <v/>
      </c>
      <c r="P158" s="101" t="str">
        <f aca="false">IF(AND($O158&lt;&gt;"",$I158&lt;&gt;0),COUNTIFS($O$2:O158,$O158,$I$2:I158,"&gt;0"),"")</f>
        <v/>
      </c>
      <c r="Q158" s="101" t="str">
        <f aca="false">IF(AND($O158&lt;&gt;"",$J158&lt;&gt;0),COUNTIFS($O$2:O158,$O158,$J$2:J158,"&gt;0"),"")</f>
        <v/>
      </c>
      <c r="R158" s="101" t="str">
        <f aca="false">IF($P158="","",$O158&amp;"|"&amp;$P158)</f>
        <v/>
      </c>
      <c r="S158" s="101" t="str">
        <f aca="false">IF($Q158="","",$O158&amp;"|"&amp;$Q158)</f>
        <v/>
      </c>
      <c r="T158" s="101" t="str">
        <f aca="false">IF($O158="","",COUNTIF($O$2:O158,$O158))</f>
        <v/>
      </c>
      <c r="U158" s="101" t="str">
        <f aca="false">IF($O158="","",$O158&amp;"|"&amp;$T158)</f>
        <v/>
      </c>
      <c r="V158" s="488" t="n">
        <f aca="false">IF(OR(LEFT($D158,5)="MB-CL",LEFT($D158,6)="MB-RES"),0,$I158)</f>
        <v>0</v>
      </c>
      <c r="W158" s="488" t="n">
        <f aca="false">IF(OR(LEFT($D158,5)="MB-CL",LEFT($D158,6)="MB-RES"),0,$J158)</f>
        <v>0</v>
      </c>
      <c r="X158" s="101" t="str">
        <f aca="false">IF($E158="","",LEFT($E158,1))</f>
        <v/>
      </c>
      <c r="Y158" s="101" t="str">
        <f aca="false">IF($E158="","",LEFT($E158,2))</f>
        <v/>
      </c>
      <c r="Z158" s="101" t="str">
        <f aca="false">IF($E158="","",LEFT($E158,3))</f>
        <v/>
      </c>
      <c r="AA158" s="101" t="str">
        <f aca="false">IF($E158="","",LEFT($E158,4))</f>
        <v/>
      </c>
    </row>
    <row r="159" customFormat="false" ht="15" hidden="false" customHeight="true" outlineLevel="0" collapsed="false">
      <c r="A159" s="484" t="str">
        <f aca="false">IF(DITARI!$D163="","",ROW()-1)</f>
        <v/>
      </c>
      <c r="B159" s="485" t="str">
        <f aca="false">IF(DITARI!$D163="","",DITARI!$A163)</f>
        <v/>
      </c>
      <c r="C159" s="484" t="str">
        <f aca="false">IF(DITARI!$D163="","",DITARI!$B163)</f>
        <v/>
      </c>
      <c r="D159" s="484" t="str">
        <f aca="false">IF(DITARI!$D163="","",DITARI!$C163)</f>
        <v/>
      </c>
      <c r="E159" s="484" t="str">
        <f aca="false">IF(DITARI!$D163="","",TRIM(DITARI!$D163&amp;""))</f>
        <v/>
      </c>
      <c r="F159" s="484" t="str">
        <f aca="false">IF($E159="","",IFERROR(VLOOKUP($E159,PLANI_LLOGARIVE!$A:$I,2,FALSE()),DITARI!$E163))</f>
        <v/>
      </c>
      <c r="G159" s="484" t="str">
        <f aca="false">IF($E159="","",DITARI!$I163)</f>
        <v/>
      </c>
      <c r="H159" s="484" t="str">
        <f aca="false">IFERROR(IF($E159="","",DITARI!$H163),"")</f>
        <v/>
      </c>
      <c r="I159" s="487" t="n">
        <f aca="false">IF($E159="",0,IFERROR(DITARI!$F163,0))</f>
        <v>0</v>
      </c>
      <c r="J159" s="487" t="n">
        <f aca="false">IF($E159="",0,IFERROR(DITARI!$G163,0))</f>
        <v>0</v>
      </c>
      <c r="K159" s="484" t="str">
        <f aca="false">IF($E159="","",IFERROR(VLOOKUP($E159,PLANI_LLOGARIVE!$A:$I,9,FALSE()),""))</f>
        <v/>
      </c>
      <c r="L159" s="487" t="str">
        <f aca="false">IF($E159="","",$I159-$J159)</f>
        <v/>
      </c>
      <c r="M159" s="484" t="str">
        <f aca="false">IF($E159="","",IF($I159&gt;0,"DEBIT",IF($J159&gt;0,"KREDIT","ZERO")))</f>
        <v/>
      </c>
      <c r="N159" s="484" t="str">
        <f aca="false">IF($E159="","",TEXT($B159,"yyyymmdd")&amp;"-"&amp;TEXT(ROW(),"0000"))</f>
        <v/>
      </c>
      <c r="O159" s="101" t="str">
        <f aca="false">IF($E159="","",$E159&amp;"")</f>
        <v/>
      </c>
      <c r="P159" s="101" t="str">
        <f aca="false">IF(AND($O159&lt;&gt;"",$I159&lt;&gt;0),COUNTIFS($O$2:O159,$O159,$I$2:I159,"&gt;0"),"")</f>
        <v/>
      </c>
      <c r="Q159" s="101" t="str">
        <f aca="false">IF(AND($O159&lt;&gt;"",$J159&lt;&gt;0),COUNTIFS($O$2:O159,$O159,$J$2:J159,"&gt;0"),"")</f>
        <v/>
      </c>
      <c r="R159" s="101" t="str">
        <f aca="false">IF($P159="","",$O159&amp;"|"&amp;$P159)</f>
        <v/>
      </c>
      <c r="S159" s="101" t="str">
        <f aca="false">IF($Q159="","",$O159&amp;"|"&amp;$Q159)</f>
        <v/>
      </c>
      <c r="T159" s="101" t="str">
        <f aca="false">IF($O159="","",COUNTIF($O$2:O159,$O159))</f>
        <v/>
      </c>
      <c r="U159" s="101" t="str">
        <f aca="false">IF($O159="","",$O159&amp;"|"&amp;$T159)</f>
        <v/>
      </c>
      <c r="V159" s="488" t="n">
        <f aca="false">IF(OR(LEFT($D159,5)="MB-CL",LEFT($D159,6)="MB-RES"),0,$I159)</f>
        <v>0</v>
      </c>
      <c r="W159" s="488" t="n">
        <f aca="false">IF(OR(LEFT($D159,5)="MB-CL",LEFT($D159,6)="MB-RES"),0,$J159)</f>
        <v>0</v>
      </c>
      <c r="X159" s="101" t="str">
        <f aca="false">IF($E159="","",LEFT($E159,1))</f>
        <v/>
      </c>
      <c r="Y159" s="101" t="str">
        <f aca="false">IF($E159="","",LEFT($E159,2))</f>
        <v/>
      </c>
      <c r="Z159" s="101" t="str">
        <f aca="false">IF($E159="","",LEFT($E159,3))</f>
        <v/>
      </c>
      <c r="AA159" s="101" t="str">
        <f aca="false">IF($E159="","",LEFT($E159,4))</f>
        <v/>
      </c>
    </row>
    <row r="160" customFormat="false" ht="15" hidden="false" customHeight="true" outlineLevel="0" collapsed="false">
      <c r="A160" s="484" t="str">
        <f aca="false">IF(DITARI!$D164="","",ROW()-1)</f>
        <v/>
      </c>
      <c r="B160" s="485" t="str">
        <f aca="false">IF(DITARI!$D164="","",DITARI!$A164)</f>
        <v/>
      </c>
      <c r="C160" s="484" t="str">
        <f aca="false">IF(DITARI!$D164="","",DITARI!$B164)</f>
        <v/>
      </c>
      <c r="D160" s="484" t="str">
        <f aca="false">IF(DITARI!$D164="","",DITARI!$C164)</f>
        <v/>
      </c>
      <c r="E160" s="484" t="str">
        <f aca="false">IF(DITARI!$D164="","",TRIM(DITARI!$D164&amp;""))</f>
        <v/>
      </c>
      <c r="F160" s="484" t="str">
        <f aca="false">IF($E160="","",IFERROR(VLOOKUP($E160,PLANI_LLOGARIVE!$A:$I,2,FALSE()),DITARI!$E164))</f>
        <v/>
      </c>
      <c r="G160" s="484" t="str">
        <f aca="false">IF($E160="","",DITARI!$I164)</f>
        <v/>
      </c>
      <c r="H160" s="484" t="str">
        <f aca="false">IFERROR(IF($E160="","",DITARI!$H164),"")</f>
        <v/>
      </c>
      <c r="I160" s="487" t="n">
        <f aca="false">IF($E160="",0,IFERROR(DITARI!$F164,0))</f>
        <v>0</v>
      </c>
      <c r="J160" s="487" t="n">
        <f aca="false">IF($E160="",0,IFERROR(DITARI!$G164,0))</f>
        <v>0</v>
      </c>
      <c r="K160" s="484" t="str">
        <f aca="false">IF($E160="","",IFERROR(VLOOKUP($E160,PLANI_LLOGARIVE!$A:$I,9,FALSE()),""))</f>
        <v/>
      </c>
      <c r="L160" s="487" t="str">
        <f aca="false">IF($E160="","",$I160-$J160)</f>
        <v/>
      </c>
      <c r="M160" s="484" t="str">
        <f aca="false">IF($E160="","",IF($I160&gt;0,"DEBIT",IF($J160&gt;0,"KREDIT","ZERO")))</f>
        <v/>
      </c>
      <c r="N160" s="484" t="str">
        <f aca="false">IF($E160="","",TEXT($B160,"yyyymmdd")&amp;"-"&amp;TEXT(ROW(),"0000"))</f>
        <v/>
      </c>
      <c r="O160" s="101" t="str">
        <f aca="false">IF($E160="","",$E160&amp;"")</f>
        <v/>
      </c>
      <c r="P160" s="101" t="str">
        <f aca="false">IF(AND($O160&lt;&gt;"",$I160&lt;&gt;0),COUNTIFS($O$2:O160,$O160,$I$2:I160,"&gt;0"),"")</f>
        <v/>
      </c>
      <c r="Q160" s="101" t="str">
        <f aca="false">IF(AND($O160&lt;&gt;"",$J160&lt;&gt;0),COUNTIFS($O$2:O160,$O160,$J$2:J160,"&gt;0"),"")</f>
        <v/>
      </c>
      <c r="R160" s="101" t="str">
        <f aca="false">IF($P160="","",$O160&amp;"|"&amp;$P160)</f>
        <v/>
      </c>
      <c r="S160" s="101" t="str">
        <f aca="false">IF($Q160="","",$O160&amp;"|"&amp;$Q160)</f>
        <v/>
      </c>
      <c r="T160" s="101" t="str">
        <f aca="false">IF($O160="","",COUNTIF($O$2:O160,$O160))</f>
        <v/>
      </c>
      <c r="U160" s="101" t="str">
        <f aca="false">IF($O160="","",$O160&amp;"|"&amp;$T160)</f>
        <v/>
      </c>
      <c r="V160" s="488" t="n">
        <f aca="false">IF(OR(LEFT($D160,5)="MB-CL",LEFT($D160,6)="MB-RES"),0,$I160)</f>
        <v>0</v>
      </c>
      <c r="W160" s="488" t="n">
        <f aca="false">IF(OR(LEFT($D160,5)="MB-CL",LEFT($D160,6)="MB-RES"),0,$J160)</f>
        <v>0</v>
      </c>
      <c r="X160" s="101" t="str">
        <f aca="false">IF($E160="","",LEFT($E160,1))</f>
        <v/>
      </c>
      <c r="Y160" s="101" t="str">
        <f aca="false">IF($E160="","",LEFT($E160,2))</f>
        <v/>
      </c>
      <c r="Z160" s="101" t="str">
        <f aca="false">IF($E160="","",LEFT($E160,3))</f>
        <v/>
      </c>
      <c r="AA160" s="101" t="str">
        <f aca="false">IF($E160="","",LEFT($E160,4))</f>
        <v/>
      </c>
    </row>
    <row r="161" customFormat="false" ht="15" hidden="false" customHeight="true" outlineLevel="0" collapsed="false">
      <c r="A161" s="484" t="str">
        <f aca="false">IF(DITARI!$D165="","",ROW()-1)</f>
        <v/>
      </c>
      <c r="B161" s="485" t="str">
        <f aca="false">IF(DITARI!$D165="","",DITARI!$A165)</f>
        <v/>
      </c>
      <c r="C161" s="484" t="str">
        <f aca="false">IF(DITARI!$D165="","",DITARI!$B165)</f>
        <v/>
      </c>
      <c r="D161" s="484" t="str">
        <f aca="false">IF(DITARI!$D165="","",DITARI!$C165)</f>
        <v/>
      </c>
      <c r="E161" s="484" t="str">
        <f aca="false">IF(DITARI!$D165="","",TRIM(DITARI!$D165&amp;""))</f>
        <v/>
      </c>
      <c r="F161" s="484" t="str">
        <f aca="false">IF($E161="","",IFERROR(VLOOKUP($E161,PLANI_LLOGARIVE!$A:$I,2,FALSE()),DITARI!$E165))</f>
        <v/>
      </c>
      <c r="G161" s="484" t="str">
        <f aca="false">IF($E161="","",DITARI!$I165)</f>
        <v/>
      </c>
      <c r="H161" s="484" t="str">
        <f aca="false">IFERROR(IF($E161="","",DITARI!$H165),"")</f>
        <v/>
      </c>
      <c r="I161" s="487" t="n">
        <f aca="false">IF($E161="",0,IFERROR(DITARI!$F165,0))</f>
        <v>0</v>
      </c>
      <c r="J161" s="487" t="n">
        <f aca="false">IF($E161="",0,IFERROR(DITARI!$G165,0))</f>
        <v>0</v>
      </c>
      <c r="K161" s="484" t="str">
        <f aca="false">IF($E161="","",IFERROR(VLOOKUP($E161,PLANI_LLOGARIVE!$A:$I,9,FALSE()),""))</f>
        <v/>
      </c>
      <c r="L161" s="487" t="str">
        <f aca="false">IF($E161="","",$I161-$J161)</f>
        <v/>
      </c>
      <c r="M161" s="484" t="str">
        <f aca="false">IF($E161="","",IF($I161&gt;0,"DEBIT",IF($J161&gt;0,"KREDIT","ZERO")))</f>
        <v/>
      </c>
      <c r="N161" s="484" t="str">
        <f aca="false">IF($E161="","",TEXT($B161,"yyyymmdd")&amp;"-"&amp;TEXT(ROW(),"0000"))</f>
        <v/>
      </c>
      <c r="O161" s="101" t="str">
        <f aca="false">IF($E161="","",$E161&amp;"")</f>
        <v/>
      </c>
      <c r="P161" s="101" t="str">
        <f aca="false">IF(AND($O161&lt;&gt;"",$I161&lt;&gt;0),COUNTIFS($O$2:O161,$O161,$I$2:I161,"&gt;0"),"")</f>
        <v/>
      </c>
      <c r="Q161" s="101" t="str">
        <f aca="false">IF(AND($O161&lt;&gt;"",$J161&lt;&gt;0),COUNTIFS($O$2:O161,$O161,$J$2:J161,"&gt;0"),"")</f>
        <v/>
      </c>
      <c r="R161" s="101" t="str">
        <f aca="false">IF($P161="","",$O161&amp;"|"&amp;$P161)</f>
        <v/>
      </c>
      <c r="S161" s="101" t="str">
        <f aca="false">IF($Q161="","",$O161&amp;"|"&amp;$Q161)</f>
        <v/>
      </c>
      <c r="T161" s="101" t="str">
        <f aca="false">IF($O161="","",COUNTIF($O$2:O161,$O161))</f>
        <v/>
      </c>
      <c r="U161" s="101" t="str">
        <f aca="false">IF($O161="","",$O161&amp;"|"&amp;$T161)</f>
        <v/>
      </c>
      <c r="V161" s="488" t="n">
        <f aca="false">IF(OR(LEFT($D161,5)="MB-CL",LEFT($D161,6)="MB-RES"),0,$I161)</f>
        <v>0</v>
      </c>
      <c r="W161" s="488" t="n">
        <f aca="false">IF(OR(LEFT($D161,5)="MB-CL",LEFT($D161,6)="MB-RES"),0,$J161)</f>
        <v>0</v>
      </c>
      <c r="X161" s="101" t="str">
        <f aca="false">IF($E161="","",LEFT($E161,1))</f>
        <v/>
      </c>
      <c r="Y161" s="101" t="str">
        <f aca="false">IF($E161="","",LEFT($E161,2))</f>
        <v/>
      </c>
      <c r="Z161" s="101" t="str">
        <f aca="false">IF($E161="","",LEFT($E161,3))</f>
        <v/>
      </c>
      <c r="AA161" s="101" t="str">
        <f aca="false">IF($E161="","",LEFT($E161,4))</f>
        <v/>
      </c>
    </row>
    <row r="162" customFormat="false" ht="15" hidden="false" customHeight="true" outlineLevel="0" collapsed="false">
      <c r="A162" s="484" t="str">
        <f aca="false">IF(DITARI!$D166="","",ROW()-1)</f>
        <v/>
      </c>
      <c r="B162" s="485" t="str">
        <f aca="false">IF(DITARI!$D166="","",DITARI!$A166)</f>
        <v/>
      </c>
      <c r="C162" s="484" t="str">
        <f aca="false">IF(DITARI!$D166="","",DITARI!$B166)</f>
        <v/>
      </c>
      <c r="D162" s="484" t="str">
        <f aca="false">IF(DITARI!$D166="","",DITARI!$C166)</f>
        <v/>
      </c>
      <c r="E162" s="484" t="str">
        <f aca="false">IF(DITARI!$D166="","",TRIM(DITARI!$D166&amp;""))</f>
        <v/>
      </c>
      <c r="F162" s="484" t="str">
        <f aca="false">IF($E162="","",IFERROR(VLOOKUP($E162,PLANI_LLOGARIVE!$A:$I,2,FALSE()),DITARI!$E166))</f>
        <v/>
      </c>
      <c r="G162" s="484" t="str">
        <f aca="false">IF($E162="","",DITARI!$I166)</f>
        <v/>
      </c>
      <c r="H162" s="484" t="str">
        <f aca="false">IFERROR(IF($E162="","",DITARI!$H166),"")</f>
        <v/>
      </c>
      <c r="I162" s="487" t="n">
        <f aca="false">IF($E162="",0,IFERROR(DITARI!$F166,0))</f>
        <v>0</v>
      </c>
      <c r="J162" s="487" t="n">
        <f aca="false">IF($E162="",0,IFERROR(DITARI!$G166,0))</f>
        <v>0</v>
      </c>
      <c r="K162" s="484" t="str">
        <f aca="false">IF($E162="","",IFERROR(VLOOKUP($E162,PLANI_LLOGARIVE!$A:$I,9,FALSE()),""))</f>
        <v/>
      </c>
      <c r="L162" s="487" t="str">
        <f aca="false">IF($E162="","",$I162-$J162)</f>
        <v/>
      </c>
      <c r="M162" s="484" t="str">
        <f aca="false">IF($E162="","",IF($I162&gt;0,"DEBIT",IF($J162&gt;0,"KREDIT","ZERO")))</f>
        <v/>
      </c>
      <c r="N162" s="484" t="str">
        <f aca="false">IF($E162="","",TEXT($B162,"yyyymmdd")&amp;"-"&amp;TEXT(ROW(),"0000"))</f>
        <v/>
      </c>
      <c r="O162" s="101" t="str">
        <f aca="false">IF($E162="","",$E162&amp;"")</f>
        <v/>
      </c>
      <c r="P162" s="101" t="str">
        <f aca="false">IF(AND($O162&lt;&gt;"",$I162&lt;&gt;0),COUNTIFS($O$2:O162,$O162,$I$2:I162,"&gt;0"),"")</f>
        <v/>
      </c>
      <c r="Q162" s="101" t="str">
        <f aca="false">IF(AND($O162&lt;&gt;"",$J162&lt;&gt;0),COUNTIFS($O$2:O162,$O162,$J$2:J162,"&gt;0"),"")</f>
        <v/>
      </c>
      <c r="R162" s="101" t="str">
        <f aca="false">IF($P162="","",$O162&amp;"|"&amp;$P162)</f>
        <v/>
      </c>
      <c r="S162" s="101" t="str">
        <f aca="false">IF($Q162="","",$O162&amp;"|"&amp;$Q162)</f>
        <v/>
      </c>
      <c r="T162" s="101" t="str">
        <f aca="false">IF($O162="","",COUNTIF($O$2:O162,$O162))</f>
        <v/>
      </c>
      <c r="U162" s="101" t="str">
        <f aca="false">IF($O162="","",$O162&amp;"|"&amp;$T162)</f>
        <v/>
      </c>
      <c r="V162" s="488" t="n">
        <f aca="false">IF(OR(LEFT($D162,5)="MB-CL",LEFT($D162,6)="MB-RES"),0,$I162)</f>
        <v>0</v>
      </c>
      <c r="W162" s="488" t="n">
        <f aca="false">IF(OR(LEFT($D162,5)="MB-CL",LEFT($D162,6)="MB-RES"),0,$J162)</f>
        <v>0</v>
      </c>
      <c r="X162" s="101" t="str">
        <f aca="false">IF($E162="","",LEFT($E162,1))</f>
        <v/>
      </c>
      <c r="Y162" s="101" t="str">
        <f aca="false">IF($E162="","",LEFT($E162,2))</f>
        <v/>
      </c>
      <c r="Z162" s="101" t="str">
        <f aca="false">IF($E162="","",LEFT($E162,3))</f>
        <v/>
      </c>
      <c r="AA162" s="101" t="str">
        <f aca="false">IF($E162="","",LEFT($E162,4))</f>
        <v/>
      </c>
    </row>
    <row r="163" customFormat="false" ht="15" hidden="false" customHeight="true" outlineLevel="0" collapsed="false">
      <c r="A163" s="484" t="str">
        <f aca="false">IF(DITARI!$D167="","",ROW()-1)</f>
        <v/>
      </c>
      <c r="B163" s="485" t="str">
        <f aca="false">IF(DITARI!$D167="","",DITARI!$A167)</f>
        <v/>
      </c>
      <c r="C163" s="484" t="str">
        <f aca="false">IF(DITARI!$D167="","",DITARI!$B167)</f>
        <v/>
      </c>
      <c r="D163" s="484" t="str">
        <f aca="false">IF(DITARI!$D167="","",DITARI!$C167)</f>
        <v/>
      </c>
      <c r="E163" s="484" t="str">
        <f aca="false">IF(DITARI!$D167="","",TRIM(DITARI!$D167&amp;""))</f>
        <v/>
      </c>
      <c r="F163" s="484" t="str">
        <f aca="false">IF($E163="","",IFERROR(VLOOKUP($E163,PLANI_LLOGARIVE!$A:$I,2,FALSE()),DITARI!$E167))</f>
        <v/>
      </c>
      <c r="G163" s="484" t="str">
        <f aca="false">IF($E163="","",DITARI!$I167)</f>
        <v/>
      </c>
      <c r="H163" s="484" t="str">
        <f aca="false">IFERROR(IF($E163="","",DITARI!$H167),"")</f>
        <v/>
      </c>
      <c r="I163" s="487" t="n">
        <f aca="false">IF($E163="",0,IFERROR(DITARI!$F167,0))</f>
        <v>0</v>
      </c>
      <c r="J163" s="487" t="n">
        <f aca="false">IF($E163="",0,IFERROR(DITARI!$G167,0))</f>
        <v>0</v>
      </c>
      <c r="K163" s="484" t="str">
        <f aca="false">IF($E163="","",IFERROR(VLOOKUP($E163,PLANI_LLOGARIVE!$A:$I,9,FALSE()),""))</f>
        <v/>
      </c>
      <c r="L163" s="487" t="str">
        <f aca="false">IF($E163="","",$I163-$J163)</f>
        <v/>
      </c>
      <c r="M163" s="484" t="str">
        <f aca="false">IF($E163="","",IF($I163&gt;0,"DEBIT",IF($J163&gt;0,"KREDIT","ZERO")))</f>
        <v/>
      </c>
      <c r="N163" s="484" t="str">
        <f aca="false">IF($E163="","",TEXT($B163,"yyyymmdd")&amp;"-"&amp;TEXT(ROW(),"0000"))</f>
        <v/>
      </c>
      <c r="O163" s="101" t="str">
        <f aca="false">IF($E163="","",$E163&amp;"")</f>
        <v/>
      </c>
      <c r="P163" s="101" t="str">
        <f aca="false">IF(AND($O163&lt;&gt;"",$I163&lt;&gt;0),COUNTIFS($O$2:O163,$O163,$I$2:I163,"&gt;0"),"")</f>
        <v/>
      </c>
      <c r="Q163" s="101" t="str">
        <f aca="false">IF(AND($O163&lt;&gt;"",$J163&lt;&gt;0),COUNTIFS($O$2:O163,$O163,$J$2:J163,"&gt;0"),"")</f>
        <v/>
      </c>
      <c r="R163" s="101" t="str">
        <f aca="false">IF($P163="","",$O163&amp;"|"&amp;$P163)</f>
        <v/>
      </c>
      <c r="S163" s="101" t="str">
        <f aca="false">IF($Q163="","",$O163&amp;"|"&amp;$Q163)</f>
        <v/>
      </c>
      <c r="T163" s="101" t="str">
        <f aca="false">IF($O163="","",COUNTIF($O$2:O163,$O163))</f>
        <v/>
      </c>
      <c r="U163" s="101" t="str">
        <f aca="false">IF($O163="","",$O163&amp;"|"&amp;$T163)</f>
        <v/>
      </c>
      <c r="V163" s="488" t="n">
        <f aca="false">IF(OR(LEFT($D163,5)="MB-CL",LEFT($D163,6)="MB-RES"),0,$I163)</f>
        <v>0</v>
      </c>
      <c r="W163" s="488" t="n">
        <f aca="false">IF(OR(LEFT($D163,5)="MB-CL",LEFT($D163,6)="MB-RES"),0,$J163)</f>
        <v>0</v>
      </c>
      <c r="X163" s="101" t="str">
        <f aca="false">IF($E163="","",LEFT($E163,1))</f>
        <v/>
      </c>
      <c r="Y163" s="101" t="str">
        <f aca="false">IF($E163="","",LEFT($E163,2))</f>
        <v/>
      </c>
      <c r="Z163" s="101" t="str">
        <f aca="false">IF($E163="","",LEFT($E163,3))</f>
        <v/>
      </c>
      <c r="AA163" s="101" t="str">
        <f aca="false">IF($E163="","",LEFT($E163,4))</f>
        <v/>
      </c>
    </row>
    <row r="164" customFormat="false" ht="15" hidden="false" customHeight="true" outlineLevel="0" collapsed="false">
      <c r="A164" s="484" t="str">
        <f aca="false">IF(DITARI!$D168="","",ROW()-1)</f>
        <v/>
      </c>
      <c r="B164" s="485" t="str">
        <f aca="false">IF(DITARI!$D168="","",DITARI!$A168)</f>
        <v/>
      </c>
      <c r="C164" s="484" t="str">
        <f aca="false">IF(DITARI!$D168="","",DITARI!$B168)</f>
        <v/>
      </c>
      <c r="D164" s="484" t="str">
        <f aca="false">IF(DITARI!$D168="","",DITARI!$C168)</f>
        <v/>
      </c>
      <c r="E164" s="484" t="str">
        <f aca="false">IF(DITARI!$D168="","",TRIM(DITARI!$D168&amp;""))</f>
        <v/>
      </c>
      <c r="F164" s="484" t="str">
        <f aca="false">IF($E164="","",IFERROR(VLOOKUP($E164,PLANI_LLOGARIVE!$A:$I,2,FALSE()),DITARI!$E168))</f>
        <v/>
      </c>
      <c r="G164" s="484" t="str">
        <f aca="false">IF($E164="","",DITARI!$I168)</f>
        <v/>
      </c>
      <c r="H164" s="484" t="str">
        <f aca="false">IFERROR(IF($E164="","",DITARI!$H168),"")</f>
        <v/>
      </c>
      <c r="I164" s="487" t="n">
        <f aca="false">IF($E164="",0,IFERROR(DITARI!$F168,0))</f>
        <v>0</v>
      </c>
      <c r="J164" s="487" t="n">
        <f aca="false">IF($E164="",0,IFERROR(DITARI!$G168,0))</f>
        <v>0</v>
      </c>
      <c r="K164" s="484" t="str">
        <f aca="false">IF($E164="","",IFERROR(VLOOKUP($E164,PLANI_LLOGARIVE!$A:$I,9,FALSE()),""))</f>
        <v/>
      </c>
      <c r="L164" s="487" t="str">
        <f aca="false">IF($E164="","",$I164-$J164)</f>
        <v/>
      </c>
      <c r="M164" s="484" t="str">
        <f aca="false">IF($E164="","",IF($I164&gt;0,"DEBIT",IF($J164&gt;0,"KREDIT","ZERO")))</f>
        <v/>
      </c>
      <c r="N164" s="484" t="str">
        <f aca="false">IF($E164="","",TEXT($B164,"yyyymmdd")&amp;"-"&amp;TEXT(ROW(),"0000"))</f>
        <v/>
      </c>
      <c r="O164" s="101" t="str">
        <f aca="false">IF($E164="","",$E164&amp;"")</f>
        <v/>
      </c>
      <c r="P164" s="101" t="str">
        <f aca="false">IF(AND($O164&lt;&gt;"",$I164&lt;&gt;0),COUNTIFS($O$2:O164,$O164,$I$2:I164,"&gt;0"),"")</f>
        <v/>
      </c>
      <c r="Q164" s="101" t="str">
        <f aca="false">IF(AND($O164&lt;&gt;"",$J164&lt;&gt;0),COUNTIFS($O$2:O164,$O164,$J$2:J164,"&gt;0"),"")</f>
        <v/>
      </c>
      <c r="R164" s="101" t="str">
        <f aca="false">IF($P164="","",$O164&amp;"|"&amp;$P164)</f>
        <v/>
      </c>
      <c r="S164" s="101" t="str">
        <f aca="false">IF($Q164="","",$O164&amp;"|"&amp;$Q164)</f>
        <v/>
      </c>
      <c r="T164" s="101" t="str">
        <f aca="false">IF($O164="","",COUNTIF($O$2:O164,$O164))</f>
        <v/>
      </c>
      <c r="U164" s="101" t="str">
        <f aca="false">IF($O164="","",$O164&amp;"|"&amp;$T164)</f>
        <v/>
      </c>
      <c r="V164" s="488" t="n">
        <f aca="false">IF(OR(LEFT($D164,5)="MB-CL",LEFT($D164,6)="MB-RES"),0,$I164)</f>
        <v>0</v>
      </c>
      <c r="W164" s="488" t="n">
        <f aca="false">IF(OR(LEFT($D164,5)="MB-CL",LEFT($D164,6)="MB-RES"),0,$J164)</f>
        <v>0</v>
      </c>
      <c r="X164" s="101" t="str">
        <f aca="false">IF($E164="","",LEFT($E164,1))</f>
        <v/>
      </c>
      <c r="Y164" s="101" t="str">
        <f aca="false">IF($E164="","",LEFT($E164,2))</f>
        <v/>
      </c>
      <c r="Z164" s="101" t="str">
        <f aca="false">IF($E164="","",LEFT($E164,3))</f>
        <v/>
      </c>
      <c r="AA164" s="101" t="str">
        <f aca="false">IF($E164="","",LEFT($E164,4))</f>
        <v/>
      </c>
    </row>
    <row r="165" customFormat="false" ht="15" hidden="false" customHeight="true" outlineLevel="0" collapsed="false">
      <c r="A165" s="484" t="str">
        <f aca="false">IF(DITARI!$D169="","",ROW()-1)</f>
        <v/>
      </c>
      <c r="B165" s="485" t="str">
        <f aca="false">IF(DITARI!$D169="","",DITARI!$A169)</f>
        <v/>
      </c>
      <c r="C165" s="484" t="str">
        <f aca="false">IF(DITARI!$D169="","",DITARI!$B169)</f>
        <v/>
      </c>
      <c r="D165" s="484" t="str">
        <f aca="false">IF(DITARI!$D169="","",DITARI!$C169)</f>
        <v/>
      </c>
      <c r="E165" s="484" t="str">
        <f aca="false">IF(DITARI!$D169="","",TRIM(DITARI!$D169&amp;""))</f>
        <v/>
      </c>
      <c r="F165" s="484" t="str">
        <f aca="false">IF($E165="","",IFERROR(VLOOKUP($E165,PLANI_LLOGARIVE!$A:$I,2,FALSE()),DITARI!$E169))</f>
        <v/>
      </c>
      <c r="G165" s="484" t="str">
        <f aca="false">IF($E165="","",DITARI!$I169)</f>
        <v/>
      </c>
      <c r="H165" s="484" t="str">
        <f aca="false">IFERROR(IF($E165="","",DITARI!$H169),"")</f>
        <v/>
      </c>
      <c r="I165" s="487" t="n">
        <f aca="false">IF($E165="",0,IFERROR(DITARI!$F169,0))</f>
        <v>0</v>
      </c>
      <c r="J165" s="487" t="n">
        <f aca="false">IF($E165="",0,IFERROR(DITARI!$G169,0))</f>
        <v>0</v>
      </c>
      <c r="K165" s="484" t="str">
        <f aca="false">IF($E165="","",IFERROR(VLOOKUP($E165,PLANI_LLOGARIVE!$A:$I,9,FALSE()),""))</f>
        <v/>
      </c>
      <c r="L165" s="487" t="str">
        <f aca="false">IF($E165="","",$I165-$J165)</f>
        <v/>
      </c>
      <c r="M165" s="484" t="str">
        <f aca="false">IF($E165="","",IF($I165&gt;0,"DEBIT",IF($J165&gt;0,"KREDIT","ZERO")))</f>
        <v/>
      </c>
      <c r="N165" s="484" t="str">
        <f aca="false">IF($E165="","",TEXT($B165,"yyyymmdd")&amp;"-"&amp;TEXT(ROW(),"0000"))</f>
        <v/>
      </c>
      <c r="O165" s="101" t="str">
        <f aca="false">IF($E165="","",$E165&amp;"")</f>
        <v/>
      </c>
      <c r="P165" s="101" t="str">
        <f aca="false">IF(AND($O165&lt;&gt;"",$I165&lt;&gt;0),COUNTIFS($O$2:O165,$O165,$I$2:I165,"&gt;0"),"")</f>
        <v/>
      </c>
      <c r="Q165" s="101" t="str">
        <f aca="false">IF(AND($O165&lt;&gt;"",$J165&lt;&gt;0),COUNTIFS($O$2:O165,$O165,$J$2:J165,"&gt;0"),"")</f>
        <v/>
      </c>
      <c r="R165" s="101" t="str">
        <f aca="false">IF($P165="","",$O165&amp;"|"&amp;$P165)</f>
        <v/>
      </c>
      <c r="S165" s="101" t="str">
        <f aca="false">IF($Q165="","",$O165&amp;"|"&amp;$Q165)</f>
        <v/>
      </c>
      <c r="T165" s="101" t="str">
        <f aca="false">IF($O165="","",COUNTIF($O$2:O165,$O165))</f>
        <v/>
      </c>
      <c r="U165" s="101" t="str">
        <f aca="false">IF($O165="","",$O165&amp;"|"&amp;$T165)</f>
        <v/>
      </c>
      <c r="V165" s="488" t="n">
        <f aca="false">IF(OR(LEFT($D165,5)="MB-CL",LEFT($D165,6)="MB-RES"),0,$I165)</f>
        <v>0</v>
      </c>
      <c r="W165" s="488" t="n">
        <f aca="false">IF(OR(LEFT($D165,5)="MB-CL",LEFT($D165,6)="MB-RES"),0,$J165)</f>
        <v>0</v>
      </c>
      <c r="X165" s="101" t="str">
        <f aca="false">IF($E165="","",LEFT($E165,1))</f>
        <v/>
      </c>
      <c r="Y165" s="101" t="str">
        <f aca="false">IF($E165="","",LEFT($E165,2))</f>
        <v/>
      </c>
      <c r="Z165" s="101" t="str">
        <f aca="false">IF($E165="","",LEFT($E165,3))</f>
        <v/>
      </c>
      <c r="AA165" s="101" t="str">
        <f aca="false">IF($E165="","",LEFT($E165,4))</f>
        <v/>
      </c>
    </row>
    <row r="166" customFormat="false" ht="15" hidden="false" customHeight="true" outlineLevel="0" collapsed="false">
      <c r="A166" s="484" t="str">
        <f aca="false">IF(DITARI!$D170="","",ROW()-1)</f>
        <v/>
      </c>
      <c r="B166" s="485" t="str">
        <f aca="false">IF(DITARI!$D170="","",DITARI!$A170)</f>
        <v/>
      </c>
      <c r="C166" s="484" t="str">
        <f aca="false">IF(DITARI!$D170="","",DITARI!$B170)</f>
        <v/>
      </c>
      <c r="D166" s="484" t="str">
        <f aca="false">IF(DITARI!$D170="","",DITARI!$C170)</f>
        <v/>
      </c>
      <c r="E166" s="484" t="str">
        <f aca="false">IF(DITARI!$D170="","",TRIM(DITARI!$D170&amp;""))</f>
        <v/>
      </c>
      <c r="F166" s="484" t="str">
        <f aca="false">IF($E166="","",IFERROR(VLOOKUP($E166,PLANI_LLOGARIVE!$A:$I,2,FALSE()),DITARI!$E170))</f>
        <v/>
      </c>
      <c r="G166" s="484" t="str">
        <f aca="false">IF($E166="","",DITARI!$I170)</f>
        <v/>
      </c>
      <c r="H166" s="484" t="str">
        <f aca="false">IFERROR(IF($E166="","",DITARI!$H170),"")</f>
        <v/>
      </c>
      <c r="I166" s="487" t="n">
        <f aca="false">IF($E166="",0,IFERROR(DITARI!$F170,0))</f>
        <v>0</v>
      </c>
      <c r="J166" s="487" t="n">
        <f aca="false">IF($E166="",0,IFERROR(DITARI!$G170,0))</f>
        <v>0</v>
      </c>
      <c r="K166" s="484" t="str">
        <f aca="false">IF($E166="","",IFERROR(VLOOKUP($E166,PLANI_LLOGARIVE!$A:$I,9,FALSE()),""))</f>
        <v/>
      </c>
      <c r="L166" s="487" t="str">
        <f aca="false">IF($E166="","",$I166-$J166)</f>
        <v/>
      </c>
      <c r="M166" s="484" t="str">
        <f aca="false">IF($E166="","",IF($I166&gt;0,"DEBIT",IF($J166&gt;0,"KREDIT","ZERO")))</f>
        <v/>
      </c>
      <c r="N166" s="484" t="str">
        <f aca="false">IF($E166="","",TEXT($B166,"yyyymmdd")&amp;"-"&amp;TEXT(ROW(),"0000"))</f>
        <v/>
      </c>
      <c r="O166" s="101" t="str">
        <f aca="false">IF($E166="","",$E166&amp;"")</f>
        <v/>
      </c>
      <c r="P166" s="101" t="str">
        <f aca="false">IF(AND($O166&lt;&gt;"",$I166&lt;&gt;0),COUNTIFS($O$2:O166,$O166,$I$2:I166,"&gt;0"),"")</f>
        <v/>
      </c>
      <c r="Q166" s="101" t="str">
        <f aca="false">IF(AND($O166&lt;&gt;"",$J166&lt;&gt;0),COUNTIFS($O$2:O166,$O166,$J$2:J166,"&gt;0"),"")</f>
        <v/>
      </c>
      <c r="R166" s="101" t="str">
        <f aca="false">IF($P166="","",$O166&amp;"|"&amp;$P166)</f>
        <v/>
      </c>
      <c r="S166" s="101" t="str">
        <f aca="false">IF($Q166="","",$O166&amp;"|"&amp;$Q166)</f>
        <v/>
      </c>
      <c r="T166" s="101" t="str">
        <f aca="false">IF($O166="","",COUNTIF($O$2:O166,$O166))</f>
        <v/>
      </c>
      <c r="U166" s="101" t="str">
        <f aca="false">IF($O166="","",$O166&amp;"|"&amp;$T166)</f>
        <v/>
      </c>
      <c r="V166" s="488" t="n">
        <f aca="false">IF(OR(LEFT($D166,5)="MB-CL",LEFT($D166,6)="MB-RES"),0,$I166)</f>
        <v>0</v>
      </c>
      <c r="W166" s="488" t="n">
        <f aca="false">IF(OR(LEFT($D166,5)="MB-CL",LEFT($D166,6)="MB-RES"),0,$J166)</f>
        <v>0</v>
      </c>
      <c r="X166" s="101" t="str">
        <f aca="false">IF($E166="","",LEFT($E166,1))</f>
        <v/>
      </c>
      <c r="Y166" s="101" t="str">
        <f aca="false">IF($E166="","",LEFT($E166,2))</f>
        <v/>
      </c>
      <c r="Z166" s="101" t="str">
        <f aca="false">IF($E166="","",LEFT($E166,3))</f>
        <v/>
      </c>
      <c r="AA166" s="101" t="str">
        <f aca="false">IF($E166="","",LEFT($E166,4))</f>
        <v/>
      </c>
    </row>
    <row r="167" customFormat="false" ht="15" hidden="false" customHeight="true" outlineLevel="0" collapsed="false">
      <c r="A167" s="484" t="str">
        <f aca="false">IF(DITARI!$D171="","",ROW()-1)</f>
        <v/>
      </c>
      <c r="B167" s="485" t="str">
        <f aca="false">IF(DITARI!$D171="","",DITARI!$A171)</f>
        <v/>
      </c>
      <c r="C167" s="484" t="str">
        <f aca="false">IF(DITARI!$D171="","",DITARI!$B171)</f>
        <v/>
      </c>
      <c r="D167" s="484" t="str">
        <f aca="false">IF(DITARI!$D171="","",DITARI!$C171)</f>
        <v/>
      </c>
      <c r="E167" s="484" t="str">
        <f aca="false">IF(DITARI!$D171="","",TRIM(DITARI!$D171&amp;""))</f>
        <v/>
      </c>
      <c r="F167" s="484" t="str">
        <f aca="false">IF($E167="","",IFERROR(VLOOKUP($E167,PLANI_LLOGARIVE!$A:$I,2,FALSE()),DITARI!$E171))</f>
        <v/>
      </c>
      <c r="G167" s="484" t="str">
        <f aca="false">IF($E167="","",DITARI!$I171)</f>
        <v/>
      </c>
      <c r="H167" s="484" t="str">
        <f aca="false">IFERROR(IF($E167="","",DITARI!$H171),"")</f>
        <v/>
      </c>
      <c r="I167" s="487" t="n">
        <f aca="false">IF($E167="",0,IFERROR(DITARI!$F171,0))</f>
        <v>0</v>
      </c>
      <c r="J167" s="487" t="n">
        <f aca="false">IF($E167="",0,IFERROR(DITARI!$G171,0))</f>
        <v>0</v>
      </c>
      <c r="K167" s="484" t="str">
        <f aca="false">IF($E167="","",IFERROR(VLOOKUP($E167,PLANI_LLOGARIVE!$A:$I,9,FALSE()),""))</f>
        <v/>
      </c>
      <c r="L167" s="487" t="str">
        <f aca="false">IF($E167="","",$I167-$J167)</f>
        <v/>
      </c>
      <c r="M167" s="484" t="str">
        <f aca="false">IF($E167="","",IF($I167&gt;0,"DEBIT",IF($J167&gt;0,"KREDIT","ZERO")))</f>
        <v/>
      </c>
      <c r="N167" s="484" t="str">
        <f aca="false">IF($E167="","",TEXT($B167,"yyyymmdd")&amp;"-"&amp;TEXT(ROW(),"0000"))</f>
        <v/>
      </c>
      <c r="O167" s="101" t="str">
        <f aca="false">IF($E167="","",$E167&amp;"")</f>
        <v/>
      </c>
      <c r="P167" s="101" t="str">
        <f aca="false">IF(AND($O167&lt;&gt;"",$I167&lt;&gt;0),COUNTIFS($O$2:O167,$O167,$I$2:I167,"&gt;0"),"")</f>
        <v/>
      </c>
      <c r="Q167" s="101" t="str">
        <f aca="false">IF(AND($O167&lt;&gt;"",$J167&lt;&gt;0),COUNTIFS($O$2:O167,$O167,$J$2:J167,"&gt;0"),"")</f>
        <v/>
      </c>
      <c r="R167" s="101" t="str">
        <f aca="false">IF($P167="","",$O167&amp;"|"&amp;$P167)</f>
        <v/>
      </c>
      <c r="S167" s="101" t="str">
        <f aca="false">IF($Q167="","",$O167&amp;"|"&amp;$Q167)</f>
        <v/>
      </c>
      <c r="T167" s="101" t="str">
        <f aca="false">IF($O167="","",COUNTIF($O$2:O167,$O167))</f>
        <v/>
      </c>
      <c r="U167" s="101" t="str">
        <f aca="false">IF($O167="","",$O167&amp;"|"&amp;$T167)</f>
        <v/>
      </c>
      <c r="V167" s="488" t="n">
        <f aca="false">IF(OR(LEFT($D167,5)="MB-CL",LEFT($D167,6)="MB-RES"),0,$I167)</f>
        <v>0</v>
      </c>
      <c r="W167" s="488" t="n">
        <f aca="false">IF(OR(LEFT($D167,5)="MB-CL",LEFT($D167,6)="MB-RES"),0,$J167)</f>
        <v>0</v>
      </c>
      <c r="X167" s="101" t="str">
        <f aca="false">IF($E167="","",LEFT($E167,1))</f>
        <v/>
      </c>
      <c r="Y167" s="101" t="str">
        <f aca="false">IF($E167="","",LEFT($E167,2))</f>
        <v/>
      </c>
      <c r="Z167" s="101" t="str">
        <f aca="false">IF($E167="","",LEFT($E167,3))</f>
        <v/>
      </c>
      <c r="AA167" s="101" t="str">
        <f aca="false">IF($E167="","",LEFT($E167,4))</f>
        <v/>
      </c>
    </row>
    <row r="168" customFormat="false" ht="15" hidden="false" customHeight="true" outlineLevel="0" collapsed="false">
      <c r="A168" s="484" t="str">
        <f aca="false">IF(DITARI!$D172="","",ROW()-1)</f>
        <v/>
      </c>
      <c r="B168" s="485" t="str">
        <f aca="false">IF(DITARI!$D172="","",DITARI!$A172)</f>
        <v/>
      </c>
      <c r="C168" s="484" t="str">
        <f aca="false">IF(DITARI!$D172="","",DITARI!$B172)</f>
        <v/>
      </c>
      <c r="D168" s="484" t="str">
        <f aca="false">IF(DITARI!$D172="","",DITARI!$C172)</f>
        <v/>
      </c>
      <c r="E168" s="484" t="str">
        <f aca="false">IF(DITARI!$D172="","",TRIM(DITARI!$D172&amp;""))</f>
        <v/>
      </c>
      <c r="F168" s="484" t="str">
        <f aca="false">IF($E168="","",IFERROR(VLOOKUP($E168,PLANI_LLOGARIVE!$A:$I,2,FALSE()),DITARI!$E172))</f>
        <v/>
      </c>
      <c r="G168" s="484" t="str">
        <f aca="false">IF($E168="","",DITARI!$I172)</f>
        <v/>
      </c>
      <c r="H168" s="484" t="str">
        <f aca="false">IFERROR(IF($E168="","",DITARI!$H172),"")</f>
        <v/>
      </c>
      <c r="I168" s="487" t="n">
        <f aca="false">IF($E168="",0,IFERROR(DITARI!$F172,0))</f>
        <v>0</v>
      </c>
      <c r="J168" s="487" t="n">
        <f aca="false">IF($E168="",0,IFERROR(DITARI!$G172,0))</f>
        <v>0</v>
      </c>
      <c r="K168" s="484" t="str">
        <f aca="false">IF($E168="","",IFERROR(VLOOKUP($E168,PLANI_LLOGARIVE!$A:$I,9,FALSE()),""))</f>
        <v/>
      </c>
      <c r="L168" s="487" t="str">
        <f aca="false">IF($E168="","",$I168-$J168)</f>
        <v/>
      </c>
      <c r="M168" s="484" t="str">
        <f aca="false">IF($E168="","",IF($I168&gt;0,"DEBIT",IF($J168&gt;0,"KREDIT","ZERO")))</f>
        <v/>
      </c>
      <c r="N168" s="484" t="str">
        <f aca="false">IF($E168="","",TEXT($B168,"yyyymmdd")&amp;"-"&amp;TEXT(ROW(),"0000"))</f>
        <v/>
      </c>
      <c r="O168" s="101" t="str">
        <f aca="false">IF($E168="","",$E168&amp;"")</f>
        <v/>
      </c>
      <c r="P168" s="101" t="str">
        <f aca="false">IF(AND($O168&lt;&gt;"",$I168&lt;&gt;0),COUNTIFS($O$2:O168,$O168,$I$2:I168,"&gt;0"),"")</f>
        <v/>
      </c>
      <c r="Q168" s="101" t="str">
        <f aca="false">IF(AND($O168&lt;&gt;"",$J168&lt;&gt;0),COUNTIFS($O$2:O168,$O168,$J$2:J168,"&gt;0"),"")</f>
        <v/>
      </c>
      <c r="R168" s="101" t="str">
        <f aca="false">IF($P168="","",$O168&amp;"|"&amp;$P168)</f>
        <v/>
      </c>
      <c r="S168" s="101" t="str">
        <f aca="false">IF($Q168="","",$O168&amp;"|"&amp;$Q168)</f>
        <v/>
      </c>
      <c r="T168" s="101" t="str">
        <f aca="false">IF($O168="","",COUNTIF($O$2:O168,$O168))</f>
        <v/>
      </c>
      <c r="U168" s="101" t="str">
        <f aca="false">IF($O168="","",$O168&amp;"|"&amp;$T168)</f>
        <v/>
      </c>
      <c r="V168" s="488" t="n">
        <f aca="false">IF(OR(LEFT($D168,5)="MB-CL",LEFT($D168,6)="MB-RES"),0,$I168)</f>
        <v>0</v>
      </c>
      <c r="W168" s="488" t="n">
        <f aca="false">IF(OR(LEFT($D168,5)="MB-CL",LEFT($D168,6)="MB-RES"),0,$J168)</f>
        <v>0</v>
      </c>
      <c r="X168" s="101" t="str">
        <f aca="false">IF($E168="","",LEFT($E168,1))</f>
        <v/>
      </c>
      <c r="Y168" s="101" t="str">
        <f aca="false">IF($E168="","",LEFT($E168,2))</f>
        <v/>
      </c>
      <c r="Z168" s="101" t="str">
        <f aca="false">IF($E168="","",LEFT($E168,3))</f>
        <v/>
      </c>
      <c r="AA168" s="101" t="str">
        <f aca="false">IF($E168="","",LEFT($E168,4))</f>
        <v/>
      </c>
    </row>
    <row r="169" customFormat="false" ht="15" hidden="false" customHeight="true" outlineLevel="0" collapsed="false">
      <c r="A169" s="484" t="str">
        <f aca="false">IF(DITARI!$D173="","",ROW()-1)</f>
        <v/>
      </c>
      <c r="B169" s="485" t="str">
        <f aca="false">IF(DITARI!$D173="","",DITARI!$A173)</f>
        <v/>
      </c>
      <c r="C169" s="484" t="str">
        <f aca="false">IF(DITARI!$D173="","",DITARI!$B173)</f>
        <v/>
      </c>
      <c r="D169" s="484" t="str">
        <f aca="false">IF(DITARI!$D173="","",DITARI!$C173)</f>
        <v/>
      </c>
      <c r="E169" s="484" t="str">
        <f aca="false">IF(DITARI!$D173="","",TRIM(DITARI!$D173&amp;""))</f>
        <v/>
      </c>
      <c r="F169" s="484" t="str">
        <f aca="false">IF($E169="","",IFERROR(VLOOKUP($E169,PLANI_LLOGARIVE!$A:$I,2,FALSE()),DITARI!$E173))</f>
        <v/>
      </c>
      <c r="G169" s="484" t="str">
        <f aca="false">IF($E169="","",DITARI!$I173)</f>
        <v/>
      </c>
      <c r="H169" s="484" t="str">
        <f aca="false">IFERROR(IF($E169="","",DITARI!$H173),"")</f>
        <v/>
      </c>
      <c r="I169" s="487" t="n">
        <f aca="false">IF($E169="",0,IFERROR(DITARI!$F173,0))</f>
        <v>0</v>
      </c>
      <c r="J169" s="487" t="n">
        <f aca="false">IF($E169="",0,IFERROR(DITARI!$G173,0))</f>
        <v>0</v>
      </c>
      <c r="K169" s="484" t="str">
        <f aca="false">IF($E169="","",IFERROR(VLOOKUP($E169,PLANI_LLOGARIVE!$A:$I,9,FALSE()),""))</f>
        <v/>
      </c>
      <c r="L169" s="487" t="str">
        <f aca="false">IF($E169="","",$I169-$J169)</f>
        <v/>
      </c>
      <c r="M169" s="484" t="str">
        <f aca="false">IF($E169="","",IF($I169&gt;0,"DEBIT",IF($J169&gt;0,"KREDIT","ZERO")))</f>
        <v/>
      </c>
      <c r="N169" s="484" t="str">
        <f aca="false">IF($E169="","",TEXT($B169,"yyyymmdd")&amp;"-"&amp;TEXT(ROW(),"0000"))</f>
        <v/>
      </c>
      <c r="O169" s="101" t="str">
        <f aca="false">IF($E169="","",$E169&amp;"")</f>
        <v/>
      </c>
      <c r="P169" s="101" t="str">
        <f aca="false">IF(AND($O169&lt;&gt;"",$I169&lt;&gt;0),COUNTIFS($O$2:O169,$O169,$I$2:I169,"&gt;0"),"")</f>
        <v/>
      </c>
      <c r="Q169" s="101" t="str">
        <f aca="false">IF(AND($O169&lt;&gt;"",$J169&lt;&gt;0),COUNTIFS($O$2:O169,$O169,$J$2:J169,"&gt;0"),"")</f>
        <v/>
      </c>
      <c r="R169" s="101" t="str">
        <f aca="false">IF($P169="","",$O169&amp;"|"&amp;$P169)</f>
        <v/>
      </c>
      <c r="S169" s="101" t="str">
        <f aca="false">IF($Q169="","",$O169&amp;"|"&amp;$Q169)</f>
        <v/>
      </c>
      <c r="T169" s="101" t="str">
        <f aca="false">IF($O169="","",COUNTIF($O$2:O169,$O169))</f>
        <v/>
      </c>
      <c r="U169" s="101" t="str">
        <f aca="false">IF($O169="","",$O169&amp;"|"&amp;$T169)</f>
        <v/>
      </c>
      <c r="V169" s="488" t="n">
        <f aca="false">IF(OR(LEFT($D169,5)="MB-CL",LEFT($D169,6)="MB-RES"),0,$I169)</f>
        <v>0</v>
      </c>
      <c r="W169" s="488" t="n">
        <f aca="false">IF(OR(LEFT($D169,5)="MB-CL",LEFT($D169,6)="MB-RES"),0,$J169)</f>
        <v>0</v>
      </c>
      <c r="X169" s="101" t="str">
        <f aca="false">IF($E169="","",LEFT($E169,1))</f>
        <v/>
      </c>
      <c r="Y169" s="101" t="str">
        <f aca="false">IF($E169="","",LEFT($E169,2))</f>
        <v/>
      </c>
      <c r="Z169" s="101" t="str">
        <f aca="false">IF($E169="","",LEFT($E169,3))</f>
        <v/>
      </c>
      <c r="AA169" s="101" t="str">
        <f aca="false">IF($E169="","",LEFT($E169,4))</f>
        <v/>
      </c>
    </row>
    <row r="170" customFormat="false" ht="15" hidden="false" customHeight="true" outlineLevel="0" collapsed="false">
      <c r="A170" s="484" t="str">
        <f aca="false">IF(DITARI!$D174="","",ROW()-1)</f>
        <v/>
      </c>
      <c r="B170" s="485" t="str">
        <f aca="false">IF(DITARI!$D174="","",DITARI!$A174)</f>
        <v/>
      </c>
      <c r="C170" s="484" t="str">
        <f aca="false">IF(DITARI!$D174="","",DITARI!$B174)</f>
        <v/>
      </c>
      <c r="D170" s="484" t="str">
        <f aca="false">IF(DITARI!$D174="","",DITARI!$C174)</f>
        <v/>
      </c>
      <c r="E170" s="484" t="str">
        <f aca="false">IF(DITARI!$D174="","",TRIM(DITARI!$D174&amp;""))</f>
        <v/>
      </c>
      <c r="F170" s="484" t="str">
        <f aca="false">IF($E170="","",IFERROR(VLOOKUP($E170,PLANI_LLOGARIVE!$A:$I,2,FALSE()),DITARI!$E174))</f>
        <v/>
      </c>
      <c r="G170" s="484" t="str">
        <f aca="false">IF($E170="","",DITARI!$I174)</f>
        <v/>
      </c>
      <c r="H170" s="484" t="str">
        <f aca="false">IFERROR(IF($E170="","",DITARI!$H174),"")</f>
        <v/>
      </c>
      <c r="I170" s="487" t="n">
        <f aca="false">IF($E170="",0,IFERROR(DITARI!$F174,0))</f>
        <v>0</v>
      </c>
      <c r="J170" s="487" t="n">
        <f aca="false">IF($E170="",0,IFERROR(DITARI!$G174,0))</f>
        <v>0</v>
      </c>
      <c r="K170" s="484" t="str">
        <f aca="false">IF($E170="","",IFERROR(VLOOKUP($E170,PLANI_LLOGARIVE!$A:$I,9,FALSE()),""))</f>
        <v/>
      </c>
      <c r="L170" s="487" t="str">
        <f aca="false">IF($E170="","",$I170-$J170)</f>
        <v/>
      </c>
      <c r="M170" s="484" t="str">
        <f aca="false">IF($E170="","",IF($I170&gt;0,"DEBIT",IF($J170&gt;0,"KREDIT","ZERO")))</f>
        <v/>
      </c>
      <c r="N170" s="484" t="str">
        <f aca="false">IF($E170="","",TEXT($B170,"yyyymmdd")&amp;"-"&amp;TEXT(ROW(),"0000"))</f>
        <v/>
      </c>
      <c r="O170" s="101" t="str">
        <f aca="false">IF($E170="","",$E170&amp;"")</f>
        <v/>
      </c>
      <c r="P170" s="101" t="str">
        <f aca="false">IF(AND($O170&lt;&gt;"",$I170&lt;&gt;0),COUNTIFS($O$2:O170,$O170,$I$2:I170,"&gt;0"),"")</f>
        <v/>
      </c>
      <c r="Q170" s="101" t="str">
        <f aca="false">IF(AND($O170&lt;&gt;"",$J170&lt;&gt;0),COUNTIFS($O$2:O170,$O170,$J$2:J170,"&gt;0"),"")</f>
        <v/>
      </c>
      <c r="R170" s="101" t="str">
        <f aca="false">IF($P170="","",$O170&amp;"|"&amp;$P170)</f>
        <v/>
      </c>
      <c r="S170" s="101" t="str">
        <f aca="false">IF($Q170="","",$O170&amp;"|"&amp;$Q170)</f>
        <v/>
      </c>
      <c r="T170" s="101" t="str">
        <f aca="false">IF($O170="","",COUNTIF($O$2:O170,$O170))</f>
        <v/>
      </c>
      <c r="U170" s="101" t="str">
        <f aca="false">IF($O170="","",$O170&amp;"|"&amp;$T170)</f>
        <v/>
      </c>
      <c r="V170" s="488" t="n">
        <f aca="false">IF(OR(LEFT($D170,5)="MB-CL",LEFT($D170,6)="MB-RES"),0,$I170)</f>
        <v>0</v>
      </c>
      <c r="W170" s="488" t="n">
        <f aca="false">IF(OR(LEFT($D170,5)="MB-CL",LEFT($D170,6)="MB-RES"),0,$J170)</f>
        <v>0</v>
      </c>
      <c r="X170" s="101" t="str">
        <f aca="false">IF($E170="","",LEFT($E170,1))</f>
        <v/>
      </c>
      <c r="Y170" s="101" t="str">
        <f aca="false">IF($E170="","",LEFT($E170,2))</f>
        <v/>
      </c>
      <c r="Z170" s="101" t="str">
        <f aca="false">IF($E170="","",LEFT($E170,3))</f>
        <v/>
      </c>
      <c r="AA170" s="101" t="str">
        <f aca="false">IF($E170="","",LEFT($E170,4))</f>
        <v/>
      </c>
    </row>
    <row r="171" customFormat="false" ht="15" hidden="false" customHeight="true" outlineLevel="0" collapsed="false">
      <c r="A171" s="484" t="str">
        <f aca="false">IF(DITARI!$D175="","",ROW()-1)</f>
        <v/>
      </c>
      <c r="B171" s="485" t="str">
        <f aca="false">IF(DITARI!$D175="","",DITARI!$A175)</f>
        <v/>
      </c>
      <c r="C171" s="484" t="str">
        <f aca="false">IF(DITARI!$D175="","",DITARI!$B175)</f>
        <v/>
      </c>
      <c r="D171" s="484" t="str">
        <f aca="false">IF(DITARI!$D175="","",DITARI!$C175)</f>
        <v/>
      </c>
      <c r="E171" s="484" t="str">
        <f aca="false">IF(DITARI!$D175="","",TRIM(DITARI!$D175&amp;""))</f>
        <v/>
      </c>
      <c r="F171" s="484" t="str">
        <f aca="false">IF($E171="","",IFERROR(VLOOKUP($E171,PLANI_LLOGARIVE!$A:$I,2,FALSE()),DITARI!$E175))</f>
        <v/>
      </c>
      <c r="G171" s="484" t="str">
        <f aca="false">IF($E171="","",DITARI!$I175)</f>
        <v/>
      </c>
      <c r="H171" s="484" t="str">
        <f aca="false">IFERROR(IF($E171="","",DITARI!$H175),"")</f>
        <v/>
      </c>
      <c r="I171" s="487" t="n">
        <f aca="false">IF($E171="",0,IFERROR(DITARI!$F175,0))</f>
        <v>0</v>
      </c>
      <c r="J171" s="487" t="n">
        <f aca="false">IF($E171="",0,IFERROR(DITARI!$G175,0))</f>
        <v>0</v>
      </c>
      <c r="K171" s="484" t="str">
        <f aca="false">IF($E171="","",IFERROR(VLOOKUP($E171,PLANI_LLOGARIVE!$A:$I,9,FALSE()),""))</f>
        <v/>
      </c>
      <c r="L171" s="487" t="str">
        <f aca="false">IF($E171="","",$I171-$J171)</f>
        <v/>
      </c>
      <c r="M171" s="484" t="str">
        <f aca="false">IF($E171="","",IF($I171&gt;0,"DEBIT",IF($J171&gt;0,"KREDIT","ZERO")))</f>
        <v/>
      </c>
      <c r="N171" s="484" t="str">
        <f aca="false">IF($E171="","",TEXT($B171,"yyyymmdd")&amp;"-"&amp;TEXT(ROW(),"0000"))</f>
        <v/>
      </c>
      <c r="O171" s="101" t="str">
        <f aca="false">IF($E171="","",$E171&amp;"")</f>
        <v/>
      </c>
      <c r="P171" s="101" t="str">
        <f aca="false">IF(AND($O171&lt;&gt;"",$I171&lt;&gt;0),COUNTIFS($O$2:O171,$O171,$I$2:I171,"&gt;0"),"")</f>
        <v/>
      </c>
      <c r="Q171" s="101" t="str">
        <f aca="false">IF(AND($O171&lt;&gt;"",$J171&lt;&gt;0),COUNTIFS($O$2:O171,$O171,$J$2:J171,"&gt;0"),"")</f>
        <v/>
      </c>
      <c r="R171" s="101" t="str">
        <f aca="false">IF($P171="","",$O171&amp;"|"&amp;$P171)</f>
        <v/>
      </c>
      <c r="S171" s="101" t="str">
        <f aca="false">IF($Q171="","",$O171&amp;"|"&amp;$Q171)</f>
        <v/>
      </c>
      <c r="T171" s="101" t="str">
        <f aca="false">IF($O171="","",COUNTIF($O$2:O171,$O171))</f>
        <v/>
      </c>
      <c r="U171" s="101" t="str">
        <f aca="false">IF($O171="","",$O171&amp;"|"&amp;$T171)</f>
        <v/>
      </c>
      <c r="V171" s="488" t="n">
        <f aca="false">IF(OR(LEFT($D171,5)="MB-CL",LEFT($D171,6)="MB-RES"),0,$I171)</f>
        <v>0</v>
      </c>
      <c r="W171" s="488" t="n">
        <f aca="false">IF(OR(LEFT($D171,5)="MB-CL",LEFT($D171,6)="MB-RES"),0,$J171)</f>
        <v>0</v>
      </c>
      <c r="X171" s="101" t="str">
        <f aca="false">IF($E171="","",LEFT($E171,1))</f>
        <v/>
      </c>
      <c r="Y171" s="101" t="str">
        <f aca="false">IF($E171="","",LEFT($E171,2))</f>
        <v/>
      </c>
      <c r="Z171" s="101" t="str">
        <f aca="false">IF($E171="","",LEFT($E171,3))</f>
        <v/>
      </c>
      <c r="AA171" s="101" t="str">
        <f aca="false">IF($E171="","",LEFT($E171,4))</f>
        <v/>
      </c>
    </row>
    <row r="172" customFormat="false" ht="15" hidden="false" customHeight="true" outlineLevel="0" collapsed="false">
      <c r="A172" s="484" t="str">
        <f aca="false">IF(DITARI!$D176="","",ROW()-1)</f>
        <v/>
      </c>
      <c r="B172" s="485" t="str">
        <f aca="false">IF(DITARI!$D176="","",DITARI!$A176)</f>
        <v/>
      </c>
      <c r="C172" s="484" t="str">
        <f aca="false">IF(DITARI!$D176="","",DITARI!$B176)</f>
        <v/>
      </c>
      <c r="D172" s="484" t="str">
        <f aca="false">IF(DITARI!$D176="","",DITARI!$C176)</f>
        <v/>
      </c>
      <c r="E172" s="484" t="str">
        <f aca="false">IF(DITARI!$D176="","",TRIM(DITARI!$D176&amp;""))</f>
        <v/>
      </c>
      <c r="F172" s="484" t="str">
        <f aca="false">IF($E172="","",IFERROR(VLOOKUP($E172,PLANI_LLOGARIVE!$A:$I,2,FALSE()),DITARI!$E176))</f>
        <v/>
      </c>
      <c r="G172" s="484" t="str">
        <f aca="false">IF($E172="","",DITARI!$I176)</f>
        <v/>
      </c>
      <c r="H172" s="484" t="str">
        <f aca="false">IFERROR(IF($E172="","",DITARI!$H176),"")</f>
        <v/>
      </c>
      <c r="I172" s="487" t="n">
        <f aca="false">IF($E172="",0,IFERROR(DITARI!$F176,0))</f>
        <v>0</v>
      </c>
      <c r="J172" s="487" t="n">
        <f aca="false">IF($E172="",0,IFERROR(DITARI!$G176,0))</f>
        <v>0</v>
      </c>
      <c r="K172" s="484" t="str">
        <f aca="false">IF($E172="","",IFERROR(VLOOKUP($E172,PLANI_LLOGARIVE!$A:$I,9,FALSE()),""))</f>
        <v/>
      </c>
      <c r="L172" s="487" t="str">
        <f aca="false">IF($E172="","",$I172-$J172)</f>
        <v/>
      </c>
      <c r="M172" s="484" t="str">
        <f aca="false">IF($E172="","",IF($I172&gt;0,"DEBIT",IF($J172&gt;0,"KREDIT","ZERO")))</f>
        <v/>
      </c>
      <c r="N172" s="484" t="str">
        <f aca="false">IF($E172="","",TEXT($B172,"yyyymmdd")&amp;"-"&amp;TEXT(ROW(),"0000"))</f>
        <v/>
      </c>
      <c r="O172" s="101" t="str">
        <f aca="false">IF($E172="","",$E172&amp;"")</f>
        <v/>
      </c>
      <c r="P172" s="101" t="str">
        <f aca="false">IF(AND($O172&lt;&gt;"",$I172&lt;&gt;0),COUNTIFS($O$2:O172,$O172,$I$2:I172,"&gt;0"),"")</f>
        <v/>
      </c>
      <c r="Q172" s="101" t="str">
        <f aca="false">IF(AND($O172&lt;&gt;"",$J172&lt;&gt;0),COUNTIFS($O$2:O172,$O172,$J$2:J172,"&gt;0"),"")</f>
        <v/>
      </c>
      <c r="R172" s="101" t="str">
        <f aca="false">IF($P172="","",$O172&amp;"|"&amp;$P172)</f>
        <v/>
      </c>
      <c r="S172" s="101" t="str">
        <f aca="false">IF($Q172="","",$O172&amp;"|"&amp;$Q172)</f>
        <v/>
      </c>
      <c r="T172" s="101" t="str">
        <f aca="false">IF($O172="","",COUNTIF($O$2:O172,$O172))</f>
        <v/>
      </c>
      <c r="U172" s="101" t="str">
        <f aca="false">IF($O172="","",$O172&amp;"|"&amp;$T172)</f>
        <v/>
      </c>
      <c r="V172" s="488" t="n">
        <f aca="false">IF(OR(LEFT($D172,5)="MB-CL",LEFT($D172,6)="MB-RES"),0,$I172)</f>
        <v>0</v>
      </c>
      <c r="W172" s="488" t="n">
        <f aca="false">IF(OR(LEFT($D172,5)="MB-CL",LEFT($D172,6)="MB-RES"),0,$J172)</f>
        <v>0</v>
      </c>
      <c r="X172" s="101" t="str">
        <f aca="false">IF($E172="","",LEFT($E172,1))</f>
        <v/>
      </c>
      <c r="Y172" s="101" t="str">
        <f aca="false">IF($E172="","",LEFT($E172,2))</f>
        <v/>
      </c>
      <c r="Z172" s="101" t="str">
        <f aca="false">IF($E172="","",LEFT($E172,3))</f>
        <v/>
      </c>
      <c r="AA172" s="101" t="str">
        <f aca="false">IF($E172="","",LEFT($E172,4))</f>
        <v/>
      </c>
    </row>
    <row r="173" customFormat="false" ht="15" hidden="false" customHeight="true" outlineLevel="0" collapsed="false">
      <c r="A173" s="484" t="str">
        <f aca="false">IF(DITARI!$D177="","",ROW()-1)</f>
        <v/>
      </c>
      <c r="B173" s="485" t="str">
        <f aca="false">IF(DITARI!$D177="","",DITARI!$A177)</f>
        <v/>
      </c>
      <c r="C173" s="484" t="str">
        <f aca="false">IF(DITARI!$D177="","",DITARI!$B177)</f>
        <v/>
      </c>
      <c r="D173" s="484" t="str">
        <f aca="false">IF(DITARI!$D177="","",DITARI!$C177)</f>
        <v/>
      </c>
      <c r="E173" s="484" t="str">
        <f aca="false">IF(DITARI!$D177="","",TRIM(DITARI!$D177&amp;""))</f>
        <v/>
      </c>
      <c r="F173" s="484" t="str">
        <f aca="false">IF($E173="","",IFERROR(VLOOKUP($E173,PLANI_LLOGARIVE!$A:$I,2,FALSE()),DITARI!$E177))</f>
        <v/>
      </c>
      <c r="G173" s="484" t="str">
        <f aca="false">IF($E173="","",DITARI!$I177)</f>
        <v/>
      </c>
      <c r="H173" s="484" t="str">
        <f aca="false">IFERROR(IF($E173="","",DITARI!$H177),"")</f>
        <v/>
      </c>
      <c r="I173" s="487" t="n">
        <f aca="false">IF($E173="",0,IFERROR(DITARI!$F177,0))</f>
        <v>0</v>
      </c>
      <c r="J173" s="487" t="n">
        <f aca="false">IF($E173="",0,IFERROR(DITARI!$G177,0))</f>
        <v>0</v>
      </c>
      <c r="K173" s="484" t="str">
        <f aca="false">IF($E173="","",IFERROR(VLOOKUP($E173,PLANI_LLOGARIVE!$A:$I,9,FALSE()),""))</f>
        <v/>
      </c>
      <c r="L173" s="487" t="str">
        <f aca="false">IF($E173="","",$I173-$J173)</f>
        <v/>
      </c>
      <c r="M173" s="484" t="str">
        <f aca="false">IF($E173="","",IF($I173&gt;0,"DEBIT",IF($J173&gt;0,"KREDIT","ZERO")))</f>
        <v/>
      </c>
      <c r="N173" s="484" t="str">
        <f aca="false">IF($E173="","",TEXT($B173,"yyyymmdd")&amp;"-"&amp;TEXT(ROW(),"0000"))</f>
        <v/>
      </c>
      <c r="O173" s="101" t="str">
        <f aca="false">IF($E173="","",$E173&amp;"")</f>
        <v/>
      </c>
      <c r="P173" s="101" t="str">
        <f aca="false">IF(AND($O173&lt;&gt;"",$I173&lt;&gt;0),COUNTIFS($O$2:O173,$O173,$I$2:I173,"&gt;0"),"")</f>
        <v/>
      </c>
      <c r="Q173" s="101" t="str">
        <f aca="false">IF(AND($O173&lt;&gt;"",$J173&lt;&gt;0),COUNTIFS($O$2:O173,$O173,$J$2:J173,"&gt;0"),"")</f>
        <v/>
      </c>
      <c r="R173" s="101" t="str">
        <f aca="false">IF($P173="","",$O173&amp;"|"&amp;$P173)</f>
        <v/>
      </c>
      <c r="S173" s="101" t="str">
        <f aca="false">IF($Q173="","",$O173&amp;"|"&amp;$Q173)</f>
        <v/>
      </c>
      <c r="T173" s="101" t="str">
        <f aca="false">IF($O173="","",COUNTIF($O$2:O173,$O173))</f>
        <v/>
      </c>
      <c r="U173" s="101" t="str">
        <f aca="false">IF($O173="","",$O173&amp;"|"&amp;$T173)</f>
        <v/>
      </c>
      <c r="V173" s="488" t="n">
        <f aca="false">IF(OR(LEFT($D173,5)="MB-CL",LEFT($D173,6)="MB-RES"),0,$I173)</f>
        <v>0</v>
      </c>
      <c r="W173" s="488" t="n">
        <f aca="false">IF(OR(LEFT($D173,5)="MB-CL",LEFT($D173,6)="MB-RES"),0,$J173)</f>
        <v>0</v>
      </c>
      <c r="X173" s="101" t="str">
        <f aca="false">IF($E173="","",LEFT($E173,1))</f>
        <v/>
      </c>
      <c r="Y173" s="101" t="str">
        <f aca="false">IF($E173="","",LEFT($E173,2))</f>
        <v/>
      </c>
      <c r="Z173" s="101" t="str">
        <f aca="false">IF($E173="","",LEFT($E173,3))</f>
        <v/>
      </c>
      <c r="AA173" s="101" t="str">
        <f aca="false">IF($E173="","",LEFT($E173,4))</f>
        <v/>
      </c>
    </row>
    <row r="174" customFormat="false" ht="15" hidden="false" customHeight="true" outlineLevel="0" collapsed="false">
      <c r="A174" s="484" t="str">
        <f aca="false">IF(DITARI!$D178="","",ROW()-1)</f>
        <v/>
      </c>
      <c r="B174" s="485" t="str">
        <f aca="false">IF(DITARI!$D178="","",DITARI!$A178)</f>
        <v/>
      </c>
      <c r="C174" s="484" t="str">
        <f aca="false">IF(DITARI!$D178="","",DITARI!$B178)</f>
        <v/>
      </c>
      <c r="D174" s="484" t="str">
        <f aca="false">IF(DITARI!$D178="","",DITARI!$C178)</f>
        <v/>
      </c>
      <c r="E174" s="484" t="str">
        <f aca="false">IF(DITARI!$D178="","",TRIM(DITARI!$D178&amp;""))</f>
        <v/>
      </c>
      <c r="F174" s="484" t="str">
        <f aca="false">IF($E174="","",IFERROR(VLOOKUP($E174,PLANI_LLOGARIVE!$A:$I,2,FALSE()),DITARI!$E178))</f>
        <v/>
      </c>
      <c r="G174" s="484" t="str">
        <f aca="false">IF($E174="","",DITARI!$I178)</f>
        <v/>
      </c>
      <c r="H174" s="484" t="str">
        <f aca="false">IFERROR(IF($E174="","",DITARI!$H178),"")</f>
        <v/>
      </c>
      <c r="I174" s="487" t="n">
        <f aca="false">IF($E174="",0,IFERROR(DITARI!$F178,0))</f>
        <v>0</v>
      </c>
      <c r="J174" s="487" t="n">
        <f aca="false">IF($E174="",0,IFERROR(DITARI!$G178,0))</f>
        <v>0</v>
      </c>
      <c r="K174" s="484" t="str">
        <f aca="false">IF($E174="","",IFERROR(VLOOKUP($E174,PLANI_LLOGARIVE!$A:$I,9,FALSE()),""))</f>
        <v/>
      </c>
      <c r="L174" s="487" t="str">
        <f aca="false">IF($E174="","",$I174-$J174)</f>
        <v/>
      </c>
      <c r="M174" s="484" t="str">
        <f aca="false">IF($E174="","",IF($I174&gt;0,"DEBIT",IF($J174&gt;0,"KREDIT","ZERO")))</f>
        <v/>
      </c>
      <c r="N174" s="484" t="str">
        <f aca="false">IF($E174="","",TEXT($B174,"yyyymmdd")&amp;"-"&amp;TEXT(ROW(),"0000"))</f>
        <v/>
      </c>
      <c r="O174" s="101" t="str">
        <f aca="false">IF($E174="","",$E174&amp;"")</f>
        <v/>
      </c>
      <c r="P174" s="101" t="str">
        <f aca="false">IF(AND($O174&lt;&gt;"",$I174&lt;&gt;0),COUNTIFS($O$2:O174,$O174,$I$2:I174,"&gt;0"),"")</f>
        <v/>
      </c>
      <c r="Q174" s="101" t="str">
        <f aca="false">IF(AND($O174&lt;&gt;"",$J174&lt;&gt;0),COUNTIFS($O$2:O174,$O174,$J$2:J174,"&gt;0"),"")</f>
        <v/>
      </c>
      <c r="R174" s="101" t="str">
        <f aca="false">IF($P174="","",$O174&amp;"|"&amp;$P174)</f>
        <v/>
      </c>
      <c r="S174" s="101" t="str">
        <f aca="false">IF($Q174="","",$O174&amp;"|"&amp;$Q174)</f>
        <v/>
      </c>
      <c r="T174" s="101" t="str">
        <f aca="false">IF($O174="","",COUNTIF($O$2:O174,$O174))</f>
        <v/>
      </c>
      <c r="U174" s="101" t="str">
        <f aca="false">IF($O174="","",$O174&amp;"|"&amp;$T174)</f>
        <v/>
      </c>
      <c r="V174" s="488" t="n">
        <f aca="false">IF(OR(LEFT($D174,5)="MB-CL",LEFT($D174,6)="MB-RES"),0,$I174)</f>
        <v>0</v>
      </c>
      <c r="W174" s="488" t="n">
        <f aca="false">IF(OR(LEFT($D174,5)="MB-CL",LEFT($D174,6)="MB-RES"),0,$J174)</f>
        <v>0</v>
      </c>
      <c r="X174" s="101" t="str">
        <f aca="false">IF($E174="","",LEFT($E174,1))</f>
        <v/>
      </c>
      <c r="Y174" s="101" t="str">
        <f aca="false">IF($E174="","",LEFT($E174,2))</f>
        <v/>
      </c>
      <c r="Z174" s="101" t="str">
        <f aca="false">IF($E174="","",LEFT($E174,3))</f>
        <v/>
      </c>
      <c r="AA174" s="101" t="str">
        <f aca="false">IF($E174="","",LEFT($E174,4))</f>
        <v/>
      </c>
    </row>
    <row r="175" customFormat="false" ht="15" hidden="false" customHeight="true" outlineLevel="0" collapsed="false">
      <c r="A175" s="484" t="str">
        <f aca="false">IF(DITARI!$D179="","",ROW()-1)</f>
        <v/>
      </c>
      <c r="B175" s="485" t="str">
        <f aca="false">IF(DITARI!$D179="","",DITARI!$A179)</f>
        <v/>
      </c>
      <c r="C175" s="484" t="str">
        <f aca="false">IF(DITARI!$D179="","",DITARI!$B179)</f>
        <v/>
      </c>
      <c r="D175" s="484" t="str">
        <f aca="false">IF(DITARI!$D179="","",DITARI!$C179)</f>
        <v/>
      </c>
      <c r="E175" s="484" t="str">
        <f aca="false">IF(DITARI!$D179="","",TRIM(DITARI!$D179&amp;""))</f>
        <v/>
      </c>
      <c r="F175" s="484" t="str">
        <f aca="false">IF($E175="","",IFERROR(VLOOKUP($E175,PLANI_LLOGARIVE!$A:$I,2,FALSE()),DITARI!$E179))</f>
        <v/>
      </c>
      <c r="G175" s="484" t="str">
        <f aca="false">IF($E175="","",DITARI!$I179)</f>
        <v/>
      </c>
      <c r="H175" s="484" t="str">
        <f aca="false">IFERROR(IF($E175="","",DITARI!$H179),"")</f>
        <v/>
      </c>
      <c r="I175" s="487" t="n">
        <f aca="false">IF($E175="",0,IFERROR(DITARI!$F179,0))</f>
        <v>0</v>
      </c>
      <c r="J175" s="487" t="n">
        <f aca="false">IF($E175="",0,IFERROR(DITARI!$G179,0))</f>
        <v>0</v>
      </c>
      <c r="K175" s="484" t="str">
        <f aca="false">IF($E175="","",IFERROR(VLOOKUP($E175,PLANI_LLOGARIVE!$A:$I,9,FALSE()),""))</f>
        <v/>
      </c>
      <c r="L175" s="487" t="str">
        <f aca="false">IF($E175="","",$I175-$J175)</f>
        <v/>
      </c>
      <c r="M175" s="484" t="str">
        <f aca="false">IF($E175="","",IF($I175&gt;0,"DEBIT",IF($J175&gt;0,"KREDIT","ZERO")))</f>
        <v/>
      </c>
      <c r="N175" s="484" t="str">
        <f aca="false">IF($E175="","",TEXT($B175,"yyyymmdd")&amp;"-"&amp;TEXT(ROW(),"0000"))</f>
        <v/>
      </c>
      <c r="O175" s="101" t="str">
        <f aca="false">IF($E175="","",$E175&amp;"")</f>
        <v/>
      </c>
      <c r="P175" s="101" t="str">
        <f aca="false">IF(AND($O175&lt;&gt;"",$I175&lt;&gt;0),COUNTIFS($O$2:O175,$O175,$I$2:I175,"&gt;0"),"")</f>
        <v/>
      </c>
      <c r="Q175" s="101" t="str">
        <f aca="false">IF(AND($O175&lt;&gt;"",$J175&lt;&gt;0),COUNTIFS($O$2:O175,$O175,$J$2:J175,"&gt;0"),"")</f>
        <v/>
      </c>
      <c r="R175" s="101" t="str">
        <f aca="false">IF($P175="","",$O175&amp;"|"&amp;$P175)</f>
        <v/>
      </c>
      <c r="S175" s="101" t="str">
        <f aca="false">IF($Q175="","",$O175&amp;"|"&amp;$Q175)</f>
        <v/>
      </c>
      <c r="T175" s="101" t="str">
        <f aca="false">IF($O175="","",COUNTIF($O$2:O175,$O175))</f>
        <v/>
      </c>
      <c r="U175" s="101" t="str">
        <f aca="false">IF($O175="","",$O175&amp;"|"&amp;$T175)</f>
        <v/>
      </c>
      <c r="V175" s="488" t="n">
        <f aca="false">IF(OR(LEFT($D175,5)="MB-CL",LEFT($D175,6)="MB-RES"),0,$I175)</f>
        <v>0</v>
      </c>
      <c r="W175" s="488" t="n">
        <f aca="false">IF(OR(LEFT($D175,5)="MB-CL",LEFT($D175,6)="MB-RES"),0,$J175)</f>
        <v>0</v>
      </c>
      <c r="X175" s="101" t="str">
        <f aca="false">IF($E175="","",LEFT($E175,1))</f>
        <v/>
      </c>
      <c r="Y175" s="101" t="str">
        <f aca="false">IF($E175="","",LEFT($E175,2))</f>
        <v/>
      </c>
      <c r="Z175" s="101" t="str">
        <f aca="false">IF($E175="","",LEFT($E175,3))</f>
        <v/>
      </c>
      <c r="AA175" s="101" t="str">
        <f aca="false">IF($E175="","",LEFT($E175,4))</f>
        <v/>
      </c>
    </row>
    <row r="176" customFormat="false" ht="15" hidden="false" customHeight="true" outlineLevel="0" collapsed="false">
      <c r="A176" s="484" t="str">
        <f aca="false">IF(DITARI!$D180="","",ROW()-1)</f>
        <v/>
      </c>
      <c r="B176" s="485" t="str">
        <f aca="false">IF(DITARI!$D180="","",DITARI!$A180)</f>
        <v/>
      </c>
      <c r="C176" s="484" t="str">
        <f aca="false">IF(DITARI!$D180="","",DITARI!$B180)</f>
        <v/>
      </c>
      <c r="D176" s="484" t="str">
        <f aca="false">IF(DITARI!$D180="","",DITARI!$C180)</f>
        <v/>
      </c>
      <c r="E176" s="484" t="str">
        <f aca="false">IF(DITARI!$D180="","",TRIM(DITARI!$D180&amp;""))</f>
        <v/>
      </c>
      <c r="F176" s="484" t="str">
        <f aca="false">IF($E176="","",IFERROR(VLOOKUP($E176,PLANI_LLOGARIVE!$A:$I,2,FALSE()),DITARI!$E180))</f>
        <v/>
      </c>
      <c r="G176" s="484" t="str">
        <f aca="false">IF($E176="","",DITARI!$I180)</f>
        <v/>
      </c>
      <c r="H176" s="484" t="str">
        <f aca="false">IFERROR(IF($E176="","",DITARI!$H180),"")</f>
        <v/>
      </c>
      <c r="I176" s="487" t="n">
        <f aca="false">IF($E176="",0,IFERROR(DITARI!$F180,0))</f>
        <v>0</v>
      </c>
      <c r="J176" s="487" t="n">
        <f aca="false">IF($E176="",0,IFERROR(DITARI!$G180,0))</f>
        <v>0</v>
      </c>
      <c r="K176" s="484" t="str">
        <f aca="false">IF($E176="","",IFERROR(VLOOKUP($E176,PLANI_LLOGARIVE!$A:$I,9,FALSE()),""))</f>
        <v/>
      </c>
      <c r="L176" s="487" t="str">
        <f aca="false">IF($E176="","",$I176-$J176)</f>
        <v/>
      </c>
      <c r="M176" s="484" t="str">
        <f aca="false">IF($E176="","",IF($I176&gt;0,"DEBIT",IF($J176&gt;0,"KREDIT","ZERO")))</f>
        <v/>
      </c>
      <c r="N176" s="484" t="str">
        <f aca="false">IF($E176="","",TEXT($B176,"yyyymmdd")&amp;"-"&amp;TEXT(ROW(),"0000"))</f>
        <v/>
      </c>
      <c r="O176" s="101" t="str">
        <f aca="false">IF($E176="","",$E176&amp;"")</f>
        <v/>
      </c>
      <c r="P176" s="101" t="str">
        <f aca="false">IF(AND($O176&lt;&gt;"",$I176&lt;&gt;0),COUNTIFS($O$2:O176,$O176,$I$2:I176,"&gt;0"),"")</f>
        <v/>
      </c>
      <c r="Q176" s="101" t="str">
        <f aca="false">IF(AND($O176&lt;&gt;"",$J176&lt;&gt;0),COUNTIFS($O$2:O176,$O176,$J$2:J176,"&gt;0"),"")</f>
        <v/>
      </c>
      <c r="R176" s="101" t="str">
        <f aca="false">IF($P176="","",$O176&amp;"|"&amp;$P176)</f>
        <v/>
      </c>
      <c r="S176" s="101" t="str">
        <f aca="false">IF($Q176="","",$O176&amp;"|"&amp;$Q176)</f>
        <v/>
      </c>
      <c r="T176" s="101" t="str">
        <f aca="false">IF($O176="","",COUNTIF($O$2:O176,$O176))</f>
        <v/>
      </c>
      <c r="U176" s="101" t="str">
        <f aca="false">IF($O176="","",$O176&amp;"|"&amp;$T176)</f>
        <v/>
      </c>
      <c r="V176" s="488" t="n">
        <f aca="false">IF(OR(LEFT($D176,5)="MB-CL",LEFT($D176,6)="MB-RES"),0,$I176)</f>
        <v>0</v>
      </c>
      <c r="W176" s="488" t="n">
        <f aca="false">IF(OR(LEFT($D176,5)="MB-CL",LEFT($D176,6)="MB-RES"),0,$J176)</f>
        <v>0</v>
      </c>
      <c r="X176" s="101" t="str">
        <f aca="false">IF($E176="","",LEFT($E176,1))</f>
        <v/>
      </c>
      <c r="Y176" s="101" t="str">
        <f aca="false">IF($E176="","",LEFT($E176,2))</f>
        <v/>
      </c>
      <c r="Z176" s="101" t="str">
        <f aca="false">IF($E176="","",LEFT($E176,3))</f>
        <v/>
      </c>
      <c r="AA176" s="101" t="str">
        <f aca="false">IF($E176="","",LEFT($E176,4))</f>
        <v/>
      </c>
    </row>
    <row r="177" customFormat="false" ht="15" hidden="false" customHeight="true" outlineLevel="0" collapsed="false">
      <c r="A177" s="484" t="str">
        <f aca="false">IF(DITARI!$D181="","",ROW()-1)</f>
        <v/>
      </c>
      <c r="B177" s="485" t="str">
        <f aca="false">IF(DITARI!$D181="","",DITARI!$A181)</f>
        <v/>
      </c>
      <c r="C177" s="484" t="str">
        <f aca="false">IF(DITARI!$D181="","",DITARI!$B181)</f>
        <v/>
      </c>
      <c r="D177" s="484" t="str">
        <f aca="false">IF(DITARI!$D181="","",DITARI!$C181)</f>
        <v/>
      </c>
      <c r="E177" s="484" t="str">
        <f aca="false">IF(DITARI!$D181="","",TRIM(DITARI!$D181&amp;""))</f>
        <v/>
      </c>
      <c r="F177" s="484" t="str">
        <f aca="false">IF($E177="","",IFERROR(VLOOKUP($E177,PLANI_LLOGARIVE!$A:$I,2,FALSE()),DITARI!$E181))</f>
        <v/>
      </c>
      <c r="G177" s="484" t="str">
        <f aca="false">IF($E177="","",DITARI!$I181)</f>
        <v/>
      </c>
      <c r="H177" s="484" t="str">
        <f aca="false">IFERROR(IF($E177="","",DITARI!$H181),"")</f>
        <v/>
      </c>
      <c r="I177" s="487" t="n">
        <f aca="false">IF($E177="",0,IFERROR(DITARI!$F181,0))</f>
        <v>0</v>
      </c>
      <c r="J177" s="487" t="n">
        <f aca="false">IF($E177="",0,IFERROR(DITARI!$G181,0))</f>
        <v>0</v>
      </c>
      <c r="K177" s="484" t="str">
        <f aca="false">IF($E177="","",IFERROR(VLOOKUP($E177,PLANI_LLOGARIVE!$A:$I,9,FALSE()),""))</f>
        <v/>
      </c>
      <c r="L177" s="487" t="str">
        <f aca="false">IF($E177="","",$I177-$J177)</f>
        <v/>
      </c>
      <c r="M177" s="484" t="str">
        <f aca="false">IF($E177="","",IF($I177&gt;0,"DEBIT",IF($J177&gt;0,"KREDIT","ZERO")))</f>
        <v/>
      </c>
      <c r="N177" s="484" t="str">
        <f aca="false">IF($E177="","",TEXT($B177,"yyyymmdd")&amp;"-"&amp;TEXT(ROW(),"0000"))</f>
        <v/>
      </c>
      <c r="O177" s="101" t="str">
        <f aca="false">IF($E177="","",$E177&amp;"")</f>
        <v/>
      </c>
      <c r="P177" s="101" t="str">
        <f aca="false">IF(AND($O177&lt;&gt;"",$I177&lt;&gt;0),COUNTIFS($O$2:O177,$O177,$I$2:I177,"&gt;0"),"")</f>
        <v/>
      </c>
      <c r="Q177" s="101" t="str">
        <f aca="false">IF(AND($O177&lt;&gt;"",$J177&lt;&gt;0),COUNTIFS($O$2:O177,$O177,$J$2:J177,"&gt;0"),"")</f>
        <v/>
      </c>
      <c r="R177" s="101" t="str">
        <f aca="false">IF($P177="","",$O177&amp;"|"&amp;$P177)</f>
        <v/>
      </c>
      <c r="S177" s="101" t="str">
        <f aca="false">IF($Q177="","",$O177&amp;"|"&amp;$Q177)</f>
        <v/>
      </c>
      <c r="T177" s="101" t="str">
        <f aca="false">IF($O177="","",COUNTIF($O$2:O177,$O177))</f>
        <v/>
      </c>
      <c r="U177" s="101" t="str">
        <f aca="false">IF($O177="","",$O177&amp;"|"&amp;$T177)</f>
        <v/>
      </c>
      <c r="V177" s="488" t="n">
        <f aca="false">IF(OR(LEFT($D177,5)="MB-CL",LEFT($D177,6)="MB-RES"),0,$I177)</f>
        <v>0</v>
      </c>
      <c r="W177" s="488" t="n">
        <f aca="false">IF(OR(LEFT($D177,5)="MB-CL",LEFT($D177,6)="MB-RES"),0,$J177)</f>
        <v>0</v>
      </c>
      <c r="X177" s="101" t="str">
        <f aca="false">IF($E177="","",LEFT($E177,1))</f>
        <v/>
      </c>
      <c r="Y177" s="101" t="str">
        <f aca="false">IF($E177="","",LEFT($E177,2))</f>
        <v/>
      </c>
      <c r="Z177" s="101" t="str">
        <f aca="false">IF($E177="","",LEFT($E177,3))</f>
        <v/>
      </c>
      <c r="AA177" s="101" t="str">
        <f aca="false">IF($E177="","",LEFT($E177,4))</f>
        <v/>
      </c>
    </row>
    <row r="178" customFormat="false" ht="15" hidden="false" customHeight="true" outlineLevel="0" collapsed="false">
      <c r="A178" s="484" t="str">
        <f aca="false">IF(DITARI!$D182="","",ROW()-1)</f>
        <v/>
      </c>
      <c r="B178" s="485" t="str">
        <f aca="false">IF(DITARI!$D182="","",DITARI!$A182)</f>
        <v/>
      </c>
      <c r="C178" s="484" t="str">
        <f aca="false">IF(DITARI!$D182="","",DITARI!$B182)</f>
        <v/>
      </c>
      <c r="D178" s="484" t="str">
        <f aca="false">IF(DITARI!$D182="","",DITARI!$C182)</f>
        <v/>
      </c>
      <c r="E178" s="484" t="str">
        <f aca="false">IF(DITARI!$D182="","",TRIM(DITARI!$D182&amp;""))</f>
        <v/>
      </c>
      <c r="F178" s="484" t="str">
        <f aca="false">IF($E178="","",IFERROR(VLOOKUP($E178,PLANI_LLOGARIVE!$A:$I,2,FALSE()),DITARI!$E182))</f>
        <v/>
      </c>
      <c r="G178" s="484" t="str">
        <f aca="false">IF($E178="","",DITARI!$I182)</f>
        <v/>
      </c>
      <c r="H178" s="484" t="str">
        <f aca="false">IFERROR(IF($E178="","",DITARI!$H182),"")</f>
        <v/>
      </c>
      <c r="I178" s="487" t="n">
        <f aca="false">IF($E178="",0,IFERROR(DITARI!$F182,0))</f>
        <v>0</v>
      </c>
      <c r="J178" s="487" t="n">
        <f aca="false">IF($E178="",0,IFERROR(DITARI!$G182,0))</f>
        <v>0</v>
      </c>
      <c r="K178" s="484" t="str">
        <f aca="false">IF($E178="","",IFERROR(VLOOKUP($E178,PLANI_LLOGARIVE!$A:$I,9,FALSE()),""))</f>
        <v/>
      </c>
      <c r="L178" s="487" t="str">
        <f aca="false">IF($E178="","",$I178-$J178)</f>
        <v/>
      </c>
      <c r="M178" s="484" t="str">
        <f aca="false">IF($E178="","",IF($I178&gt;0,"DEBIT",IF($J178&gt;0,"KREDIT","ZERO")))</f>
        <v/>
      </c>
      <c r="N178" s="484" t="str">
        <f aca="false">IF($E178="","",TEXT($B178,"yyyymmdd")&amp;"-"&amp;TEXT(ROW(),"0000"))</f>
        <v/>
      </c>
      <c r="O178" s="101" t="str">
        <f aca="false">IF($E178="","",$E178&amp;"")</f>
        <v/>
      </c>
      <c r="P178" s="101" t="str">
        <f aca="false">IF(AND($O178&lt;&gt;"",$I178&lt;&gt;0),COUNTIFS($O$2:O178,$O178,$I$2:I178,"&gt;0"),"")</f>
        <v/>
      </c>
      <c r="Q178" s="101" t="str">
        <f aca="false">IF(AND($O178&lt;&gt;"",$J178&lt;&gt;0),COUNTIFS($O$2:O178,$O178,$J$2:J178,"&gt;0"),"")</f>
        <v/>
      </c>
      <c r="R178" s="101" t="str">
        <f aca="false">IF($P178="","",$O178&amp;"|"&amp;$P178)</f>
        <v/>
      </c>
      <c r="S178" s="101" t="str">
        <f aca="false">IF($Q178="","",$O178&amp;"|"&amp;$Q178)</f>
        <v/>
      </c>
      <c r="T178" s="101" t="str">
        <f aca="false">IF($O178="","",COUNTIF($O$2:O178,$O178))</f>
        <v/>
      </c>
      <c r="U178" s="101" t="str">
        <f aca="false">IF($O178="","",$O178&amp;"|"&amp;$T178)</f>
        <v/>
      </c>
      <c r="V178" s="488" t="n">
        <f aca="false">IF(OR(LEFT($D178,5)="MB-CL",LEFT($D178,6)="MB-RES"),0,$I178)</f>
        <v>0</v>
      </c>
      <c r="W178" s="488" t="n">
        <f aca="false">IF(OR(LEFT($D178,5)="MB-CL",LEFT($D178,6)="MB-RES"),0,$J178)</f>
        <v>0</v>
      </c>
      <c r="X178" s="101" t="str">
        <f aca="false">IF($E178="","",LEFT($E178,1))</f>
        <v/>
      </c>
      <c r="Y178" s="101" t="str">
        <f aca="false">IF($E178="","",LEFT($E178,2))</f>
        <v/>
      </c>
      <c r="Z178" s="101" t="str">
        <f aca="false">IF($E178="","",LEFT($E178,3))</f>
        <v/>
      </c>
      <c r="AA178" s="101" t="str">
        <f aca="false">IF($E178="","",LEFT($E178,4))</f>
        <v/>
      </c>
    </row>
    <row r="179" customFormat="false" ht="15" hidden="false" customHeight="true" outlineLevel="0" collapsed="false">
      <c r="A179" s="484" t="str">
        <f aca="false">IF(DITARI!$D183="","",ROW()-1)</f>
        <v/>
      </c>
      <c r="B179" s="485" t="str">
        <f aca="false">IF(DITARI!$D183="","",DITARI!$A183)</f>
        <v/>
      </c>
      <c r="C179" s="484" t="str">
        <f aca="false">IF(DITARI!$D183="","",DITARI!$B183)</f>
        <v/>
      </c>
      <c r="D179" s="484" t="str">
        <f aca="false">IF(DITARI!$D183="","",DITARI!$C183)</f>
        <v/>
      </c>
      <c r="E179" s="484" t="str">
        <f aca="false">IF(DITARI!$D183="","",TRIM(DITARI!$D183&amp;""))</f>
        <v/>
      </c>
      <c r="F179" s="484" t="str">
        <f aca="false">IF($E179="","",IFERROR(VLOOKUP($E179,PLANI_LLOGARIVE!$A:$I,2,FALSE()),DITARI!$E183))</f>
        <v/>
      </c>
      <c r="G179" s="484" t="str">
        <f aca="false">IF($E179="","",DITARI!$I183)</f>
        <v/>
      </c>
      <c r="H179" s="484" t="str">
        <f aca="false">IFERROR(IF($E179="","",DITARI!$H183),"")</f>
        <v/>
      </c>
      <c r="I179" s="487" t="n">
        <f aca="false">IF($E179="",0,IFERROR(DITARI!$F183,0))</f>
        <v>0</v>
      </c>
      <c r="J179" s="487" t="n">
        <f aca="false">IF($E179="",0,IFERROR(DITARI!$G183,0))</f>
        <v>0</v>
      </c>
      <c r="K179" s="484" t="str">
        <f aca="false">IF($E179="","",IFERROR(VLOOKUP($E179,PLANI_LLOGARIVE!$A:$I,9,FALSE()),""))</f>
        <v/>
      </c>
      <c r="L179" s="487" t="str">
        <f aca="false">IF($E179="","",$I179-$J179)</f>
        <v/>
      </c>
      <c r="M179" s="484" t="str">
        <f aca="false">IF($E179="","",IF($I179&gt;0,"DEBIT",IF($J179&gt;0,"KREDIT","ZERO")))</f>
        <v/>
      </c>
      <c r="N179" s="484" t="str">
        <f aca="false">IF($E179="","",TEXT($B179,"yyyymmdd")&amp;"-"&amp;TEXT(ROW(),"0000"))</f>
        <v/>
      </c>
      <c r="O179" s="101" t="str">
        <f aca="false">IF($E179="","",$E179&amp;"")</f>
        <v/>
      </c>
      <c r="P179" s="101" t="str">
        <f aca="false">IF(AND($O179&lt;&gt;"",$I179&lt;&gt;0),COUNTIFS($O$2:O179,$O179,$I$2:I179,"&gt;0"),"")</f>
        <v/>
      </c>
      <c r="Q179" s="101" t="str">
        <f aca="false">IF(AND($O179&lt;&gt;"",$J179&lt;&gt;0),COUNTIFS($O$2:O179,$O179,$J$2:J179,"&gt;0"),"")</f>
        <v/>
      </c>
      <c r="R179" s="101" t="str">
        <f aca="false">IF($P179="","",$O179&amp;"|"&amp;$P179)</f>
        <v/>
      </c>
      <c r="S179" s="101" t="str">
        <f aca="false">IF($Q179="","",$O179&amp;"|"&amp;$Q179)</f>
        <v/>
      </c>
      <c r="T179" s="101" t="str">
        <f aca="false">IF($O179="","",COUNTIF($O$2:O179,$O179))</f>
        <v/>
      </c>
      <c r="U179" s="101" t="str">
        <f aca="false">IF($O179="","",$O179&amp;"|"&amp;$T179)</f>
        <v/>
      </c>
      <c r="V179" s="488" t="n">
        <f aca="false">IF(OR(LEFT($D179,5)="MB-CL",LEFT($D179,6)="MB-RES"),0,$I179)</f>
        <v>0</v>
      </c>
      <c r="W179" s="488" t="n">
        <f aca="false">IF(OR(LEFT($D179,5)="MB-CL",LEFT($D179,6)="MB-RES"),0,$J179)</f>
        <v>0</v>
      </c>
      <c r="X179" s="101" t="str">
        <f aca="false">IF($E179="","",LEFT($E179,1))</f>
        <v/>
      </c>
      <c r="Y179" s="101" t="str">
        <f aca="false">IF($E179="","",LEFT($E179,2))</f>
        <v/>
      </c>
      <c r="Z179" s="101" t="str">
        <f aca="false">IF($E179="","",LEFT($E179,3))</f>
        <v/>
      </c>
      <c r="AA179" s="101" t="str">
        <f aca="false">IF($E179="","",LEFT($E179,4))</f>
        <v/>
      </c>
    </row>
    <row r="180" customFormat="false" ht="15" hidden="false" customHeight="true" outlineLevel="0" collapsed="false">
      <c r="A180" s="484" t="str">
        <f aca="false">IF(DITARI!$D184="","",ROW()-1)</f>
        <v/>
      </c>
      <c r="B180" s="485" t="str">
        <f aca="false">IF(DITARI!$D184="","",DITARI!$A184)</f>
        <v/>
      </c>
      <c r="C180" s="484" t="str">
        <f aca="false">IF(DITARI!$D184="","",DITARI!$B184)</f>
        <v/>
      </c>
      <c r="D180" s="484" t="str">
        <f aca="false">IF(DITARI!$D184="","",DITARI!$C184)</f>
        <v/>
      </c>
      <c r="E180" s="484" t="str">
        <f aca="false">IF(DITARI!$D184="","",TRIM(DITARI!$D184&amp;""))</f>
        <v/>
      </c>
      <c r="F180" s="484" t="str">
        <f aca="false">IF($E180="","",IFERROR(VLOOKUP($E180,PLANI_LLOGARIVE!$A:$I,2,FALSE()),DITARI!$E184))</f>
        <v/>
      </c>
      <c r="G180" s="484" t="str">
        <f aca="false">IF($E180="","",DITARI!$I184)</f>
        <v/>
      </c>
      <c r="H180" s="484" t="str">
        <f aca="false">IFERROR(IF($E180="","",DITARI!$H184),"")</f>
        <v/>
      </c>
      <c r="I180" s="487" t="n">
        <f aca="false">IF($E180="",0,IFERROR(DITARI!$F184,0))</f>
        <v>0</v>
      </c>
      <c r="J180" s="487" t="n">
        <f aca="false">IF($E180="",0,IFERROR(DITARI!$G184,0))</f>
        <v>0</v>
      </c>
      <c r="K180" s="484" t="str">
        <f aca="false">IF($E180="","",IFERROR(VLOOKUP($E180,PLANI_LLOGARIVE!$A:$I,9,FALSE()),""))</f>
        <v/>
      </c>
      <c r="L180" s="487" t="str">
        <f aca="false">IF($E180="","",$I180-$J180)</f>
        <v/>
      </c>
      <c r="M180" s="484" t="str">
        <f aca="false">IF($E180="","",IF($I180&gt;0,"DEBIT",IF($J180&gt;0,"KREDIT","ZERO")))</f>
        <v/>
      </c>
      <c r="N180" s="484" t="str">
        <f aca="false">IF($E180="","",TEXT($B180,"yyyymmdd")&amp;"-"&amp;TEXT(ROW(),"0000"))</f>
        <v/>
      </c>
      <c r="O180" s="101" t="str">
        <f aca="false">IF($E180="","",$E180&amp;"")</f>
        <v/>
      </c>
      <c r="P180" s="101" t="str">
        <f aca="false">IF(AND($O180&lt;&gt;"",$I180&lt;&gt;0),COUNTIFS($O$2:O180,$O180,$I$2:I180,"&gt;0"),"")</f>
        <v/>
      </c>
      <c r="Q180" s="101" t="str">
        <f aca="false">IF(AND($O180&lt;&gt;"",$J180&lt;&gt;0),COUNTIFS($O$2:O180,$O180,$J$2:J180,"&gt;0"),"")</f>
        <v/>
      </c>
      <c r="R180" s="101" t="str">
        <f aca="false">IF($P180="","",$O180&amp;"|"&amp;$P180)</f>
        <v/>
      </c>
      <c r="S180" s="101" t="str">
        <f aca="false">IF($Q180="","",$O180&amp;"|"&amp;$Q180)</f>
        <v/>
      </c>
      <c r="T180" s="101" t="str">
        <f aca="false">IF($O180="","",COUNTIF($O$2:O180,$O180))</f>
        <v/>
      </c>
      <c r="U180" s="101" t="str">
        <f aca="false">IF($O180="","",$O180&amp;"|"&amp;$T180)</f>
        <v/>
      </c>
      <c r="V180" s="488" t="n">
        <f aca="false">IF(OR(LEFT($D180,5)="MB-CL",LEFT($D180,6)="MB-RES"),0,$I180)</f>
        <v>0</v>
      </c>
      <c r="W180" s="488" t="n">
        <f aca="false">IF(OR(LEFT($D180,5)="MB-CL",LEFT($D180,6)="MB-RES"),0,$J180)</f>
        <v>0</v>
      </c>
      <c r="X180" s="101" t="str">
        <f aca="false">IF($E180="","",LEFT($E180,1))</f>
        <v/>
      </c>
      <c r="Y180" s="101" t="str">
        <f aca="false">IF($E180="","",LEFT($E180,2))</f>
        <v/>
      </c>
      <c r="Z180" s="101" t="str">
        <f aca="false">IF($E180="","",LEFT($E180,3))</f>
        <v/>
      </c>
      <c r="AA180" s="101" t="str">
        <f aca="false">IF($E180="","",LEFT($E180,4))</f>
        <v/>
      </c>
    </row>
    <row r="181" customFormat="false" ht="15" hidden="false" customHeight="true" outlineLevel="0" collapsed="false">
      <c r="A181" s="484" t="str">
        <f aca="false">IF(DITARI!$D185="","",ROW()-1)</f>
        <v/>
      </c>
      <c r="B181" s="485" t="str">
        <f aca="false">IF(DITARI!$D185="","",DITARI!$A185)</f>
        <v/>
      </c>
      <c r="C181" s="484" t="str">
        <f aca="false">IF(DITARI!$D185="","",DITARI!$B185)</f>
        <v/>
      </c>
      <c r="D181" s="484" t="str">
        <f aca="false">IF(DITARI!$D185="","",DITARI!$C185)</f>
        <v/>
      </c>
      <c r="E181" s="484" t="str">
        <f aca="false">IF(DITARI!$D185="","",TRIM(DITARI!$D185&amp;""))</f>
        <v/>
      </c>
      <c r="F181" s="484" t="str">
        <f aca="false">IF($E181="","",IFERROR(VLOOKUP($E181,PLANI_LLOGARIVE!$A:$I,2,FALSE()),DITARI!$E185))</f>
        <v/>
      </c>
      <c r="G181" s="484" t="str">
        <f aca="false">IF($E181="","",DITARI!$I185)</f>
        <v/>
      </c>
      <c r="H181" s="484" t="str">
        <f aca="false">IFERROR(IF($E181="","",DITARI!$H185),"")</f>
        <v/>
      </c>
      <c r="I181" s="487" t="n">
        <f aca="false">IF($E181="",0,IFERROR(DITARI!$F185,0))</f>
        <v>0</v>
      </c>
      <c r="J181" s="487" t="n">
        <f aca="false">IF($E181="",0,IFERROR(DITARI!$G185,0))</f>
        <v>0</v>
      </c>
      <c r="K181" s="484" t="str">
        <f aca="false">IF($E181="","",IFERROR(VLOOKUP($E181,PLANI_LLOGARIVE!$A:$I,9,FALSE()),""))</f>
        <v/>
      </c>
      <c r="L181" s="487" t="str">
        <f aca="false">IF($E181="","",$I181-$J181)</f>
        <v/>
      </c>
      <c r="M181" s="484" t="str">
        <f aca="false">IF($E181="","",IF($I181&gt;0,"DEBIT",IF($J181&gt;0,"KREDIT","ZERO")))</f>
        <v/>
      </c>
      <c r="N181" s="484" t="str">
        <f aca="false">IF($E181="","",TEXT($B181,"yyyymmdd")&amp;"-"&amp;TEXT(ROW(),"0000"))</f>
        <v/>
      </c>
      <c r="O181" s="101" t="str">
        <f aca="false">IF($E181="","",$E181&amp;"")</f>
        <v/>
      </c>
      <c r="P181" s="101" t="str">
        <f aca="false">IF(AND($O181&lt;&gt;"",$I181&lt;&gt;0),COUNTIFS($O$2:O181,$O181,$I$2:I181,"&gt;0"),"")</f>
        <v/>
      </c>
      <c r="Q181" s="101" t="str">
        <f aca="false">IF(AND($O181&lt;&gt;"",$J181&lt;&gt;0),COUNTIFS($O$2:O181,$O181,$J$2:J181,"&gt;0"),"")</f>
        <v/>
      </c>
      <c r="R181" s="101" t="str">
        <f aca="false">IF($P181="","",$O181&amp;"|"&amp;$P181)</f>
        <v/>
      </c>
      <c r="S181" s="101" t="str">
        <f aca="false">IF($Q181="","",$O181&amp;"|"&amp;$Q181)</f>
        <v/>
      </c>
      <c r="T181" s="101" t="str">
        <f aca="false">IF($O181="","",COUNTIF($O$2:O181,$O181))</f>
        <v/>
      </c>
      <c r="U181" s="101" t="str">
        <f aca="false">IF($O181="","",$O181&amp;"|"&amp;$T181)</f>
        <v/>
      </c>
      <c r="V181" s="488" t="n">
        <f aca="false">IF(OR(LEFT($D181,5)="MB-CL",LEFT($D181,6)="MB-RES"),0,$I181)</f>
        <v>0</v>
      </c>
      <c r="W181" s="488" t="n">
        <f aca="false">IF(OR(LEFT($D181,5)="MB-CL",LEFT($D181,6)="MB-RES"),0,$J181)</f>
        <v>0</v>
      </c>
      <c r="X181" s="101" t="str">
        <f aca="false">IF($E181="","",LEFT($E181,1))</f>
        <v/>
      </c>
      <c r="Y181" s="101" t="str">
        <f aca="false">IF($E181="","",LEFT($E181,2))</f>
        <v/>
      </c>
      <c r="Z181" s="101" t="str">
        <f aca="false">IF($E181="","",LEFT($E181,3))</f>
        <v/>
      </c>
      <c r="AA181" s="101" t="str">
        <f aca="false">IF($E181="","",LEFT($E181,4))</f>
        <v/>
      </c>
    </row>
    <row r="182" customFormat="false" ht="15" hidden="false" customHeight="true" outlineLevel="0" collapsed="false">
      <c r="A182" s="484" t="str">
        <f aca="false">IF(DITARI!$D186="","",ROW()-1)</f>
        <v/>
      </c>
      <c r="B182" s="485" t="str">
        <f aca="false">IF(DITARI!$D186="","",DITARI!$A186)</f>
        <v/>
      </c>
      <c r="C182" s="484" t="str">
        <f aca="false">IF(DITARI!$D186="","",DITARI!$B186)</f>
        <v/>
      </c>
      <c r="D182" s="484" t="str">
        <f aca="false">IF(DITARI!$D186="","",DITARI!$C186)</f>
        <v/>
      </c>
      <c r="E182" s="484" t="str">
        <f aca="false">IF(DITARI!$D186="","",TRIM(DITARI!$D186&amp;""))</f>
        <v/>
      </c>
      <c r="F182" s="484" t="str">
        <f aca="false">IF($E182="","",IFERROR(VLOOKUP($E182,PLANI_LLOGARIVE!$A:$I,2,FALSE()),DITARI!$E186))</f>
        <v/>
      </c>
      <c r="G182" s="484" t="str">
        <f aca="false">IF($E182="","",DITARI!$I186)</f>
        <v/>
      </c>
      <c r="H182" s="484" t="str">
        <f aca="false">IFERROR(IF($E182="","",DITARI!$H186),"")</f>
        <v/>
      </c>
      <c r="I182" s="487" t="n">
        <f aca="false">IF($E182="",0,IFERROR(DITARI!$F186,0))</f>
        <v>0</v>
      </c>
      <c r="J182" s="487" t="n">
        <f aca="false">IF($E182="",0,IFERROR(DITARI!$G186,0))</f>
        <v>0</v>
      </c>
      <c r="K182" s="484" t="str">
        <f aca="false">IF($E182="","",IFERROR(VLOOKUP($E182,PLANI_LLOGARIVE!$A:$I,9,FALSE()),""))</f>
        <v/>
      </c>
      <c r="L182" s="487" t="str">
        <f aca="false">IF($E182="","",$I182-$J182)</f>
        <v/>
      </c>
      <c r="M182" s="484" t="str">
        <f aca="false">IF($E182="","",IF($I182&gt;0,"DEBIT",IF($J182&gt;0,"KREDIT","ZERO")))</f>
        <v/>
      </c>
      <c r="N182" s="484" t="str">
        <f aca="false">IF($E182="","",TEXT($B182,"yyyymmdd")&amp;"-"&amp;TEXT(ROW(),"0000"))</f>
        <v/>
      </c>
      <c r="O182" s="101" t="str">
        <f aca="false">IF($E182="","",$E182&amp;"")</f>
        <v/>
      </c>
      <c r="P182" s="101" t="str">
        <f aca="false">IF(AND($O182&lt;&gt;"",$I182&lt;&gt;0),COUNTIFS($O$2:O182,$O182,$I$2:I182,"&gt;0"),"")</f>
        <v/>
      </c>
      <c r="Q182" s="101" t="str">
        <f aca="false">IF(AND($O182&lt;&gt;"",$J182&lt;&gt;0),COUNTIFS($O$2:O182,$O182,$J$2:J182,"&gt;0"),"")</f>
        <v/>
      </c>
      <c r="R182" s="101" t="str">
        <f aca="false">IF($P182="","",$O182&amp;"|"&amp;$P182)</f>
        <v/>
      </c>
      <c r="S182" s="101" t="str">
        <f aca="false">IF($Q182="","",$O182&amp;"|"&amp;$Q182)</f>
        <v/>
      </c>
      <c r="T182" s="101" t="str">
        <f aca="false">IF($O182="","",COUNTIF($O$2:O182,$O182))</f>
        <v/>
      </c>
      <c r="U182" s="101" t="str">
        <f aca="false">IF($O182="","",$O182&amp;"|"&amp;$T182)</f>
        <v/>
      </c>
      <c r="V182" s="488" t="n">
        <f aca="false">IF(OR(LEFT($D182,5)="MB-CL",LEFT($D182,6)="MB-RES"),0,$I182)</f>
        <v>0</v>
      </c>
      <c r="W182" s="488" t="n">
        <f aca="false">IF(OR(LEFT($D182,5)="MB-CL",LEFT($D182,6)="MB-RES"),0,$J182)</f>
        <v>0</v>
      </c>
      <c r="X182" s="101" t="str">
        <f aca="false">IF($E182="","",LEFT($E182,1))</f>
        <v/>
      </c>
      <c r="Y182" s="101" t="str">
        <f aca="false">IF($E182="","",LEFT($E182,2))</f>
        <v/>
      </c>
      <c r="Z182" s="101" t="str">
        <f aca="false">IF($E182="","",LEFT($E182,3))</f>
        <v/>
      </c>
      <c r="AA182" s="101" t="str">
        <f aca="false">IF($E182="","",LEFT($E182,4))</f>
        <v/>
      </c>
    </row>
    <row r="183" customFormat="false" ht="15" hidden="false" customHeight="true" outlineLevel="0" collapsed="false">
      <c r="A183" s="484" t="str">
        <f aca="false">IF(DITARI!$D187="","",ROW()-1)</f>
        <v/>
      </c>
      <c r="B183" s="485" t="str">
        <f aca="false">IF(DITARI!$D187="","",DITARI!$A187)</f>
        <v/>
      </c>
      <c r="C183" s="484" t="str">
        <f aca="false">IF(DITARI!$D187="","",DITARI!$B187)</f>
        <v/>
      </c>
      <c r="D183" s="484" t="str">
        <f aca="false">IF(DITARI!$D187="","",DITARI!$C187)</f>
        <v/>
      </c>
      <c r="E183" s="484" t="str">
        <f aca="false">IF(DITARI!$D187="","",TRIM(DITARI!$D187&amp;""))</f>
        <v/>
      </c>
      <c r="F183" s="484" t="str">
        <f aca="false">IF($E183="","",IFERROR(VLOOKUP($E183,PLANI_LLOGARIVE!$A:$I,2,FALSE()),DITARI!$E187))</f>
        <v/>
      </c>
      <c r="G183" s="484" t="str">
        <f aca="false">IF($E183="","",DITARI!$I187)</f>
        <v/>
      </c>
      <c r="H183" s="484" t="str">
        <f aca="false">IFERROR(IF($E183="","",DITARI!$H187),"")</f>
        <v/>
      </c>
      <c r="I183" s="487" t="n">
        <f aca="false">IF($E183="",0,IFERROR(DITARI!$F187,0))</f>
        <v>0</v>
      </c>
      <c r="J183" s="487" t="n">
        <f aca="false">IF($E183="",0,IFERROR(DITARI!$G187,0))</f>
        <v>0</v>
      </c>
      <c r="K183" s="484" t="str">
        <f aca="false">IF($E183="","",IFERROR(VLOOKUP($E183,PLANI_LLOGARIVE!$A:$I,9,FALSE()),""))</f>
        <v/>
      </c>
      <c r="L183" s="487" t="str">
        <f aca="false">IF($E183="","",$I183-$J183)</f>
        <v/>
      </c>
      <c r="M183" s="484" t="str">
        <f aca="false">IF($E183="","",IF($I183&gt;0,"DEBIT",IF($J183&gt;0,"KREDIT","ZERO")))</f>
        <v/>
      </c>
      <c r="N183" s="484" t="str">
        <f aca="false">IF($E183="","",TEXT($B183,"yyyymmdd")&amp;"-"&amp;TEXT(ROW(),"0000"))</f>
        <v/>
      </c>
      <c r="O183" s="101" t="str">
        <f aca="false">IF($E183="","",$E183&amp;"")</f>
        <v/>
      </c>
      <c r="P183" s="101" t="str">
        <f aca="false">IF(AND($O183&lt;&gt;"",$I183&lt;&gt;0),COUNTIFS($O$2:O183,$O183,$I$2:I183,"&gt;0"),"")</f>
        <v/>
      </c>
      <c r="Q183" s="101" t="str">
        <f aca="false">IF(AND($O183&lt;&gt;"",$J183&lt;&gt;0),COUNTIFS($O$2:O183,$O183,$J$2:J183,"&gt;0"),"")</f>
        <v/>
      </c>
      <c r="R183" s="101" t="str">
        <f aca="false">IF($P183="","",$O183&amp;"|"&amp;$P183)</f>
        <v/>
      </c>
      <c r="S183" s="101" t="str">
        <f aca="false">IF($Q183="","",$O183&amp;"|"&amp;$Q183)</f>
        <v/>
      </c>
      <c r="T183" s="101" t="str">
        <f aca="false">IF($O183="","",COUNTIF($O$2:O183,$O183))</f>
        <v/>
      </c>
      <c r="U183" s="101" t="str">
        <f aca="false">IF($O183="","",$O183&amp;"|"&amp;$T183)</f>
        <v/>
      </c>
      <c r="V183" s="488" t="n">
        <f aca="false">IF(OR(LEFT($D183,5)="MB-CL",LEFT($D183,6)="MB-RES"),0,$I183)</f>
        <v>0</v>
      </c>
      <c r="W183" s="488" t="n">
        <f aca="false">IF(OR(LEFT($D183,5)="MB-CL",LEFT($D183,6)="MB-RES"),0,$J183)</f>
        <v>0</v>
      </c>
      <c r="X183" s="101" t="str">
        <f aca="false">IF($E183="","",LEFT($E183,1))</f>
        <v/>
      </c>
      <c r="Y183" s="101" t="str">
        <f aca="false">IF($E183="","",LEFT($E183,2))</f>
        <v/>
      </c>
      <c r="Z183" s="101" t="str">
        <f aca="false">IF($E183="","",LEFT($E183,3))</f>
        <v/>
      </c>
      <c r="AA183" s="101" t="str">
        <f aca="false">IF($E183="","",LEFT($E183,4))</f>
        <v/>
      </c>
    </row>
    <row r="184" customFormat="false" ht="15" hidden="false" customHeight="true" outlineLevel="0" collapsed="false">
      <c r="A184" s="484" t="str">
        <f aca="false">IF(DITARI!$D188="","",ROW()-1)</f>
        <v/>
      </c>
      <c r="B184" s="485" t="str">
        <f aca="false">IF(DITARI!$D188="","",DITARI!$A188)</f>
        <v/>
      </c>
      <c r="C184" s="484" t="str">
        <f aca="false">IF(DITARI!$D188="","",DITARI!$B188)</f>
        <v/>
      </c>
      <c r="D184" s="484" t="str">
        <f aca="false">IF(DITARI!$D188="","",DITARI!$C188)</f>
        <v/>
      </c>
      <c r="E184" s="484" t="str">
        <f aca="false">IF(DITARI!$D188="","",TRIM(DITARI!$D188&amp;""))</f>
        <v/>
      </c>
      <c r="F184" s="484" t="str">
        <f aca="false">IF($E184="","",IFERROR(VLOOKUP($E184,PLANI_LLOGARIVE!$A:$I,2,FALSE()),DITARI!$E188))</f>
        <v/>
      </c>
      <c r="G184" s="484" t="str">
        <f aca="false">IF($E184="","",DITARI!$I188)</f>
        <v/>
      </c>
      <c r="H184" s="484" t="str">
        <f aca="false">IFERROR(IF($E184="","",DITARI!$H188),"")</f>
        <v/>
      </c>
      <c r="I184" s="487" t="n">
        <f aca="false">IF($E184="",0,IFERROR(DITARI!$F188,0))</f>
        <v>0</v>
      </c>
      <c r="J184" s="487" t="n">
        <f aca="false">IF($E184="",0,IFERROR(DITARI!$G188,0))</f>
        <v>0</v>
      </c>
      <c r="K184" s="484" t="str">
        <f aca="false">IF($E184="","",IFERROR(VLOOKUP($E184,PLANI_LLOGARIVE!$A:$I,9,FALSE()),""))</f>
        <v/>
      </c>
      <c r="L184" s="487" t="str">
        <f aca="false">IF($E184="","",$I184-$J184)</f>
        <v/>
      </c>
      <c r="M184" s="484" t="str">
        <f aca="false">IF($E184="","",IF($I184&gt;0,"DEBIT",IF($J184&gt;0,"KREDIT","ZERO")))</f>
        <v/>
      </c>
      <c r="N184" s="484" t="str">
        <f aca="false">IF($E184="","",TEXT($B184,"yyyymmdd")&amp;"-"&amp;TEXT(ROW(),"0000"))</f>
        <v/>
      </c>
      <c r="O184" s="101" t="str">
        <f aca="false">IF($E184="","",$E184&amp;"")</f>
        <v/>
      </c>
      <c r="P184" s="101" t="str">
        <f aca="false">IF(AND($O184&lt;&gt;"",$I184&lt;&gt;0),COUNTIFS($O$2:O184,$O184,$I$2:I184,"&gt;0"),"")</f>
        <v/>
      </c>
      <c r="Q184" s="101" t="str">
        <f aca="false">IF(AND($O184&lt;&gt;"",$J184&lt;&gt;0),COUNTIFS($O$2:O184,$O184,$J$2:J184,"&gt;0"),"")</f>
        <v/>
      </c>
      <c r="R184" s="101" t="str">
        <f aca="false">IF($P184="","",$O184&amp;"|"&amp;$P184)</f>
        <v/>
      </c>
      <c r="S184" s="101" t="str">
        <f aca="false">IF($Q184="","",$O184&amp;"|"&amp;$Q184)</f>
        <v/>
      </c>
      <c r="T184" s="101" t="str">
        <f aca="false">IF($O184="","",COUNTIF($O$2:O184,$O184))</f>
        <v/>
      </c>
      <c r="U184" s="101" t="str">
        <f aca="false">IF($O184="","",$O184&amp;"|"&amp;$T184)</f>
        <v/>
      </c>
      <c r="V184" s="488" t="n">
        <f aca="false">IF(OR(LEFT($D184,5)="MB-CL",LEFT($D184,6)="MB-RES"),0,$I184)</f>
        <v>0</v>
      </c>
      <c r="W184" s="488" t="n">
        <f aca="false">IF(OR(LEFT($D184,5)="MB-CL",LEFT($D184,6)="MB-RES"),0,$J184)</f>
        <v>0</v>
      </c>
      <c r="X184" s="101" t="str">
        <f aca="false">IF($E184="","",LEFT($E184,1))</f>
        <v/>
      </c>
      <c r="Y184" s="101" t="str">
        <f aca="false">IF($E184="","",LEFT($E184,2))</f>
        <v/>
      </c>
      <c r="Z184" s="101" t="str">
        <f aca="false">IF($E184="","",LEFT($E184,3))</f>
        <v/>
      </c>
      <c r="AA184" s="101" t="str">
        <f aca="false">IF($E184="","",LEFT($E184,4))</f>
        <v/>
      </c>
    </row>
    <row r="185" customFormat="false" ht="15" hidden="false" customHeight="true" outlineLevel="0" collapsed="false">
      <c r="A185" s="484" t="str">
        <f aca="false">IF(DITARI!$D189="","",ROW()-1)</f>
        <v/>
      </c>
      <c r="B185" s="485" t="str">
        <f aca="false">IF(DITARI!$D189="","",DITARI!$A189)</f>
        <v/>
      </c>
      <c r="C185" s="484" t="str">
        <f aca="false">IF(DITARI!$D189="","",DITARI!$B189)</f>
        <v/>
      </c>
      <c r="D185" s="484" t="str">
        <f aca="false">IF(DITARI!$D189="","",DITARI!$C189)</f>
        <v/>
      </c>
      <c r="E185" s="484" t="str">
        <f aca="false">IF(DITARI!$D189="","",TRIM(DITARI!$D189&amp;""))</f>
        <v/>
      </c>
      <c r="F185" s="484" t="str">
        <f aca="false">IF($E185="","",IFERROR(VLOOKUP($E185,PLANI_LLOGARIVE!$A:$I,2,FALSE()),DITARI!$E189))</f>
        <v/>
      </c>
      <c r="G185" s="484" t="str">
        <f aca="false">IF($E185="","",DITARI!$I189)</f>
        <v/>
      </c>
      <c r="H185" s="484" t="str">
        <f aca="false">IFERROR(IF($E185="","",DITARI!$H189),"")</f>
        <v/>
      </c>
      <c r="I185" s="487" t="n">
        <f aca="false">IF($E185="",0,IFERROR(DITARI!$F189,0))</f>
        <v>0</v>
      </c>
      <c r="J185" s="487" t="n">
        <f aca="false">IF($E185="",0,IFERROR(DITARI!$G189,0))</f>
        <v>0</v>
      </c>
      <c r="K185" s="484" t="str">
        <f aca="false">IF($E185="","",IFERROR(VLOOKUP($E185,PLANI_LLOGARIVE!$A:$I,9,FALSE()),""))</f>
        <v/>
      </c>
      <c r="L185" s="487" t="str">
        <f aca="false">IF($E185="","",$I185-$J185)</f>
        <v/>
      </c>
      <c r="M185" s="484" t="str">
        <f aca="false">IF($E185="","",IF($I185&gt;0,"DEBIT",IF($J185&gt;0,"KREDIT","ZERO")))</f>
        <v/>
      </c>
      <c r="N185" s="484" t="str">
        <f aca="false">IF($E185="","",TEXT($B185,"yyyymmdd")&amp;"-"&amp;TEXT(ROW(),"0000"))</f>
        <v/>
      </c>
      <c r="O185" s="101" t="str">
        <f aca="false">IF($E185="","",$E185&amp;"")</f>
        <v/>
      </c>
      <c r="P185" s="101" t="str">
        <f aca="false">IF(AND($O185&lt;&gt;"",$I185&lt;&gt;0),COUNTIFS($O$2:O185,$O185,$I$2:I185,"&gt;0"),"")</f>
        <v/>
      </c>
      <c r="Q185" s="101" t="str">
        <f aca="false">IF(AND($O185&lt;&gt;"",$J185&lt;&gt;0),COUNTIFS($O$2:O185,$O185,$J$2:J185,"&gt;0"),"")</f>
        <v/>
      </c>
      <c r="R185" s="101" t="str">
        <f aca="false">IF($P185="","",$O185&amp;"|"&amp;$P185)</f>
        <v/>
      </c>
      <c r="S185" s="101" t="str">
        <f aca="false">IF($Q185="","",$O185&amp;"|"&amp;$Q185)</f>
        <v/>
      </c>
      <c r="T185" s="101" t="str">
        <f aca="false">IF($O185="","",COUNTIF($O$2:O185,$O185))</f>
        <v/>
      </c>
      <c r="U185" s="101" t="str">
        <f aca="false">IF($O185="","",$O185&amp;"|"&amp;$T185)</f>
        <v/>
      </c>
      <c r="V185" s="488" t="n">
        <f aca="false">IF(OR(LEFT($D185,5)="MB-CL",LEFT($D185,6)="MB-RES"),0,$I185)</f>
        <v>0</v>
      </c>
      <c r="W185" s="488" t="n">
        <f aca="false">IF(OR(LEFT($D185,5)="MB-CL",LEFT($D185,6)="MB-RES"),0,$J185)</f>
        <v>0</v>
      </c>
      <c r="X185" s="101" t="str">
        <f aca="false">IF($E185="","",LEFT($E185,1))</f>
        <v/>
      </c>
      <c r="Y185" s="101" t="str">
        <f aca="false">IF($E185="","",LEFT($E185,2))</f>
        <v/>
      </c>
      <c r="Z185" s="101" t="str">
        <f aca="false">IF($E185="","",LEFT($E185,3))</f>
        <v/>
      </c>
      <c r="AA185" s="101" t="str">
        <f aca="false">IF($E185="","",LEFT($E185,4))</f>
        <v/>
      </c>
    </row>
    <row r="186" customFormat="false" ht="15" hidden="false" customHeight="true" outlineLevel="0" collapsed="false">
      <c r="A186" s="484" t="str">
        <f aca="false">IF(DITARI!$D190="","",ROW()-1)</f>
        <v/>
      </c>
      <c r="B186" s="485" t="str">
        <f aca="false">IF(DITARI!$D190="","",DITARI!$A190)</f>
        <v/>
      </c>
      <c r="C186" s="484" t="str">
        <f aca="false">IF(DITARI!$D190="","",DITARI!$B190)</f>
        <v/>
      </c>
      <c r="D186" s="484" t="str">
        <f aca="false">IF(DITARI!$D190="","",DITARI!$C190)</f>
        <v/>
      </c>
      <c r="E186" s="484" t="str">
        <f aca="false">IF(DITARI!$D190="","",TRIM(DITARI!$D190&amp;""))</f>
        <v/>
      </c>
      <c r="F186" s="484" t="str">
        <f aca="false">IF($E186="","",IFERROR(VLOOKUP($E186,PLANI_LLOGARIVE!$A:$I,2,FALSE()),DITARI!$E190))</f>
        <v/>
      </c>
      <c r="G186" s="484" t="str">
        <f aca="false">IF($E186="","",DITARI!$I190)</f>
        <v/>
      </c>
      <c r="H186" s="484" t="str">
        <f aca="false">IFERROR(IF($E186="","",DITARI!$H190),"")</f>
        <v/>
      </c>
      <c r="I186" s="487" t="n">
        <f aca="false">IF($E186="",0,IFERROR(DITARI!$F190,0))</f>
        <v>0</v>
      </c>
      <c r="J186" s="487" t="n">
        <f aca="false">IF($E186="",0,IFERROR(DITARI!$G190,0))</f>
        <v>0</v>
      </c>
      <c r="K186" s="484" t="str">
        <f aca="false">IF($E186="","",IFERROR(VLOOKUP($E186,PLANI_LLOGARIVE!$A:$I,9,FALSE()),""))</f>
        <v/>
      </c>
      <c r="L186" s="487" t="str">
        <f aca="false">IF($E186="","",$I186-$J186)</f>
        <v/>
      </c>
      <c r="M186" s="484" t="str">
        <f aca="false">IF($E186="","",IF($I186&gt;0,"DEBIT",IF($J186&gt;0,"KREDIT","ZERO")))</f>
        <v/>
      </c>
      <c r="N186" s="484" t="str">
        <f aca="false">IF($E186="","",TEXT($B186,"yyyymmdd")&amp;"-"&amp;TEXT(ROW(),"0000"))</f>
        <v/>
      </c>
      <c r="O186" s="101" t="str">
        <f aca="false">IF($E186="","",$E186&amp;"")</f>
        <v/>
      </c>
      <c r="P186" s="101" t="str">
        <f aca="false">IF(AND($O186&lt;&gt;"",$I186&lt;&gt;0),COUNTIFS($O$2:O186,$O186,$I$2:I186,"&gt;0"),"")</f>
        <v/>
      </c>
      <c r="Q186" s="101" t="str">
        <f aca="false">IF(AND($O186&lt;&gt;"",$J186&lt;&gt;0),COUNTIFS($O$2:O186,$O186,$J$2:J186,"&gt;0"),"")</f>
        <v/>
      </c>
      <c r="R186" s="101" t="str">
        <f aca="false">IF($P186="","",$O186&amp;"|"&amp;$P186)</f>
        <v/>
      </c>
      <c r="S186" s="101" t="str">
        <f aca="false">IF($Q186="","",$O186&amp;"|"&amp;$Q186)</f>
        <v/>
      </c>
      <c r="T186" s="101" t="str">
        <f aca="false">IF($O186="","",COUNTIF($O$2:O186,$O186))</f>
        <v/>
      </c>
      <c r="U186" s="101" t="str">
        <f aca="false">IF($O186="","",$O186&amp;"|"&amp;$T186)</f>
        <v/>
      </c>
      <c r="V186" s="488" t="n">
        <f aca="false">IF(OR(LEFT($D186,5)="MB-CL",LEFT($D186,6)="MB-RES"),0,$I186)</f>
        <v>0</v>
      </c>
      <c r="W186" s="488" t="n">
        <f aca="false">IF(OR(LEFT($D186,5)="MB-CL",LEFT($D186,6)="MB-RES"),0,$J186)</f>
        <v>0</v>
      </c>
      <c r="X186" s="101" t="str">
        <f aca="false">IF($E186="","",LEFT($E186,1))</f>
        <v/>
      </c>
      <c r="Y186" s="101" t="str">
        <f aca="false">IF($E186="","",LEFT($E186,2))</f>
        <v/>
      </c>
      <c r="Z186" s="101" t="str">
        <f aca="false">IF($E186="","",LEFT($E186,3))</f>
        <v/>
      </c>
      <c r="AA186" s="101" t="str">
        <f aca="false">IF($E186="","",LEFT($E186,4))</f>
        <v/>
      </c>
    </row>
    <row r="187" customFormat="false" ht="15" hidden="false" customHeight="true" outlineLevel="0" collapsed="false">
      <c r="A187" s="484" t="str">
        <f aca="false">IF(DITARI!$D191="","",ROW()-1)</f>
        <v/>
      </c>
      <c r="B187" s="485" t="str">
        <f aca="false">IF(DITARI!$D191="","",DITARI!$A191)</f>
        <v/>
      </c>
      <c r="C187" s="484" t="str">
        <f aca="false">IF(DITARI!$D191="","",DITARI!$B191)</f>
        <v/>
      </c>
      <c r="D187" s="484" t="str">
        <f aca="false">IF(DITARI!$D191="","",DITARI!$C191)</f>
        <v/>
      </c>
      <c r="E187" s="484" t="str">
        <f aca="false">IF(DITARI!$D191="","",TRIM(DITARI!$D191&amp;""))</f>
        <v/>
      </c>
      <c r="F187" s="484" t="str">
        <f aca="false">IF($E187="","",IFERROR(VLOOKUP($E187,PLANI_LLOGARIVE!$A:$I,2,FALSE()),DITARI!$E191))</f>
        <v/>
      </c>
      <c r="G187" s="484" t="str">
        <f aca="false">IF($E187="","",DITARI!$I191)</f>
        <v/>
      </c>
      <c r="H187" s="484" t="str">
        <f aca="false">IFERROR(IF($E187="","",DITARI!$H191),"")</f>
        <v/>
      </c>
      <c r="I187" s="487" t="n">
        <f aca="false">IF($E187="",0,IFERROR(DITARI!$F191,0))</f>
        <v>0</v>
      </c>
      <c r="J187" s="487" t="n">
        <f aca="false">IF($E187="",0,IFERROR(DITARI!$G191,0))</f>
        <v>0</v>
      </c>
      <c r="K187" s="484" t="str">
        <f aca="false">IF($E187="","",IFERROR(VLOOKUP($E187,PLANI_LLOGARIVE!$A:$I,9,FALSE()),""))</f>
        <v/>
      </c>
      <c r="L187" s="487" t="str">
        <f aca="false">IF($E187="","",$I187-$J187)</f>
        <v/>
      </c>
      <c r="M187" s="484" t="str">
        <f aca="false">IF($E187="","",IF($I187&gt;0,"DEBIT",IF($J187&gt;0,"KREDIT","ZERO")))</f>
        <v/>
      </c>
      <c r="N187" s="484" t="str">
        <f aca="false">IF($E187="","",TEXT($B187,"yyyymmdd")&amp;"-"&amp;TEXT(ROW(),"0000"))</f>
        <v/>
      </c>
      <c r="O187" s="101" t="str">
        <f aca="false">IF($E187="","",$E187&amp;"")</f>
        <v/>
      </c>
      <c r="P187" s="101" t="str">
        <f aca="false">IF(AND($O187&lt;&gt;"",$I187&lt;&gt;0),COUNTIFS($O$2:O187,$O187,$I$2:I187,"&gt;0"),"")</f>
        <v/>
      </c>
      <c r="Q187" s="101" t="str">
        <f aca="false">IF(AND($O187&lt;&gt;"",$J187&lt;&gt;0),COUNTIFS($O$2:O187,$O187,$J$2:J187,"&gt;0"),"")</f>
        <v/>
      </c>
      <c r="R187" s="101" t="str">
        <f aca="false">IF($P187="","",$O187&amp;"|"&amp;$P187)</f>
        <v/>
      </c>
      <c r="S187" s="101" t="str">
        <f aca="false">IF($Q187="","",$O187&amp;"|"&amp;$Q187)</f>
        <v/>
      </c>
      <c r="T187" s="101" t="str">
        <f aca="false">IF($O187="","",COUNTIF($O$2:O187,$O187))</f>
        <v/>
      </c>
      <c r="U187" s="101" t="str">
        <f aca="false">IF($O187="","",$O187&amp;"|"&amp;$T187)</f>
        <v/>
      </c>
      <c r="V187" s="488" t="n">
        <f aca="false">IF(OR(LEFT($D187,5)="MB-CL",LEFT($D187,6)="MB-RES"),0,$I187)</f>
        <v>0</v>
      </c>
      <c r="W187" s="488" t="n">
        <f aca="false">IF(OR(LEFT($D187,5)="MB-CL",LEFT($D187,6)="MB-RES"),0,$J187)</f>
        <v>0</v>
      </c>
      <c r="X187" s="101" t="str">
        <f aca="false">IF($E187="","",LEFT($E187,1))</f>
        <v/>
      </c>
      <c r="Y187" s="101" t="str">
        <f aca="false">IF($E187="","",LEFT($E187,2))</f>
        <v/>
      </c>
      <c r="Z187" s="101" t="str">
        <f aca="false">IF($E187="","",LEFT($E187,3))</f>
        <v/>
      </c>
      <c r="AA187" s="101" t="str">
        <f aca="false">IF($E187="","",LEFT($E187,4))</f>
        <v/>
      </c>
    </row>
    <row r="188" customFormat="false" ht="15" hidden="false" customHeight="true" outlineLevel="0" collapsed="false">
      <c r="A188" s="484" t="str">
        <f aca="false">IF(DITARI!$D192="","",ROW()-1)</f>
        <v/>
      </c>
      <c r="B188" s="485" t="str">
        <f aca="false">IF(DITARI!$D192="","",DITARI!$A192)</f>
        <v/>
      </c>
      <c r="C188" s="484" t="str">
        <f aca="false">IF(DITARI!$D192="","",DITARI!$B192)</f>
        <v/>
      </c>
      <c r="D188" s="484" t="str">
        <f aca="false">IF(DITARI!$D192="","",DITARI!$C192)</f>
        <v/>
      </c>
      <c r="E188" s="484" t="str">
        <f aca="false">IF(DITARI!$D192="","",TRIM(DITARI!$D192&amp;""))</f>
        <v/>
      </c>
      <c r="F188" s="484" t="str">
        <f aca="false">IF($E188="","",IFERROR(VLOOKUP($E188,PLANI_LLOGARIVE!$A:$I,2,FALSE()),DITARI!$E192))</f>
        <v/>
      </c>
      <c r="G188" s="484" t="str">
        <f aca="false">IF($E188="","",DITARI!$I192)</f>
        <v/>
      </c>
      <c r="H188" s="484" t="str">
        <f aca="false">IFERROR(IF($E188="","",DITARI!$H192),"")</f>
        <v/>
      </c>
      <c r="I188" s="487" t="n">
        <f aca="false">IF($E188="",0,IFERROR(DITARI!$F192,0))</f>
        <v>0</v>
      </c>
      <c r="J188" s="487" t="n">
        <f aca="false">IF($E188="",0,IFERROR(DITARI!$G192,0))</f>
        <v>0</v>
      </c>
      <c r="K188" s="484" t="str">
        <f aca="false">IF($E188="","",IFERROR(VLOOKUP($E188,PLANI_LLOGARIVE!$A:$I,9,FALSE()),""))</f>
        <v/>
      </c>
      <c r="L188" s="487" t="str">
        <f aca="false">IF($E188="","",$I188-$J188)</f>
        <v/>
      </c>
      <c r="M188" s="484" t="str">
        <f aca="false">IF($E188="","",IF($I188&gt;0,"DEBIT",IF($J188&gt;0,"KREDIT","ZERO")))</f>
        <v/>
      </c>
      <c r="N188" s="484" t="str">
        <f aca="false">IF($E188="","",TEXT($B188,"yyyymmdd")&amp;"-"&amp;TEXT(ROW(),"0000"))</f>
        <v/>
      </c>
      <c r="O188" s="101" t="str">
        <f aca="false">IF($E188="","",$E188&amp;"")</f>
        <v/>
      </c>
      <c r="P188" s="101" t="str">
        <f aca="false">IF(AND($O188&lt;&gt;"",$I188&lt;&gt;0),COUNTIFS($O$2:O188,$O188,$I$2:I188,"&gt;0"),"")</f>
        <v/>
      </c>
      <c r="Q188" s="101" t="str">
        <f aca="false">IF(AND($O188&lt;&gt;"",$J188&lt;&gt;0),COUNTIFS($O$2:O188,$O188,$J$2:J188,"&gt;0"),"")</f>
        <v/>
      </c>
      <c r="R188" s="101" t="str">
        <f aca="false">IF($P188="","",$O188&amp;"|"&amp;$P188)</f>
        <v/>
      </c>
      <c r="S188" s="101" t="str">
        <f aca="false">IF($Q188="","",$O188&amp;"|"&amp;$Q188)</f>
        <v/>
      </c>
      <c r="T188" s="101" t="str">
        <f aca="false">IF($O188="","",COUNTIF($O$2:O188,$O188))</f>
        <v/>
      </c>
      <c r="U188" s="101" t="str">
        <f aca="false">IF($O188="","",$O188&amp;"|"&amp;$T188)</f>
        <v/>
      </c>
      <c r="V188" s="488" t="n">
        <f aca="false">IF(OR(LEFT($D188,5)="MB-CL",LEFT($D188,6)="MB-RES"),0,$I188)</f>
        <v>0</v>
      </c>
      <c r="W188" s="488" t="n">
        <f aca="false">IF(OR(LEFT($D188,5)="MB-CL",LEFT($D188,6)="MB-RES"),0,$J188)</f>
        <v>0</v>
      </c>
      <c r="X188" s="101" t="str">
        <f aca="false">IF($E188="","",LEFT($E188,1))</f>
        <v/>
      </c>
      <c r="Y188" s="101" t="str">
        <f aca="false">IF($E188="","",LEFT($E188,2))</f>
        <v/>
      </c>
      <c r="Z188" s="101" t="str">
        <f aca="false">IF($E188="","",LEFT($E188,3))</f>
        <v/>
      </c>
      <c r="AA188" s="101" t="str">
        <f aca="false">IF($E188="","",LEFT($E188,4))</f>
        <v/>
      </c>
    </row>
    <row r="189" customFormat="false" ht="15" hidden="false" customHeight="true" outlineLevel="0" collapsed="false">
      <c r="A189" s="484" t="str">
        <f aca="false">IF(DITARI!$D193="","",ROW()-1)</f>
        <v/>
      </c>
      <c r="B189" s="485" t="str">
        <f aca="false">IF(DITARI!$D193="","",DITARI!$A193)</f>
        <v/>
      </c>
      <c r="C189" s="484" t="str">
        <f aca="false">IF(DITARI!$D193="","",DITARI!$B193)</f>
        <v/>
      </c>
      <c r="D189" s="484" t="str">
        <f aca="false">IF(DITARI!$D193="","",DITARI!$C193)</f>
        <v/>
      </c>
      <c r="E189" s="484" t="str">
        <f aca="false">IF(DITARI!$D193="","",TRIM(DITARI!$D193&amp;""))</f>
        <v/>
      </c>
      <c r="F189" s="484" t="str">
        <f aca="false">IF($E189="","",IFERROR(VLOOKUP($E189,PLANI_LLOGARIVE!$A:$I,2,FALSE()),DITARI!$E193))</f>
        <v/>
      </c>
      <c r="G189" s="484" t="str">
        <f aca="false">IF($E189="","",DITARI!$I193)</f>
        <v/>
      </c>
      <c r="H189" s="484" t="str">
        <f aca="false">IFERROR(IF($E189="","",DITARI!$H193),"")</f>
        <v/>
      </c>
      <c r="I189" s="487" t="n">
        <f aca="false">IF($E189="",0,IFERROR(DITARI!$F193,0))</f>
        <v>0</v>
      </c>
      <c r="J189" s="487" t="n">
        <f aca="false">IF($E189="",0,IFERROR(DITARI!$G193,0))</f>
        <v>0</v>
      </c>
      <c r="K189" s="484" t="str">
        <f aca="false">IF($E189="","",IFERROR(VLOOKUP($E189,PLANI_LLOGARIVE!$A:$I,9,FALSE()),""))</f>
        <v/>
      </c>
      <c r="L189" s="487" t="str">
        <f aca="false">IF($E189="","",$I189-$J189)</f>
        <v/>
      </c>
      <c r="M189" s="484" t="str">
        <f aca="false">IF($E189="","",IF($I189&gt;0,"DEBIT",IF($J189&gt;0,"KREDIT","ZERO")))</f>
        <v/>
      </c>
      <c r="N189" s="484" t="str">
        <f aca="false">IF($E189="","",TEXT($B189,"yyyymmdd")&amp;"-"&amp;TEXT(ROW(),"0000"))</f>
        <v/>
      </c>
      <c r="O189" s="101" t="str">
        <f aca="false">IF($E189="","",$E189&amp;"")</f>
        <v/>
      </c>
      <c r="P189" s="101" t="str">
        <f aca="false">IF(AND($O189&lt;&gt;"",$I189&lt;&gt;0),COUNTIFS($O$2:O189,$O189,$I$2:I189,"&gt;0"),"")</f>
        <v/>
      </c>
      <c r="Q189" s="101" t="str">
        <f aca="false">IF(AND($O189&lt;&gt;"",$J189&lt;&gt;0),COUNTIFS($O$2:O189,$O189,$J$2:J189,"&gt;0"),"")</f>
        <v/>
      </c>
      <c r="R189" s="101" t="str">
        <f aca="false">IF($P189="","",$O189&amp;"|"&amp;$P189)</f>
        <v/>
      </c>
      <c r="S189" s="101" t="str">
        <f aca="false">IF($Q189="","",$O189&amp;"|"&amp;$Q189)</f>
        <v/>
      </c>
      <c r="T189" s="101" t="str">
        <f aca="false">IF($O189="","",COUNTIF($O$2:O189,$O189))</f>
        <v/>
      </c>
      <c r="U189" s="101" t="str">
        <f aca="false">IF($O189="","",$O189&amp;"|"&amp;$T189)</f>
        <v/>
      </c>
      <c r="V189" s="488" t="n">
        <f aca="false">IF(OR(LEFT($D189,5)="MB-CL",LEFT($D189,6)="MB-RES"),0,$I189)</f>
        <v>0</v>
      </c>
      <c r="W189" s="488" t="n">
        <f aca="false">IF(OR(LEFT($D189,5)="MB-CL",LEFT($D189,6)="MB-RES"),0,$J189)</f>
        <v>0</v>
      </c>
      <c r="X189" s="101" t="str">
        <f aca="false">IF($E189="","",LEFT($E189,1))</f>
        <v/>
      </c>
      <c r="Y189" s="101" t="str">
        <f aca="false">IF($E189="","",LEFT($E189,2))</f>
        <v/>
      </c>
      <c r="Z189" s="101" t="str">
        <f aca="false">IF($E189="","",LEFT($E189,3))</f>
        <v/>
      </c>
      <c r="AA189" s="101" t="str">
        <f aca="false">IF($E189="","",LEFT($E189,4))</f>
        <v/>
      </c>
    </row>
    <row r="190" customFormat="false" ht="15" hidden="false" customHeight="true" outlineLevel="0" collapsed="false">
      <c r="A190" s="484" t="str">
        <f aca="false">IF(DITARI!$D194="","",ROW()-1)</f>
        <v/>
      </c>
      <c r="B190" s="485" t="str">
        <f aca="false">IF(DITARI!$D194="","",DITARI!$A194)</f>
        <v/>
      </c>
      <c r="C190" s="484" t="str">
        <f aca="false">IF(DITARI!$D194="","",DITARI!$B194)</f>
        <v/>
      </c>
      <c r="D190" s="484" t="str">
        <f aca="false">IF(DITARI!$D194="","",DITARI!$C194)</f>
        <v/>
      </c>
      <c r="E190" s="484" t="str">
        <f aca="false">IF(DITARI!$D194="","",TRIM(DITARI!$D194&amp;""))</f>
        <v/>
      </c>
      <c r="F190" s="484" t="str">
        <f aca="false">IF($E190="","",IFERROR(VLOOKUP($E190,PLANI_LLOGARIVE!$A:$I,2,FALSE()),DITARI!$E194))</f>
        <v/>
      </c>
      <c r="G190" s="484" t="str">
        <f aca="false">IF($E190="","",DITARI!$I194)</f>
        <v/>
      </c>
      <c r="H190" s="484" t="str">
        <f aca="false">IFERROR(IF($E190="","",DITARI!$H194),"")</f>
        <v/>
      </c>
      <c r="I190" s="487" t="n">
        <f aca="false">IF($E190="",0,IFERROR(DITARI!$F194,0))</f>
        <v>0</v>
      </c>
      <c r="J190" s="487" t="n">
        <f aca="false">IF($E190="",0,IFERROR(DITARI!$G194,0))</f>
        <v>0</v>
      </c>
      <c r="K190" s="484" t="str">
        <f aca="false">IF($E190="","",IFERROR(VLOOKUP($E190,PLANI_LLOGARIVE!$A:$I,9,FALSE()),""))</f>
        <v/>
      </c>
      <c r="L190" s="487" t="str">
        <f aca="false">IF($E190="","",$I190-$J190)</f>
        <v/>
      </c>
      <c r="M190" s="484" t="str">
        <f aca="false">IF($E190="","",IF($I190&gt;0,"DEBIT",IF($J190&gt;0,"KREDIT","ZERO")))</f>
        <v/>
      </c>
      <c r="N190" s="484" t="str">
        <f aca="false">IF($E190="","",TEXT($B190,"yyyymmdd")&amp;"-"&amp;TEXT(ROW(),"0000"))</f>
        <v/>
      </c>
      <c r="O190" s="101" t="str">
        <f aca="false">IF($E190="","",$E190&amp;"")</f>
        <v/>
      </c>
      <c r="P190" s="101" t="str">
        <f aca="false">IF(AND($O190&lt;&gt;"",$I190&lt;&gt;0),COUNTIFS($O$2:O190,$O190,$I$2:I190,"&gt;0"),"")</f>
        <v/>
      </c>
      <c r="Q190" s="101" t="str">
        <f aca="false">IF(AND($O190&lt;&gt;"",$J190&lt;&gt;0),COUNTIFS($O$2:O190,$O190,$J$2:J190,"&gt;0"),"")</f>
        <v/>
      </c>
      <c r="R190" s="101" t="str">
        <f aca="false">IF($P190="","",$O190&amp;"|"&amp;$P190)</f>
        <v/>
      </c>
      <c r="S190" s="101" t="str">
        <f aca="false">IF($Q190="","",$O190&amp;"|"&amp;$Q190)</f>
        <v/>
      </c>
      <c r="T190" s="101" t="str">
        <f aca="false">IF($O190="","",COUNTIF($O$2:O190,$O190))</f>
        <v/>
      </c>
      <c r="U190" s="101" t="str">
        <f aca="false">IF($O190="","",$O190&amp;"|"&amp;$T190)</f>
        <v/>
      </c>
      <c r="V190" s="488" t="n">
        <f aca="false">IF(OR(LEFT($D190,5)="MB-CL",LEFT($D190,6)="MB-RES"),0,$I190)</f>
        <v>0</v>
      </c>
      <c r="W190" s="488" t="n">
        <f aca="false">IF(OR(LEFT($D190,5)="MB-CL",LEFT($D190,6)="MB-RES"),0,$J190)</f>
        <v>0</v>
      </c>
      <c r="X190" s="101" t="str">
        <f aca="false">IF($E190="","",LEFT($E190,1))</f>
        <v/>
      </c>
      <c r="Y190" s="101" t="str">
        <f aca="false">IF($E190="","",LEFT($E190,2))</f>
        <v/>
      </c>
      <c r="Z190" s="101" t="str">
        <f aca="false">IF($E190="","",LEFT($E190,3))</f>
        <v/>
      </c>
      <c r="AA190" s="101" t="str">
        <f aca="false">IF($E190="","",LEFT($E190,4))</f>
        <v/>
      </c>
    </row>
    <row r="191" customFormat="false" ht="15" hidden="false" customHeight="true" outlineLevel="0" collapsed="false">
      <c r="A191" s="484" t="str">
        <f aca="false">IF(DITARI!$D195="","",ROW()-1)</f>
        <v/>
      </c>
      <c r="B191" s="485" t="str">
        <f aca="false">IF(DITARI!$D195="","",DITARI!$A195)</f>
        <v/>
      </c>
      <c r="C191" s="484" t="str">
        <f aca="false">IF(DITARI!$D195="","",DITARI!$B195)</f>
        <v/>
      </c>
      <c r="D191" s="484" t="str">
        <f aca="false">IF(DITARI!$D195="","",DITARI!$C195)</f>
        <v/>
      </c>
      <c r="E191" s="484" t="str">
        <f aca="false">IF(DITARI!$D195="","",TRIM(DITARI!$D195&amp;""))</f>
        <v/>
      </c>
      <c r="F191" s="484" t="str">
        <f aca="false">IF($E191="","",IFERROR(VLOOKUP($E191,PLANI_LLOGARIVE!$A:$I,2,FALSE()),DITARI!$E195))</f>
        <v/>
      </c>
      <c r="G191" s="484" t="str">
        <f aca="false">IF($E191="","",DITARI!$I195)</f>
        <v/>
      </c>
      <c r="H191" s="484" t="str">
        <f aca="false">IFERROR(IF($E191="","",DITARI!$H195),"")</f>
        <v/>
      </c>
      <c r="I191" s="487" t="n">
        <f aca="false">IF($E191="",0,IFERROR(DITARI!$F195,0))</f>
        <v>0</v>
      </c>
      <c r="J191" s="487" t="n">
        <f aca="false">IF($E191="",0,IFERROR(DITARI!$G195,0))</f>
        <v>0</v>
      </c>
      <c r="K191" s="484" t="str">
        <f aca="false">IF($E191="","",IFERROR(VLOOKUP($E191,PLANI_LLOGARIVE!$A:$I,9,FALSE()),""))</f>
        <v/>
      </c>
      <c r="L191" s="487" t="str">
        <f aca="false">IF($E191="","",$I191-$J191)</f>
        <v/>
      </c>
      <c r="M191" s="484" t="str">
        <f aca="false">IF($E191="","",IF($I191&gt;0,"DEBIT",IF($J191&gt;0,"KREDIT","ZERO")))</f>
        <v/>
      </c>
      <c r="N191" s="484" t="str">
        <f aca="false">IF($E191="","",TEXT($B191,"yyyymmdd")&amp;"-"&amp;TEXT(ROW(),"0000"))</f>
        <v/>
      </c>
      <c r="O191" s="101" t="str">
        <f aca="false">IF($E191="","",$E191&amp;"")</f>
        <v/>
      </c>
      <c r="P191" s="101" t="str">
        <f aca="false">IF(AND($O191&lt;&gt;"",$I191&lt;&gt;0),COUNTIFS($O$2:O191,$O191,$I$2:I191,"&gt;0"),"")</f>
        <v/>
      </c>
      <c r="Q191" s="101" t="str">
        <f aca="false">IF(AND($O191&lt;&gt;"",$J191&lt;&gt;0),COUNTIFS($O$2:O191,$O191,$J$2:J191,"&gt;0"),"")</f>
        <v/>
      </c>
      <c r="R191" s="101" t="str">
        <f aca="false">IF($P191="","",$O191&amp;"|"&amp;$P191)</f>
        <v/>
      </c>
      <c r="S191" s="101" t="str">
        <f aca="false">IF($Q191="","",$O191&amp;"|"&amp;$Q191)</f>
        <v/>
      </c>
      <c r="T191" s="101" t="str">
        <f aca="false">IF($O191="","",COUNTIF($O$2:O191,$O191))</f>
        <v/>
      </c>
      <c r="U191" s="101" t="str">
        <f aca="false">IF($O191="","",$O191&amp;"|"&amp;$T191)</f>
        <v/>
      </c>
      <c r="V191" s="488" t="n">
        <f aca="false">IF(OR(LEFT($D191,5)="MB-CL",LEFT($D191,6)="MB-RES"),0,$I191)</f>
        <v>0</v>
      </c>
      <c r="W191" s="488" t="n">
        <f aca="false">IF(OR(LEFT($D191,5)="MB-CL",LEFT($D191,6)="MB-RES"),0,$J191)</f>
        <v>0</v>
      </c>
      <c r="X191" s="101" t="str">
        <f aca="false">IF($E191="","",LEFT($E191,1))</f>
        <v/>
      </c>
      <c r="Y191" s="101" t="str">
        <f aca="false">IF($E191="","",LEFT($E191,2))</f>
        <v/>
      </c>
      <c r="Z191" s="101" t="str">
        <f aca="false">IF($E191="","",LEFT($E191,3))</f>
        <v/>
      </c>
      <c r="AA191" s="101" t="str">
        <f aca="false">IF($E191="","",LEFT($E191,4))</f>
        <v/>
      </c>
    </row>
    <row r="192" customFormat="false" ht="15" hidden="false" customHeight="true" outlineLevel="0" collapsed="false">
      <c r="A192" s="484" t="str">
        <f aca="false">IF(DITARI!$D196="","",ROW()-1)</f>
        <v/>
      </c>
      <c r="B192" s="485" t="str">
        <f aca="false">IF(DITARI!$D196="","",DITARI!$A196)</f>
        <v/>
      </c>
      <c r="C192" s="484" t="str">
        <f aca="false">IF(DITARI!$D196="","",DITARI!$B196)</f>
        <v/>
      </c>
      <c r="D192" s="484" t="str">
        <f aca="false">IF(DITARI!$D196="","",DITARI!$C196)</f>
        <v/>
      </c>
      <c r="E192" s="484" t="str">
        <f aca="false">IF(DITARI!$D196="","",TRIM(DITARI!$D196&amp;""))</f>
        <v/>
      </c>
      <c r="F192" s="484" t="str">
        <f aca="false">IF($E192="","",IFERROR(VLOOKUP($E192,PLANI_LLOGARIVE!$A:$I,2,FALSE()),DITARI!$E196))</f>
        <v/>
      </c>
      <c r="G192" s="484" t="str">
        <f aca="false">IF($E192="","",DITARI!$I196)</f>
        <v/>
      </c>
      <c r="H192" s="484" t="str">
        <f aca="false">IFERROR(IF($E192="","",DITARI!$H196),"")</f>
        <v/>
      </c>
      <c r="I192" s="487" t="n">
        <f aca="false">IF($E192="",0,IFERROR(DITARI!$F196,0))</f>
        <v>0</v>
      </c>
      <c r="J192" s="487" t="n">
        <f aca="false">IF($E192="",0,IFERROR(DITARI!$G196,0))</f>
        <v>0</v>
      </c>
      <c r="K192" s="484" t="str">
        <f aca="false">IF($E192="","",IFERROR(VLOOKUP($E192,PLANI_LLOGARIVE!$A:$I,9,FALSE()),""))</f>
        <v/>
      </c>
      <c r="L192" s="487" t="str">
        <f aca="false">IF($E192="","",$I192-$J192)</f>
        <v/>
      </c>
      <c r="M192" s="484" t="str">
        <f aca="false">IF($E192="","",IF($I192&gt;0,"DEBIT",IF($J192&gt;0,"KREDIT","ZERO")))</f>
        <v/>
      </c>
      <c r="N192" s="484" t="str">
        <f aca="false">IF($E192="","",TEXT($B192,"yyyymmdd")&amp;"-"&amp;TEXT(ROW(),"0000"))</f>
        <v/>
      </c>
      <c r="O192" s="101" t="str">
        <f aca="false">IF($E192="","",$E192&amp;"")</f>
        <v/>
      </c>
      <c r="P192" s="101" t="str">
        <f aca="false">IF(AND($O192&lt;&gt;"",$I192&lt;&gt;0),COUNTIFS($O$2:O192,$O192,$I$2:I192,"&gt;0"),"")</f>
        <v/>
      </c>
      <c r="Q192" s="101" t="str">
        <f aca="false">IF(AND($O192&lt;&gt;"",$J192&lt;&gt;0),COUNTIFS($O$2:O192,$O192,$J$2:J192,"&gt;0"),"")</f>
        <v/>
      </c>
      <c r="R192" s="101" t="str">
        <f aca="false">IF($P192="","",$O192&amp;"|"&amp;$P192)</f>
        <v/>
      </c>
      <c r="S192" s="101" t="str">
        <f aca="false">IF($Q192="","",$O192&amp;"|"&amp;$Q192)</f>
        <v/>
      </c>
      <c r="T192" s="101" t="str">
        <f aca="false">IF($O192="","",COUNTIF($O$2:O192,$O192))</f>
        <v/>
      </c>
      <c r="U192" s="101" t="str">
        <f aca="false">IF($O192="","",$O192&amp;"|"&amp;$T192)</f>
        <v/>
      </c>
      <c r="V192" s="488" t="n">
        <f aca="false">IF(OR(LEFT($D192,5)="MB-CL",LEFT($D192,6)="MB-RES"),0,$I192)</f>
        <v>0</v>
      </c>
      <c r="W192" s="488" t="n">
        <f aca="false">IF(OR(LEFT($D192,5)="MB-CL",LEFT($D192,6)="MB-RES"),0,$J192)</f>
        <v>0</v>
      </c>
      <c r="X192" s="101" t="str">
        <f aca="false">IF($E192="","",LEFT($E192,1))</f>
        <v/>
      </c>
      <c r="Y192" s="101" t="str">
        <f aca="false">IF($E192="","",LEFT($E192,2))</f>
        <v/>
      </c>
      <c r="Z192" s="101" t="str">
        <f aca="false">IF($E192="","",LEFT($E192,3))</f>
        <v/>
      </c>
      <c r="AA192" s="101" t="str">
        <f aca="false">IF($E192="","",LEFT($E192,4))</f>
        <v/>
      </c>
    </row>
    <row r="193" customFormat="false" ht="15" hidden="false" customHeight="true" outlineLevel="0" collapsed="false">
      <c r="A193" s="484" t="str">
        <f aca="false">IF(DITARI!$D197="","",ROW()-1)</f>
        <v/>
      </c>
      <c r="B193" s="485" t="str">
        <f aca="false">IF(DITARI!$D197="","",DITARI!$A197)</f>
        <v/>
      </c>
      <c r="C193" s="484" t="str">
        <f aca="false">IF(DITARI!$D197="","",DITARI!$B197)</f>
        <v/>
      </c>
      <c r="D193" s="484" t="str">
        <f aca="false">IF(DITARI!$D197="","",DITARI!$C197)</f>
        <v/>
      </c>
      <c r="E193" s="484" t="str">
        <f aca="false">IF(DITARI!$D197="","",TRIM(DITARI!$D197&amp;""))</f>
        <v/>
      </c>
      <c r="F193" s="484" t="str">
        <f aca="false">IF($E193="","",IFERROR(VLOOKUP($E193,PLANI_LLOGARIVE!$A:$I,2,FALSE()),DITARI!$E197))</f>
        <v/>
      </c>
      <c r="G193" s="484" t="str">
        <f aca="false">IF($E193="","",DITARI!$I197)</f>
        <v/>
      </c>
      <c r="H193" s="484" t="str">
        <f aca="false">IFERROR(IF($E193="","",DITARI!$H197),"")</f>
        <v/>
      </c>
      <c r="I193" s="487" t="n">
        <f aca="false">IF($E193="",0,IFERROR(DITARI!$F197,0))</f>
        <v>0</v>
      </c>
      <c r="J193" s="487" t="n">
        <f aca="false">IF($E193="",0,IFERROR(DITARI!$G197,0))</f>
        <v>0</v>
      </c>
      <c r="K193" s="484" t="str">
        <f aca="false">IF($E193="","",IFERROR(VLOOKUP($E193,PLANI_LLOGARIVE!$A:$I,9,FALSE()),""))</f>
        <v/>
      </c>
      <c r="L193" s="487" t="str">
        <f aca="false">IF($E193="","",$I193-$J193)</f>
        <v/>
      </c>
      <c r="M193" s="484" t="str">
        <f aca="false">IF($E193="","",IF($I193&gt;0,"DEBIT",IF($J193&gt;0,"KREDIT","ZERO")))</f>
        <v/>
      </c>
      <c r="N193" s="484" t="str">
        <f aca="false">IF($E193="","",TEXT($B193,"yyyymmdd")&amp;"-"&amp;TEXT(ROW(),"0000"))</f>
        <v/>
      </c>
      <c r="O193" s="101" t="str">
        <f aca="false">IF($E193="","",$E193&amp;"")</f>
        <v/>
      </c>
      <c r="P193" s="101" t="str">
        <f aca="false">IF(AND($O193&lt;&gt;"",$I193&lt;&gt;0),COUNTIFS($O$2:O193,$O193,$I$2:I193,"&gt;0"),"")</f>
        <v/>
      </c>
      <c r="Q193" s="101" t="str">
        <f aca="false">IF(AND($O193&lt;&gt;"",$J193&lt;&gt;0),COUNTIFS($O$2:O193,$O193,$J$2:J193,"&gt;0"),"")</f>
        <v/>
      </c>
      <c r="R193" s="101" t="str">
        <f aca="false">IF($P193="","",$O193&amp;"|"&amp;$P193)</f>
        <v/>
      </c>
      <c r="S193" s="101" t="str">
        <f aca="false">IF($Q193="","",$O193&amp;"|"&amp;$Q193)</f>
        <v/>
      </c>
      <c r="T193" s="101" t="str">
        <f aca="false">IF($O193="","",COUNTIF($O$2:O193,$O193))</f>
        <v/>
      </c>
      <c r="U193" s="101" t="str">
        <f aca="false">IF($O193="","",$O193&amp;"|"&amp;$T193)</f>
        <v/>
      </c>
      <c r="V193" s="488" t="n">
        <f aca="false">IF(OR(LEFT($D193,5)="MB-CL",LEFT($D193,6)="MB-RES"),0,$I193)</f>
        <v>0</v>
      </c>
      <c r="W193" s="488" t="n">
        <f aca="false">IF(OR(LEFT($D193,5)="MB-CL",LEFT($D193,6)="MB-RES"),0,$J193)</f>
        <v>0</v>
      </c>
      <c r="X193" s="101" t="str">
        <f aca="false">IF($E193="","",LEFT($E193,1))</f>
        <v/>
      </c>
      <c r="Y193" s="101" t="str">
        <f aca="false">IF($E193="","",LEFT($E193,2))</f>
        <v/>
      </c>
      <c r="Z193" s="101" t="str">
        <f aca="false">IF($E193="","",LEFT($E193,3))</f>
        <v/>
      </c>
      <c r="AA193" s="101" t="str">
        <f aca="false">IF($E193="","",LEFT($E193,4))</f>
        <v/>
      </c>
    </row>
    <row r="194" customFormat="false" ht="15" hidden="false" customHeight="true" outlineLevel="0" collapsed="false">
      <c r="A194" s="484" t="str">
        <f aca="false">IF(DITARI!$D198="","",ROW()-1)</f>
        <v/>
      </c>
      <c r="B194" s="485" t="str">
        <f aca="false">IF(DITARI!$D198="","",DITARI!$A198)</f>
        <v/>
      </c>
      <c r="C194" s="484" t="str">
        <f aca="false">IF(DITARI!$D198="","",DITARI!$B198)</f>
        <v/>
      </c>
      <c r="D194" s="484" t="str">
        <f aca="false">IF(DITARI!$D198="","",DITARI!$C198)</f>
        <v/>
      </c>
      <c r="E194" s="484" t="str">
        <f aca="false">IF(DITARI!$D198="","",TRIM(DITARI!$D198&amp;""))</f>
        <v/>
      </c>
      <c r="F194" s="484" t="str">
        <f aca="false">IF($E194="","",IFERROR(VLOOKUP($E194,PLANI_LLOGARIVE!$A:$I,2,FALSE()),DITARI!$E198))</f>
        <v/>
      </c>
      <c r="G194" s="484" t="str">
        <f aca="false">IF($E194="","",DITARI!$I198)</f>
        <v/>
      </c>
      <c r="H194" s="484" t="str">
        <f aca="false">IFERROR(IF($E194="","",DITARI!$H198),"")</f>
        <v/>
      </c>
      <c r="I194" s="487" t="n">
        <f aca="false">IF($E194="",0,IFERROR(DITARI!$F198,0))</f>
        <v>0</v>
      </c>
      <c r="J194" s="487" t="n">
        <f aca="false">IF($E194="",0,IFERROR(DITARI!$G198,0))</f>
        <v>0</v>
      </c>
      <c r="K194" s="484" t="str">
        <f aca="false">IF($E194="","",IFERROR(VLOOKUP($E194,PLANI_LLOGARIVE!$A:$I,9,FALSE()),""))</f>
        <v/>
      </c>
      <c r="L194" s="487" t="str">
        <f aca="false">IF($E194="","",$I194-$J194)</f>
        <v/>
      </c>
      <c r="M194" s="484" t="str">
        <f aca="false">IF($E194="","",IF($I194&gt;0,"DEBIT",IF($J194&gt;0,"KREDIT","ZERO")))</f>
        <v/>
      </c>
      <c r="N194" s="484" t="str">
        <f aca="false">IF($E194="","",TEXT($B194,"yyyymmdd")&amp;"-"&amp;TEXT(ROW(),"0000"))</f>
        <v/>
      </c>
      <c r="O194" s="101" t="str">
        <f aca="false">IF($E194="","",$E194&amp;"")</f>
        <v/>
      </c>
      <c r="P194" s="101" t="str">
        <f aca="false">IF(AND($O194&lt;&gt;"",$I194&lt;&gt;0),COUNTIFS($O$2:O194,$O194,$I$2:I194,"&gt;0"),"")</f>
        <v/>
      </c>
      <c r="Q194" s="101" t="str">
        <f aca="false">IF(AND($O194&lt;&gt;"",$J194&lt;&gt;0),COUNTIFS($O$2:O194,$O194,$J$2:J194,"&gt;0"),"")</f>
        <v/>
      </c>
      <c r="R194" s="101" t="str">
        <f aca="false">IF($P194="","",$O194&amp;"|"&amp;$P194)</f>
        <v/>
      </c>
      <c r="S194" s="101" t="str">
        <f aca="false">IF($Q194="","",$O194&amp;"|"&amp;$Q194)</f>
        <v/>
      </c>
      <c r="T194" s="101" t="str">
        <f aca="false">IF($O194="","",COUNTIF($O$2:O194,$O194))</f>
        <v/>
      </c>
      <c r="U194" s="101" t="str">
        <f aca="false">IF($O194="","",$O194&amp;"|"&amp;$T194)</f>
        <v/>
      </c>
      <c r="V194" s="488" t="n">
        <f aca="false">IF(OR(LEFT($D194,5)="MB-CL",LEFT($D194,6)="MB-RES"),0,$I194)</f>
        <v>0</v>
      </c>
      <c r="W194" s="488" t="n">
        <f aca="false">IF(OR(LEFT($D194,5)="MB-CL",LEFT($D194,6)="MB-RES"),0,$J194)</f>
        <v>0</v>
      </c>
      <c r="X194" s="101" t="str">
        <f aca="false">IF($E194="","",LEFT($E194,1))</f>
        <v/>
      </c>
      <c r="Y194" s="101" t="str">
        <f aca="false">IF($E194="","",LEFT($E194,2))</f>
        <v/>
      </c>
      <c r="Z194" s="101" t="str">
        <f aca="false">IF($E194="","",LEFT($E194,3))</f>
        <v/>
      </c>
      <c r="AA194" s="101" t="str">
        <f aca="false">IF($E194="","",LEFT($E194,4))</f>
        <v/>
      </c>
    </row>
    <row r="195" customFormat="false" ht="15" hidden="false" customHeight="true" outlineLevel="0" collapsed="false">
      <c r="A195" s="484" t="str">
        <f aca="false">IF(DITARI!$D199="","",ROW()-1)</f>
        <v/>
      </c>
      <c r="B195" s="485" t="str">
        <f aca="false">IF(DITARI!$D199="","",DITARI!$A199)</f>
        <v/>
      </c>
      <c r="C195" s="484" t="str">
        <f aca="false">IF(DITARI!$D199="","",DITARI!$B199)</f>
        <v/>
      </c>
      <c r="D195" s="484" t="str">
        <f aca="false">IF(DITARI!$D199="","",DITARI!$C199)</f>
        <v/>
      </c>
      <c r="E195" s="484" t="str">
        <f aca="false">IF(DITARI!$D199="","",TRIM(DITARI!$D199&amp;""))</f>
        <v/>
      </c>
      <c r="F195" s="484" t="str">
        <f aca="false">IF($E195="","",IFERROR(VLOOKUP($E195,PLANI_LLOGARIVE!$A:$I,2,FALSE()),DITARI!$E199))</f>
        <v/>
      </c>
      <c r="G195" s="484" t="str">
        <f aca="false">IF($E195="","",DITARI!$I199)</f>
        <v/>
      </c>
      <c r="H195" s="484" t="str">
        <f aca="false">IFERROR(IF($E195="","",DITARI!$H199),"")</f>
        <v/>
      </c>
      <c r="I195" s="487" t="n">
        <f aca="false">IF($E195="",0,IFERROR(DITARI!$F199,0))</f>
        <v>0</v>
      </c>
      <c r="J195" s="487" t="n">
        <f aca="false">IF($E195="",0,IFERROR(DITARI!$G199,0))</f>
        <v>0</v>
      </c>
      <c r="K195" s="484" t="str">
        <f aca="false">IF($E195="","",IFERROR(VLOOKUP($E195,PLANI_LLOGARIVE!$A:$I,9,FALSE()),""))</f>
        <v/>
      </c>
      <c r="L195" s="487" t="str">
        <f aca="false">IF($E195="","",$I195-$J195)</f>
        <v/>
      </c>
      <c r="M195" s="484" t="str">
        <f aca="false">IF($E195="","",IF($I195&gt;0,"DEBIT",IF($J195&gt;0,"KREDIT","ZERO")))</f>
        <v/>
      </c>
      <c r="N195" s="484" t="str">
        <f aca="false">IF($E195="","",TEXT($B195,"yyyymmdd")&amp;"-"&amp;TEXT(ROW(),"0000"))</f>
        <v/>
      </c>
      <c r="O195" s="101" t="str">
        <f aca="false">IF($E195="","",$E195&amp;"")</f>
        <v/>
      </c>
      <c r="P195" s="101" t="str">
        <f aca="false">IF(AND($O195&lt;&gt;"",$I195&lt;&gt;0),COUNTIFS($O$2:O195,$O195,$I$2:I195,"&gt;0"),"")</f>
        <v/>
      </c>
      <c r="Q195" s="101" t="str">
        <f aca="false">IF(AND($O195&lt;&gt;"",$J195&lt;&gt;0),COUNTIFS($O$2:O195,$O195,$J$2:J195,"&gt;0"),"")</f>
        <v/>
      </c>
      <c r="R195" s="101" t="str">
        <f aca="false">IF($P195="","",$O195&amp;"|"&amp;$P195)</f>
        <v/>
      </c>
      <c r="S195" s="101" t="str">
        <f aca="false">IF($Q195="","",$O195&amp;"|"&amp;$Q195)</f>
        <v/>
      </c>
      <c r="T195" s="101" t="str">
        <f aca="false">IF($O195="","",COUNTIF($O$2:O195,$O195))</f>
        <v/>
      </c>
      <c r="U195" s="101" t="str">
        <f aca="false">IF($O195="","",$O195&amp;"|"&amp;$T195)</f>
        <v/>
      </c>
      <c r="V195" s="488" t="n">
        <f aca="false">IF(OR(LEFT($D195,5)="MB-CL",LEFT($D195,6)="MB-RES"),0,$I195)</f>
        <v>0</v>
      </c>
      <c r="W195" s="488" t="n">
        <f aca="false">IF(OR(LEFT($D195,5)="MB-CL",LEFT($D195,6)="MB-RES"),0,$J195)</f>
        <v>0</v>
      </c>
      <c r="X195" s="101" t="str">
        <f aca="false">IF($E195="","",LEFT($E195,1))</f>
        <v/>
      </c>
      <c r="Y195" s="101" t="str">
        <f aca="false">IF($E195="","",LEFT($E195,2))</f>
        <v/>
      </c>
      <c r="Z195" s="101" t="str">
        <f aca="false">IF($E195="","",LEFT($E195,3))</f>
        <v/>
      </c>
      <c r="AA195" s="101" t="str">
        <f aca="false">IF($E195="","",LEFT($E195,4))</f>
        <v/>
      </c>
    </row>
    <row r="196" customFormat="false" ht="15" hidden="false" customHeight="true" outlineLevel="0" collapsed="false">
      <c r="A196" s="484" t="str">
        <f aca="false">IF(DITARI!$D200="","",ROW()-1)</f>
        <v/>
      </c>
      <c r="B196" s="485" t="str">
        <f aca="false">IF(DITARI!$D200="","",DITARI!$A200)</f>
        <v/>
      </c>
      <c r="C196" s="484" t="str">
        <f aca="false">IF(DITARI!$D200="","",DITARI!$B200)</f>
        <v/>
      </c>
      <c r="D196" s="484" t="str">
        <f aca="false">IF(DITARI!$D200="","",DITARI!$C200)</f>
        <v/>
      </c>
      <c r="E196" s="484" t="str">
        <f aca="false">IF(DITARI!$D200="","",TRIM(DITARI!$D200&amp;""))</f>
        <v/>
      </c>
      <c r="F196" s="484" t="str">
        <f aca="false">IF($E196="","",IFERROR(VLOOKUP($E196,PLANI_LLOGARIVE!$A:$I,2,FALSE()),DITARI!$E200))</f>
        <v/>
      </c>
      <c r="G196" s="484" t="str">
        <f aca="false">IF($E196="","",DITARI!$I200)</f>
        <v/>
      </c>
      <c r="H196" s="484" t="str">
        <f aca="false">IFERROR(IF($E196="","",DITARI!$H200),"")</f>
        <v/>
      </c>
      <c r="I196" s="487" t="n">
        <f aca="false">IF($E196="",0,IFERROR(DITARI!$F200,0))</f>
        <v>0</v>
      </c>
      <c r="J196" s="487" t="n">
        <f aca="false">IF($E196="",0,IFERROR(DITARI!$G200,0))</f>
        <v>0</v>
      </c>
      <c r="K196" s="484" t="str">
        <f aca="false">IF($E196="","",IFERROR(VLOOKUP($E196,PLANI_LLOGARIVE!$A:$I,9,FALSE()),""))</f>
        <v/>
      </c>
      <c r="L196" s="487" t="str">
        <f aca="false">IF($E196="","",$I196-$J196)</f>
        <v/>
      </c>
      <c r="M196" s="484" t="str">
        <f aca="false">IF($E196="","",IF($I196&gt;0,"DEBIT",IF($J196&gt;0,"KREDIT","ZERO")))</f>
        <v/>
      </c>
      <c r="N196" s="484" t="str">
        <f aca="false">IF($E196="","",TEXT($B196,"yyyymmdd")&amp;"-"&amp;TEXT(ROW(),"0000"))</f>
        <v/>
      </c>
      <c r="O196" s="101" t="str">
        <f aca="false">IF($E196="","",$E196&amp;"")</f>
        <v/>
      </c>
      <c r="P196" s="101" t="str">
        <f aca="false">IF(AND($O196&lt;&gt;"",$I196&lt;&gt;0),COUNTIFS($O$2:O196,$O196,$I$2:I196,"&gt;0"),"")</f>
        <v/>
      </c>
      <c r="Q196" s="101" t="str">
        <f aca="false">IF(AND($O196&lt;&gt;"",$J196&lt;&gt;0),COUNTIFS($O$2:O196,$O196,$J$2:J196,"&gt;0"),"")</f>
        <v/>
      </c>
      <c r="R196" s="101" t="str">
        <f aca="false">IF($P196="","",$O196&amp;"|"&amp;$P196)</f>
        <v/>
      </c>
      <c r="S196" s="101" t="str">
        <f aca="false">IF($Q196="","",$O196&amp;"|"&amp;$Q196)</f>
        <v/>
      </c>
      <c r="T196" s="101" t="str">
        <f aca="false">IF($O196="","",COUNTIF($O$2:O196,$O196))</f>
        <v/>
      </c>
      <c r="U196" s="101" t="str">
        <f aca="false">IF($O196="","",$O196&amp;"|"&amp;$T196)</f>
        <v/>
      </c>
      <c r="V196" s="488" t="n">
        <f aca="false">IF(OR(LEFT($D196,5)="MB-CL",LEFT($D196,6)="MB-RES"),0,$I196)</f>
        <v>0</v>
      </c>
      <c r="W196" s="488" t="n">
        <f aca="false">IF(OR(LEFT($D196,5)="MB-CL",LEFT($D196,6)="MB-RES"),0,$J196)</f>
        <v>0</v>
      </c>
      <c r="X196" s="101" t="str">
        <f aca="false">IF($E196="","",LEFT($E196,1))</f>
        <v/>
      </c>
      <c r="Y196" s="101" t="str">
        <f aca="false">IF($E196="","",LEFT($E196,2))</f>
        <v/>
      </c>
      <c r="Z196" s="101" t="str">
        <f aca="false">IF($E196="","",LEFT($E196,3))</f>
        <v/>
      </c>
      <c r="AA196" s="101" t="str">
        <f aca="false">IF($E196="","",LEFT($E196,4))</f>
        <v/>
      </c>
    </row>
    <row r="197" customFormat="false" ht="15" hidden="false" customHeight="true" outlineLevel="0" collapsed="false">
      <c r="A197" s="484" t="str">
        <f aca="false">IF(DITARI!$D201="","",ROW()-1)</f>
        <v/>
      </c>
      <c r="B197" s="485" t="str">
        <f aca="false">IF(DITARI!$D201="","",DITARI!$A201)</f>
        <v/>
      </c>
      <c r="C197" s="484" t="str">
        <f aca="false">IF(DITARI!$D201="","",DITARI!$B201)</f>
        <v/>
      </c>
      <c r="D197" s="484" t="str">
        <f aca="false">IF(DITARI!$D201="","",DITARI!$C201)</f>
        <v/>
      </c>
      <c r="E197" s="484" t="str">
        <f aca="false">IF(DITARI!$D201="","",TRIM(DITARI!$D201&amp;""))</f>
        <v/>
      </c>
      <c r="F197" s="484" t="str">
        <f aca="false">IF($E197="","",IFERROR(VLOOKUP($E197,PLANI_LLOGARIVE!$A:$I,2,FALSE()),DITARI!$E201))</f>
        <v/>
      </c>
      <c r="G197" s="484" t="str">
        <f aca="false">IF($E197="","",DITARI!$I201)</f>
        <v/>
      </c>
      <c r="H197" s="484" t="str">
        <f aca="false">IFERROR(IF($E197="","",DITARI!$H201),"")</f>
        <v/>
      </c>
      <c r="I197" s="487" t="n">
        <f aca="false">IF($E197="",0,IFERROR(DITARI!$F201,0))</f>
        <v>0</v>
      </c>
      <c r="J197" s="487" t="n">
        <f aca="false">IF($E197="",0,IFERROR(DITARI!$G201,0))</f>
        <v>0</v>
      </c>
      <c r="K197" s="484" t="str">
        <f aca="false">IF($E197="","",IFERROR(VLOOKUP($E197,PLANI_LLOGARIVE!$A:$I,9,FALSE()),""))</f>
        <v/>
      </c>
      <c r="L197" s="487" t="str">
        <f aca="false">IF($E197="","",$I197-$J197)</f>
        <v/>
      </c>
      <c r="M197" s="484" t="str">
        <f aca="false">IF($E197="","",IF($I197&gt;0,"DEBIT",IF($J197&gt;0,"KREDIT","ZERO")))</f>
        <v/>
      </c>
      <c r="N197" s="484" t="str">
        <f aca="false">IF($E197="","",TEXT($B197,"yyyymmdd")&amp;"-"&amp;TEXT(ROW(),"0000"))</f>
        <v/>
      </c>
      <c r="O197" s="101" t="str">
        <f aca="false">IF($E197="","",$E197&amp;"")</f>
        <v/>
      </c>
      <c r="P197" s="101" t="str">
        <f aca="false">IF(AND($O197&lt;&gt;"",$I197&lt;&gt;0),COUNTIFS($O$2:O197,$O197,$I$2:I197,"&gt;0"),"")</f>
        <v/>
      </c>
      <c r="Q197" s="101" t="str">
        <f aca="false">IF(AND($O197&lt;&gt;"",$J197&lt;&gt;0),COUNTIFS($O$2:O197,$O197,$J$2:J197,"&gt;0"),"")</f>
        <v/>
      </c>
      <c r="R197" s="101" t="str">
        <f aca="false">IF($P197="","",$O197&amp;"|"&amp;$P197)</f>
        <v/>
      </c>
      <c r="S197" s="101" t="str">
        <f aca="false">IF($Q197="","",$O197&amp;"|"&amp;$Q197)</f>
        <v/>
      </c>
      <c r="T197" s="101" t="str">
        <f aca="false">IF($O197="","",COUNTIF($O$2:O197,$O197))</f>
        <v/>
      </c>
      <c r="U197" s="101" t="str">
        <f aca="false">IF($O197="","",$O197&amp;"|"&amp;$T197)</f>
        <v/>
      </c>
      <c r="V197" s="488" t="n">
        <f aca="false">IF(OR(LEFT($D197,5)="MB-CL",LEFT($D197,6)="MB-RES"),0,$I197)</f>
        <v>0</v>
      </c>
      <c r="W197" s="488" t="n">
        <f aca="false">IF(OR(LEFT($D197,5)="MB-CL",LEFT($D197,6)="MB-RES"),0,$J197)</f>
        <v>0</v>
      </c>
      <c r="X197" s="101" t="str">
        <f aca="false">IF($E197="","",LEFT($E197,1))</f>
        <v/>
      </c>
      <c r="Y197" s="101" t="str">
        <f aca="false">IF($E197="","",LEFT($E197,2))</f>
        <v/>
      </c>
      <c r="Z197" s="101" t="str">
        <f aca="false">IF($E197="","",LEFT($E197,3))</f>
        <v/>
      </c>
      <c r="AA197" s="101" t="str">
        <f aca="false">IF($E197="","",LEFT($E197,4))</f>
        <v/>
      </c>
    </row>
    <row r="198" customFormat="false" ht="15" hidden="false" customHeight="true" outlineLevel="0" collapsed="false">
      <c r="A198" s="484" t="str">
        <f aca="false">IF(DITARI!$D202="","",ROW()-1)</f>
        <v/>
      </c>
      <c r="B198" s="485" t="str">
        <f aca="false">IF(DITARI!$D202="","",DITARI!$A202)</f>
        <v/>
      </c>
      <c r="C198" s="484" t="str">
        <f aca="false">IF(DITARI!$D202="","",DITARI!$B202)</f>
        <v/>
      </c>
      <c r="D198" s="484" t="str">
        <f aca="false">IF(DITARI!$D202="","",DITARI!$C202)</f>
        <v/>
      </c>
      <c r="E198" s="484" t="str">
        <f aca="false">IF(DITARI!$D202="","",TRIM(DITARI!$D202&amp;""))</f>
        <v/>
      </c>
      <c r="F198" s="484" t="str">
        <f aca="false">IF($E198="","",IFERROR(VLOOKUP($E198,PLANI_LLOGARIVE!$A:$I,2,FALSE()),DITARI!$E202))</f>
        <v/>
      </c>
      <c r="G198" s="484" t="str">
        <f aca="false">IF($E198="","",DITARI!$I202)</f>
        <v/>
      </c>
      <c r="H198" s="484" t="str">
        <f aca="false">IFERROR(IF($E198="","",DITARI!$H202),"")</f>
        <v/>
      </c>
      <c r="I198" s="487" t="n">
        <f aca="false">IF($E198="",0,IFERROR(DITARI!$F202,0))</f>
        <v>0</v>
      </c>
      <c r="J198" s="487" t="n">
        <f aca="false">IF($E198="",0,IFERROR(DITARI!$G202,0))</f>
        <v>0</v>
      </c>
      <c r="K198" s="484" t="str">
        <f aca="false">IF($E198="","",IFERROR(VLOOKUP($E198,PLANI_LLOGARIVE!$A:$I,9,FALSE()),""))</f>
        <v/>
      </c>
      <c r="L198" s="487" t="str">
        <f aca="false">IF($E198="","",$I198-$J198)</f>
        <v/>
      </c>
      <c r="M198" s="484" t="str">
        <f aca="false">IF($E198="","",IF($I198&gt;0,"DEBIT",IF($J198&gt;0,"KREDIT","ZERO")))</f>
        <v/>
      </c>
      <c r="N198" s="484" t="str">
        <f aca="false">IF($E198="","",TEXT($B198,"yyyymmdd")&amp;"-"&amp;TEXT(ROW(),"0000"))</f>
        <v/>
      </c>
      <c r="O198" s="101" t="str">
        <f aca="false">IF($E198="","",$E198&amp;"")</f>
        <v/>
      </c>
      <c r="P198" s="101" t="str">
        <f aca="false">IF(AND($O198&lt;&gt;"",$I198&lt;&gt;0),COUNTIFS($O$2:O198,$O198,$I$2:I198,"&gt;0"),"")</f>
        <v/>
      </c>
      <c r="Q198" s="101" t="str">
        <f aca="false">IF(AND($O198&lt;&gt;"",$J198&lt;&gt;0),COUNTIFS($O$2:O198,$O198,$J$2:J198,"&gt;0"),"")</f>
        <v/>
      </c>
      <c r="R198" s="101" t="str">
        <f aca="false">IF($P198="","",$O198&amp;"|"&amp;$P198)</f>
        <v/>
      </c>
      <c r="S198" s="101" t="str">
        <f aca="false">IF($Q198="","",$O198&amp;"|"&amp;$Q198)</f>
        <v/>
      </c>
      <c r="T198" s="101" t="str">
        <f aca="false">IF($O198="","",COUNTIF($O$2:O198,$O198))</f>
        <v/>
      </c>
      <c r="U198" s="101" t="str">
        <f aca="false">IF($O198="","",$O198&amp;"|"&amp;$T198)</f>
        <v/>
      </c>
      <c r="V198" s="488" t="n">
        <f aca="false">IF(OR(LEFT($D198,5)="MB-CL",LEFT($D198,6)="MB-RES"),0,$I198)</f>
        <v>0</v>
      </c>
      <c r="W198" s="488" t="n">
        <f aca="false">IF(OR(LEFT($D198,5)="MB-CL",LEFT($D198,6)="MB-RES"),0,$J198)</f>
        <v>0</v>
      </c>
      <c r="X198" s="101" t="str">
        <f aca="false">IF($E198="","",LEFT($E198,1))</f>
        <v/>
      </c>
      <c r="Y198" s="101" t="str">
        <f aca="false">IF($E198="","",LEFT($E198,2))</f>
        <v/>
      </c>
      <c r="Z198" s="101" t="str">
        <f aca="false">IF($E198="","",LEFT($E198,3))</f>
        <v/>
      </c>
      <c r="AA198" s="101" t="str">
        <f aca="false">IF($E198="","",LEFT($E198,4))</f>
        <v/>
      </c>
    </row>
    <row r="199" customFormat="false" ht="15" hidden="false" customHeight="true" outlineLevel="0" collapsed="false">
      <c r="A199" s="484" t="str">
        <f aca="false">IF(DITARI!$D203="","",ROW()-1)</f>
        <v/>
      </c>
      <c r="B199" s="485" t="str">
        <f aca="false">IF(DITARI!$D203="","",DITARI!$A203)</f>
        <v/>
      </c>
      <c r="C199" s="484" t="str">
        <f aca="false">IF(DITARI!$D203="","",DITARI!$B203)</f>
        <v/>
      </c>
      <c r="D199" s="484" t="str">
        <f aca="false">IF(DITARI!$D203="","",DITARI!$C203)</f>
        <v/>
      </c>
      <c r="E199" s="484" t="str">
        <f aca="false">IF(DITARI!$D203="","",TRIM(DITARI!$D203&amp;""))</f>
        <v/>
      </c>
      <c r="F199" s="484" t="str">
        <f aca="false">IF($E199="","",IFERROR(VLOOKUP($E199,PLANI_LLOGARIVE!$A:$I,2,FALSE()),DITARI!$E203))</f>
        <v/>
      </c>
      <c r="G199" s="484" t="str">
        <f aca="false">IF($E199="","",DITARI!$I203)</f>
        <v/>
      </c>
      <c r="H199" s="484" t="str">
        <f aca="false">IFERROR(IF($E199="","",DITARI!$H203),"")</f>
        <v/>
      </c>
      <c r="I199" s="487" t="n">
        <f aca="false">IF($E199="",0,IFERROR(DITARI!$F203,0))</f>
        <v>0</v>
      </c>
      <c r="J199" s="487" t="n">
        <f aca="false">IF($E199="",0,IFERROR(DITARI!$G203,0))</f>
        <v>0</v>
      </c>
      <c r="K199" s="484" t="str">
        <f aca="false">IF($E199="","",IFERROR(VLOOKUP($E199,PLANI_LLOGARIVE!$A:$I,9,FALSE()),""))</f>
        <v/>
      </c>
      <c r="L199" s="487" t="str">
        <f aca="false">IF($E199="","",$I199-$J199)</f>
        <v/>
      </c>
      <c r="M199" s="484" t="str">
        <f aca="false">IF($E199="","",IF($I199&gt;0,"DEBIT",IF($J199&gt;0,"KREDIT","ZERO")))</f>
        <v/>
      </c>
      <c r="N199" s="484" t="str">
        <f aca="false">IF($E199="","",TEXT($B199,"yyyymmdd")&amp;"-"&amp;TEXT(ROW(),"0000"))</f>
        <v/>
      </c>
      <c r="O199" s="101" t="str">
        <f aca="false">IF($E199="","",$E199&amp;"")</f>
        <v/>
      </c>
      <c r="P199" s="101" t="str">
        <f aca="false">IF(AND($O199&lt;&gt;"",$I199&lt;&gt;0),COUNTIFS($O$2:O199,$O199,$I$2:I199,"&gt;0"),"")</f>
        <v/>
      </c>
      <c r="Q199" s="101" t="str">
        <f aca="false">IF(AND($O199&lt;&gt;"",$J199&lt;&gt;0),COUNTIFS($O$2:O199,$O199,$J$2:J199,"&gt;0"),"")</f>
        <v/>
      </c>
      <c r="R199" s="101" t="str">
        <f aca="false">IF($P199="","",$O199&amp;"|"&amp;$P199)</f>
        <v/>
      </c>
      <c r="S199" s="101" t="str">
        <f aca="false">IF($Q199="","",$O199&amp;"|"&amp;$Q199)</f>
        <v/>
      </c>
      <c r="T199" s="101" t="str">
        <f aca="false">IF($O199="","",COUNTIF($O$2:O199,$O199))</f>
        <v/>
      </c>
      <c r="U199" s="101" t="str">
        <f aca="false">IF($O199="","",$O199&amp;"|"&amp;$T199)</f>
        <v/>
      </c>
      <c r="V199" s="488" t="n">
        <f aca="false">IF(OR(LEFT($D199,5)="MB-CL",LEFT($D199,6)="MB-RES"),0,$I199)</f>
        <v>0</v>
      </c>
      <c r="W199" s="488" t="n">
        <f aca="false">IF(OR(LEFT($D199,5)="MB-CL",LEFT($D199,6)="MB-RES"),0,$J199)</f>
        <v>0</v>
      </c>
      <c r="X199" s="101" t="str">
        <f aca="false">IF($E199="","",LEFT($E199,1))</f>
        <v/>
      </c>
      <c r="Y199" s="101" t="str">
        <f aca="false">IF($E199="","",LEFT($E199,2))</f>
        <v/>
      </c>
      <c r="Z199" s="101" t="str">
        <f aca="false">IF($E199="","",LEFT($E199,3))</f>
        <v/>
      </c>
      <c r="AA199" s="101" t="str">
        <f aca="false">IF($E199="","",LEFT($E199,4))</f>
        <v/>
      </c>
    </row>
    <row r="200" customFormat="false" ht="15" hidden="false" customHeight="true" outlineLevel="0" collapsed="false">
      <c r="A200" s="484" t="str">
        <f aca="false">IF(DITARI!$D204="","",ROW()-1)</f>
        <v/>
      </c>
      <c r="B200" s="485" t="str">
        <f aca="false">IF(DITARI!$D204="","",DITARI!$A204)</f>
        <v/>
      </c>
      <c r="C200" s="484" t="str">
        <f aca="false">IF(DITARI!$D204="","",DITARI!$B204)</f>
        <v/>
      </c>
      <c r="D200" s="484" t="str">
        <f aca="false">IF(DITARI!$D204="","",DITARI!$C204)</f>
        <v/>
      </c>
      <c r="E200" s="484" t="str">
        <f aca="false">IF(DITARI!$D204="","",TRIM(DITARI!$D204&amp;""))</f>
        <v/>
      </c>
      <c r="F200" s="484" t="str">
        <f aca="false">IF($E200="","",IFERROR(VLOOKUP($E200,PLANI_LLOGARIVE!$A:$I,2,FALSE()),DITARI!$E204))</f>
        <v/>
      </c>
      <c r="G200" s="484" t="str">
        <f aca="false">IF($E200="","",DITARI!$I204)</f>
        <v/>
      </c>
      <c r="H200" s="484" t="str">
        <f aca="false">IFERROR(IF($E200="","",DITARI!$H204),"")</f>
        <v/>
      </c>
      <c r="I200" s="487" t="n">
        <f aca="false">IF($E200="",0,IFERROR(DITARI!$F204,0))</f>
        <v>0</v>
      </c>
      <c r="J200" s="487" t="n">
        <f aca="false">IF($E200="",0,IFERROR(DITARI!$G204,0))</f>
        <v>0</v>
      </c>
      <c r="K200" s="484" t="str">
        <f aca="false">IF($E200="","",IFERROR(VLOOKUP($E200,PLANI_LLOGARIVE!$A:$I,9,FALSE()),""))</f>
        <v/>
      </c>
      <c r="L200" s="487" t="str">
        <f aca="false">IF($E200="","",$I200-$J200)</f>
        <v/>
      </c>
      <c r="M200" s="484" t="str">
        <f aca="false">IF($E200="","",IF($I200&gt;0,"DEBIT",IF($J200&gt;0,"KREDIT","ZERO")))</f>
        <v/>
      </c>
      <c r="N200" s="484" t="str">
        <f aca="false">IF($E200="","",TEXT($B200,"yyyymmdd")&amp;"-"&amp;TEXT(ROW(),"0000"))</f>
        <v/>
      </c>
      <c r="O200" s="101" t="str">
        <f aca="false">IF($E200="","",$E200&amp;"")</f>
        <v/>
      </c>
      <c r="P200" s="101" t="str">
        <f aca="false">IF(AND($O200&lt;&gt;"",$I200&lt;&gt;0),COUNTIFS($O$2:O200,$O200,$I$2:I200,"&gt;0"),"")</f>
        <v/>
      </c>
      <c r="Q200" s="101" t="str">
        <f aca="false">IF(AND($O200&lt;&gt;"",$J200&lt;&gt;0),COUNTIFS($O$2:O200,$O200,$J$2:J200,"&gt;0"),"")</f>
        <v/>
      </c>
      <c r="R200" s="101" t="str">
        <f aca="false">IF($P200="","",$O200&amp;"|"&amp;$P200)</f>
        <v/>
      </c>
      <c r="S200" s="101" t="str">
        <f aca="false">IF($Q200="","",$O200&amp;"|"&amp;$Q200)</f>
        <v/>
      </c>
      <c r="T200" s="101" t="str">
        <f aca="false">IF($O200="","",COUNTIF($O$2:O200,$O200))</f>
        <v/>
      </c>
      <c r="U200" s="101" t="str">
        <f aca="false">IF($O200="","",$O200&amp;"|"&amp;$T200)</f>
        <v/>
      </c>
      <c r="V200" s="488" t="n">
        <f aca="false">IF(OR(LEFT($D200,5)="MB-CL",LEFT($D200,6)="MB-RES"),0,$I200)</f>
        <v>0</v>
      </c>
      <c r="W200" s="488" t="n">
        <f aca="false">IF(OR(LEFT($D200,5)="MB-CL",LEFT($D200,6)="MB-RES"),0,$J200)</f>
        <v>0</v>
      </c>
      <c r="X200" s="101" t="str">
        <f aca="false">IF($E200="","",LEFT($E200,1))</f>
        <v/>
      </c>
      <c r="Y200" s="101" t="str">
        <f aca="false">IF($E200="","",LEFT($E200,2))</f>
        <v/>
      </c>
      <c r="Z200" s="101" t="str">
        <f aca="false">IF($E200="","",LEFT($E200,3))</f>
        <v/>
      </c>
      <c r="AA200" s="101" t="str">
        <f aca="false">IF($E200="","",LEFT($E200,4))</f>
        <v/>
      </c>
    </row>
    <row r="201" customFormat="false" ht="15" hidden="false" customHeight="true" outlineLevel="0" collapsed="false">
      <c r="A201" s="484" t="str">
        <f aca="false">IF(DITARI!$D205="","",ROW()-1)</f>
        <v/>
      </c>
      <c r="B201" s="485" t="str">
        <f aca="false">IF(DITARI!$D205="","",DITARI!$A205)</f>
        <v/>
      </c>
      <c r="C201" s="484" t="str">
        <f aca="false">IF(DITARI!$D205="","",DITARI!$B205)</f>
        <v/>
      </c>
      <c r="D201" s="484" t="str">
        <f aca="false">IF(DITARI!$D205="","",DITARI!$C205)</f>
        <v/>
      </c>
      <c r="E201" s="484" t="str">
        <f aca="false">IF(DITARI!$D205="","",TRIM(DITARI!$D205&amp;""))</f>
        <v/>
      </c>
      <c r="F201" s="484" t="str">
        <f aca="false">IF($E201="","",IFERROR(VLOOKUP($E201,PLANI_LLOGARIVE!$A:$I,2,FALSE()),DITARI!$E205))</f>
        <v/>
      </c>
      <c r="G201" s="484" t="str">
        <f aca="false">IF($E201="","",DITARI!$I205)</f>
        <v/>
      </c>
      <c r="H201" s="484" t="str">
        <f aca="false">IFERROR(IF($E201="","",DITARI!$H205),"")</f>
        <v/>
      </c>
      <c r="I201" s="487" t="n">
        <f aca="false">IF($E201="",0,IFERROR(DITARI!$F205,0))</f>
        <v>0</v>
      </c>
      <c r="J201" s="487" t="n">
        <f aca="false">IF($E201="",0,IFERROR(DITARI!$G205,0))</f>
        <v>0</v>
      </c>
      <c r="K201" s="484" t="str">
        <f aca="false">IF($E201="","",IFERROR(VLOOKUP($E201,PLANI_LLOGARIVE!$A:$I,9,FALSE()),""))</f>
        <v/>
      </c>
      <c r="L201" s="487" t="str">
        <f aca="false">IF($E201="","",$I201-$J201)</f>
        <v/>
      </c>
      <c r="M201" s="484" t="str">
        <f aca="false">IF($E201="","",IF($I201&gt;0,"DEBIT",IF($J201&gt;0,"KREDIT","ZERO")))</f>
        <v/>
      </c>
      <c r="N201" s="484" t="str">
        <f aca="false">IF($E201="","",TEXT($B201,"yyyymmdd")&amp;"-"&amp;TEXT(ROW(),"0000"))</f>
        <v/>
      </c>
      <c r="O201" s="101" t="str">
        <f aca="false">IF($E201="","",$E201&amp;"")</f>
        <v/>
      </c>
      <c r="P201" s="101" t="str">
        <f aca="false">IF(AND($O201&lt;&gt;"",$I201&lt;&gt;0),COUNTIFS($O$2:O201,$O201,$I$2:I201,"&gt;0"),"")</f>
        <v/>
      </c>
      <c r="Q201" s="101" t="str">
        <f aca="false">IF(AND($O201&lt;&gt;"",$J201&lt;&gt;0),COUNTIFS($O$2:O201,$O201,$J$2:J201,"&gt;0"),"")</f>
        <v/>
      </c>
      <c r="R201" s="101" t="str">
        <f aca="false">IF($P201="","",$O201&amp;"|"&amp;$P201)</f>
        <v/>
      </c>
      <c r="S201" s="101" t="str">
        <f aca="false">IF($Q201="","",$O201&amp;"|"&amp;$Q201)</f>
        <v/>
      </c>
      <c r="T201" s="101" t="str">
        <f aca="false">IF($O201="","",COUNTIF($O$2:O201,$O201))</f>
        <v/>
      </c>
      <c r="U201" s="101" t="str">
        <f aca="false">IF($O201="","",$O201&amp;"|"&amp;$T201)</f>
        <v/>
      </c>
      <c r="V201" s="488" t="n">
        <f aca="false">IF(OR(LEFT($D201,5)="MB-CL",LEFT($D201,6)="MB-RES"),0,$I201)</f>
        <v>0</v>
      </c>
      <c r="W201" s="488" t="n">
        <f aca="false">IF(OR(LEFT($D201,5)="MB-CL",LEFT($D201,6)="MB-RES"),0,$J201)</f>
        <v>0</v>
      </c>
      <c r="X201" s="101" t="str">
        <f aca="false">IF($E201="","",LEFT($E201,1))</f>
        <v/>
      </c>
      <c r="Y201" s="101" t="str">
        <f aca="false">IF($E201="","",LEFT($E201,2))</f>
        <v/>
      </c>
      <c r="Z201" s="101" t="str">
        <f aca="false">IF($E201="","",LEFT($E201,3))</f>
        <v/>
      </c>
      <c r="AA201" s="101" t="str">
        <f aca="false">IF($E201="","",LEFT($E201,4))</f>
        <v/>
      </c>
    </row>
    <row r="202" customFormat="false" ht="15" hidden="false" customHeight="true" outlineLevel="0" collapsed="false">
      <c r="A202" s="484" t="str">
        <f aca="false">IF(DITARI!$D206="","",ROW()-1)</f>
        <v/>
      </c>
      <c r="B202" s="485" t="str">
        <f aca="false">IF(DITARI!$D206="","",DITARI!$A206)</f>
        <v/>
      </c>
      <c r="C202" s="484" t="str">
        <f aca="false">IF(DITARI!$D206="","",DITARI!$B206)</f>
        <v/>
      </c>
      <c r="D202" s="484" t="str">
        <f aca="false">IF(DITARI!$D206="","",DITARI!$C206)</f>
        <v/>
      </c>
      <c r="E202" s="484" t="str">
        <f aca="false">IF(DITARI!$D206="","",TRIM(DITARI!$D206&amp;""))</f>
        <v/>
      </c>
      <c r="F202" s="484" t="str">
        <f aca="false">IF($E202="","",IFERROR(VLOOKUP($E202,PLANI_LLOGARIVE!$A:$I,2,FALSE()),DITARI!$E206))</f>
        <v/>
      </c>
      <c r="G202" s="484" t="str">
        <f aca="false">IF($E202="","",DITARI!$I206)</f>
        <v/>
      </c>
      <c r="H202" s="484" t="str">
        <f aca="false">IFERROR(IF($E202="","",DITARI!$H206),"")</f>
        <v/>
      </c>
      <c r="I202" s="487" t="n">
        <f aca="false">IF($E202="",0,IFERROR(DITARI!$F206,0))</f>
        <v>0</v>
      </c>
      <c r="J202" s="487" t="n">
        <f aca="false">IF($E202="",0,IFERROR(DITARI!$G206,0))</f>
        <v>0</v>
      </c>
      <c r="K202" s="484" t="str">
        <f aca="false">IF($E202="","",IFERROR(VLOOKUP($E202,PLANI_LLOGARIVE!$A:$I,9,FALSE()),""))</f>
        <v/>
      </c>
      <c r="L202" s="487" t="str">
        <f aca="false">IF($E202="","",$I202-$J202)</f>
        <v/>
      </c>
      <c r="M202" s="484" t="str">
        <f aca="false">IF($E202="","",IF($I202&gt;0,"DEBIT",IF($J202&gt;0,"KREDIT","ZERO")))</f>
        <v/>
      </c>
      <c r="N202" s="484" t="str">
        <f aca="false">IF($E202="","",TEXT($B202,"yyyymmdd")&amp;"-"&amp;TEXT(ROW(),"0000"))</f>
        <v/>
      </c>
      <c r="O202" s="101" t="str">
        <f aca="false">IF($E202="","",$E202&amp;"")</f>
        <v/>
      </c>
      <c r="P202" s="101" t="str">
        <f aca="false">IF(AND($O202&lt;&gt;"",$I202&lt;&gt;0),COUNTIFS($O$2:O202,$O202,$I$2:I202,"&gt;0"),"")</f>
        <v/>
      </c>
      <c r="Q202" s="101" t="str">
        <f aca="false">IF(AND($O202&lt;&gt;"",$J202&lt;&gt;0),COUNTIFS($O$2:O202,$O202,$J$2:J202,"&gt;0"),"")</f>
        <v/>
      </c>
      <c r="R202" s="101" t="str">
        <f aca="false">IF($P202="","",$O202&amp;"|"&amp;$P202)</f>
        <v/>
      </c>
      <c r="S202" s="101" t="str">
        <f aca="false">IF($Q202="","",$O202&amp;"|"&amp;$Q202)</f>
        <v/>
      </c>
      <c r="T202" s="101" t="str">
        <f aca="false">IF($O202="","",COUNTIF($O$2:O202,$O202))</f>
        <v/>
      </c>
      <c r="U202" s="101" t="str">
        <f aca="false">IF($O202="","",$O202&amp;"|"&amp;$T202)</f>
        <v/>
      </c>
      <c r="V202" s="488" t="n">
        <f aca="false">IF(OR(LEFT($D202,5)="MB-CL",LEFT($D202,6)="MB-RES"),0,$I202)</f>
        <v>0</v>
      </c>
      <c r="W202" s="488" t="n">
        <f aca="false">IF(OR(LEFT($D202,5)="MB-CL",LEFT($D202,6)="MB-RES"),0,$J202)</f>
        <v>0</v>
      </c>
      <c r="X202" s="101" t="str">
        <f aca="false">IF($E202="","",LEFT($E202,1))</f>
        <v/>
      </c>
      <c r="Y202" s="101" t="str">
        <f aca="false">IF($E202="","",LEFT($E202,2))</f>
        <v/>
      </c>
      <c r="Z202" s="101" t="str">
        <f aca="false">IF($E202="","",LEFT($E202,3))</f>
        <v/>
      </c>
      <c r="AA202" s="101" t="str">
        <f aca="false">IF($E202="","",LEFT($E202,4))</f>
        <v/>
      </c>
    </row>
    <row r="203" customFormat="false" ht="15" hidden="false" customHeight="true" outlineLevel="0" collapsed="false">
      <c r="A203" s="484" t="str">
        <f aca="false">IF(DITARI!$D207="","",ROW()-1)</f>
        <v/>
      </c>
      <c r="B203" s="485" t="str">
        <f aca="false">IF(DITARI!$D207="","",DITARI!$A207)</f>
        <v/>
      </c>
      <c r="C203" s="484" t="str">
        <f aca="false">IF(DITARI!$D207="","",DITARI!$B207)</f>
        <v/>
      </c>
      <c r="D203" s="484" t="str">
        <f aca="false">IF(DITARI!$D207="","",DITARI!$C207)</f>
        <v/>
      </c>
      <c r="E203" s="484" t="str">
        <f aca="false">IF(DITARI!$D207="","",TRIM(DITARI!$D207&amp;""))</f>
        <v/>
      </c>
      <c r="F203" s="484" t="str">
        <f aca="false">IF($E203="","",IFERROR(VLOOKUP($E203,PLANI_LLOGARIVE!$A:$I,2,FALSE()),DITARI!$E207))</f>
        <v/>
      </c>
      <c r="G203" s="484" t="str">
        <f aca="false">IF($E203="","",DITARI!$I207)</f>
        <v/>
      </c>
      <c r="H203" s="484" t="str">
        <f aca="false">IFERROR(IF($E203="","",DITARI!$H207),"")</f>
        <v/>
      </c>
      <c r="I203" s="487" t="n">
        <f aca="false">IF($E203="",0,IFERROR(DITARI!$F207,0))</f>
        <v>0</v>
      </c>
      <c r="J203" s="487" t="n">
        <f aca="false">IF($E203="",0,IFERROR(DITARI!$G207,0))</f>
        <v>0</v>
      </c>
      <c r="K203" s="484" t="str">
        <f aca="false">IF($E203="","",IFERROR(VLOOKUP($E203,PLANI_LLOGARIVE!$A:$I,9,FALSE()),""))</f>
        <v/>
      </c>
      <c r="L203" s="487" t="str">
        <f aca="false">IF($E203="","",$I203-$J203)</f>
        <v/>
      </c>
      <c r="M203" s="484" t="str">
        <f aca="false">IF($E203="","",IF($I203&gt;0,"DEBIT",IF($J203&gt;0,"KREDIT","ZERO")))</f>
        <v/>
      </c>
      <c r="N203" s="484" t="str">
        <f aca="false">IF($E203="","",TEXT($B203,"yyyymmdd")&amp;"-"&amp;TEXT(ROW(),"0000"))</f>
        <v/>
      </c>
      <c r="O203" s="101" t="str">
        <f aca="false">IF($E203="","",$E203&amp;"")</f>
        <v/>
      </c>
      <c r="P203" s="101" t="str">
        <f aca="false">IF(AND($O203&lt;&gt;"",$I203&lt;&gt;0),COUNTIFS($O$2:O203,$O203,$I$2:I203,"&gt;0"),"")</f>
        <v/>
      </c>
      <c r="Q203" s="101" t="str">
        <f aca="false">IF(AND($O203&lt;&gt;"",$J203&lt;&gt;0),COUNTIFS($O$2:O203,$O203,$J$2:J203,"&gt;0"),"")</f>
        <v/>
      </c>
      <c r="R203" s="101" t="str">
        <f aca="false">IF($P203="","",$O203&amp;"|"&amp;$P203)</f>
        <v/>
      </c>
      <c r="S203" s="101" t="str">
        <f aca="false">IF($Q203="","",$O203&amp;"|"&amp;$Q203)</f>
        <v/>
      </c>
      <c r="T203" s="101" t="str">
        <f aca="false">IF($O203="","",COUNTIF($O$2:O203,$O203))</f>
        <v/>
      </c>
      <c r="U203" s="101" t="str">
        <f aca="false">IF($O203="","",$O203&amp;"|"&amp;$T203)</f>
        <v/>
      </c>
      <c r="V203" s="488" t="n">
        <f aca="false">IF(OR(LEFT($D203,5)="MB-CL",LEFT($D203,6)="MB-RES"),0,$I203)</f>
        <v>0</v>
      </c>
      <c r="W203" s="488" t="n">
        <f aca="false">IF(OR(LEFT($D203,5)="MB-CL",LEFT($D203,6)="MB-RES"),0,$J203)</f>
        <v>0</v>
      </c>
      <c r="X203" s="101" t="str">
        <f aca="false">IF($E203="","",LEFT($E203,1))</f>
        <v/>
      </c>
      <c r="Y203" s="101" t="str">
        <f aca="false">IF($E203="","",LEFT($E203,2))</f>
        <v/>
      </c>
      <c r="Z203" s="101" t="str">
        <f aca="false">IF($E203="","",LEFT($E203,3))</f>
        <v/>
      </c>
      <c r="AA203" s="101" t="str">
        <f aca="false">IF($E203="","",LEFT($E203,4))</f>
        <v/>
      </c>
    </row>
    <row r="204" customFormat="false" ht="15" hidden="false" customHeight="true" outlineLevel="0" collapsed="false">
      <c r="A204" s="484" t="str">
        <f aca="false">IF(DITARI!$D208="","",ROW()-1)</f>
        <v/>
      </c>
      <c r="B204" s="485" t="str">
        <f aca="false">IF(DITARI!$D208="","",DITARI!$A208)</f>
        <v/>
      </c>
      <c r="C204" s="484" t="str">
        <f aca="false">IF(DITARI!$D208="","",DITARI!$B208)</f>
        <v/>
      </c>
      <c r="D204" s="484" t="str">
        <f aca="false">IF(DITARI!$D208="","",DITARI!$C208)</f>
        <v/>
      </c>
      <c r="E204" s="484" t="str">
        <f aca="false">IF(DITARI!$D208="","",TRIM(DITARI!$D208&amp;""))</f>
        <v/>
      </c>
      <c r="F204" s="484" t="str">
        <f aca="false">IF($E204="","",IFERROR(VLOOKUP($E204,PLANI_LLOGARIVE!$A:$I,2,FALSE()),DITARI!$E208))</f>
        <v/>
      </c>
      <c r="G204" s="484" t="str">
        <f aca="false">IF($E204="","",DITARI!$I208)</f>
        <v/>
      </c>
      <c r="H204" s="484" t="str">
        <f aca="false">IFERROR(IF($E204="","",DITARI!$H208),"")</f>
        <v/>
      </c>
      <c r="I204" s="487" t="n">
        <f aca="false">IF($E204="",0,IFERROR(DITARI!$F208,0))</f>
        <v>0</v>
      </c>
      <c r="J204" s="487" t="n">
        <f aca="false">IF($E204="",0,IFERROR(DITARI!$G208,0))</f>
        <v>0</v>
      </c>
      <c r="K204" s="484" t="str">
        <f aca="false">IF($E204="","",IFERROR(VLOOKUP($E204,PLANI_LLOGARIVE!$A:$I,9,FALSE()),""))</f>
        <v/>
      </c>
      <c r="L204" s="487" t="str">
        <f aca="false">IF($E204="","",$I204-$J204)</f>
        <v/>
      </c>
      <c r="M204" s="484" t="str">
        <f aca="false">IF($E204="","",IF($I204&gt;0,"DEBIT",IF($J204&gt;0,"KREDIT","ZERO")))</f>
        <v/>
      </c>
      <c r="N204" s="484" t="str">
        <f aca="false">IF($E204="","",TEXT($B204,"yyyymmdd")&amp;"-"&amp;TEXT(ROW(),"0000"))</f>
        <v/>
      </c>
      <c r="O204" s="101" t="str">
        <f aca="false">IF($E204="","",$E204&amp;"")</f>
        <v/>
      </c>
      <c r="P204" s="101" t="str">
        <f aca="false">IF(AND($O204&lt;&gt;"",$I204&lt;&gt;0),COUNTIFS($O$2:O204,$O204,$I$2:I204,"&gt;0"),"")</f>
        <v/>
      </c>
      <c r="Q204" s="101" t="str">
        <f aca="false">IF(AND($O204&lt;&gt;"",$J204&lt;&gt;0),COUNTIFS($O$2:O204,$O204,$J$2:J204,"&gt;0"),"")</f>
        <v/>
      </c>
      <c r="R204" s="101" t="str">
        <f aca="false">IF($P204="","",$O204&amp;"|"&amp;$P204)</f>
        <v/>
      </c>
      <c r="S204" s="101" t="str">
        <f aca="false">IF($Q204="","",$O204&amp;"|"&amp;$Q204)</f>
        <v/>
      </c>
      <c r="T204" s="101" t="str">
        <f aca="false">IF($O204="","",COUNTIF($O$2:O204,$O204))</f>
        <v/>
      </c>
      <c r="U204" s="101" t="str">
        <f aca="false">IF($O204="","",$O204&amp;"|"&amp;$T204)</f>
        <v/>
      </c>
      <c r="V204" s="488" t="n">
        <f aca="false">IF(OR(LEFT($D204,5)="MB-CL",LEFT($D204,6)="MB-RES"),0,$I204)</f>
        <v>0</v>
      </c>
      <c r="W204" s="488" t="n">
        <f aca="false">IF(OR(LEFT($D204,5)="MB-CL",LEFT($D204,6)="MB-RES"),0,$J204)</f>
        <v>0</v>
      </c>
      <c r="X204" s="101" t="str">
        <f aca="false">IF($E204="","",LEFT($E204,1))</f>
        <v/>
      </c>
      <c r="Y204" s="101" t="str">
        <f aca="false">IF($E204="","",LEFT($E204,2))</f>
        <v/>
      </c>
      <c r="Z204" s="101" t="str">
        <f aca="false">IF($E204="","",LEFT($E204,3))</f>
        <v/>
      </c>
      <c r="AA204" s="101" t="str">
        <f aca="false">IF($E204="","",LEFT($E204,4))</f>
        <v/>
      </c>
    </row>
    <row r="205" customFormat="false" ht="15" hidden="false" customHeight="true" outlineLevel="0" collapsed="false">
      <c r="A205" s="484" t="str">
        <f aca="false">IF(DITARI!$D209="","",ROW()-1)</f>
        <v/>
      </c>
      <c r="B205" s="485" t="str">
        <f aca="false">IF(DITARI!$D209="","",DITARI!$A209)</f>
        <v/>
      </c>
      <c r="C205" s="484" t="str">
        <f aca="false">IF(DITARI!$D209="","",DITARI!$B209)</f>
        <v/>
      </c>
      <c r="D205" s="484" t="str">
        <f aca="false">IF(DITARI!$D209="","",DITARI!$C209)</f>
        <v/>
      </c>
      <c r="E205" s="484" t="str">
        <f aca="false">IF(DITARI!$D209="","",TRIM(DITARI!$D209&amp;""))</f>
        <v/>
      </c>
      <c r="F205" s="484" t="str">
        <f aca="false">IF($E205="","",IFERROR(VLOOKUP($E205,PLANI_LLOGARIVE!$A:$I,2,FALSE()),DITARI!$E209))</f>
        <v/>
      </c>
      <c r="G205" s="484" t="str">
        <f aca="false">IF($E205="","",DITARI!$I209)</f>
        <v/>
      </c>
      <c r="H205" s="484" t="str">
        <f aca="false">IFERROR(IF($E205="","",DITARI!$H209),"")</f>
        <v/>
      </c>
      <c r="I205" s="487" t="n">
        <f aca="false">IF($E205="",0,IFERROR(DITARI!$F209,0))</f>
        <v>0</v>
      </c>
      <c r="J205" s="487" t="n">
        <f aca="false">IF($E205="",0,IFERROR(DITARI!$G209,0))</f>
        <v>0</v>
      </c>
      <c r="K205" s="484" t="str">
        <f aca="false">IF($E205="","",IFERROR(VLOOKUP($E205,PLANI_LLOGARIVE!$A:$I,9,FALSE()),""))</f>
        <v/>
      </c>
      <c r="L205" s="487" t="str">
        <f aca="false">IF($E205="","",$I205-$J205)</f>
        <v/>
      </c>
      <c r="M205" s="484" t="str">
        <f aca="false">IF($E205="","",IF($I205&gt;0,"DEBIT",IF($J205&gt;0,"KREDIT","ZERO")))</f>
        <v/>
      </c>
      <c r="N205" s="484" t="str">
        <f aca="false">IF($E205="","",TEXT($B205,"yyyymmdd")&amp;"-"&amp;TEXT(ROW(),"0000"))</f>
        <v/>
      </c>
      <c r="O205" s="101" t="str">
        <f aca="false">IF($E205="","",$E205&amp;"")</f>
        <v/>
      </c>
      <c r="P205" s="101" t="str">
        <f aca="false">IF(AND($O205&lt;&gt;"",$I205&lt;&gt;0),COUNTIFS($O$2:O205,$O205,$I$2:I205,"&gt;0"),"")</f>
        <v/>
      </c>
      <c r="Q205" s="101" t="str">
        <f aca="false">IF(AND($O205&lt;&gt;"",$J205&lt;&gt;0),COUNTIFS($O$2:O205,$O205,$J$2:J205,"&gt;0"),"")</f>
        <v/>
      </c>
      <c r="R205" s="101" t="str">
        <f aca="false">IF($P205="","",$O205&amp;"|"&amp;$P205)</f>
        <v/>
      </c>
      <c r="S205" s="101" t="str">
        <f aca="false">IF($Q205="","",$O205&amp;"|"&amp;$Q205)</f>
        <v/>
      </c>
      <c r="T205" s="101" t="str">
        <f aca="false">IF($O205="","",COUNTIF($O$2:O205,$O205))</f>
        <v/>
      </c>
      <c r="U205" s="101" t="str">
        <f aca="false">IF($O205="","",$O205&amp;"|"&amp;$T205)</f>
        <v/>
      </c>
      <c r="V205" s="488" t="n">
        <f aca="false">IF(OR(LEFT($D205,5)="MB-CL",LEFT($D205,6)="MB-RES"),0,$I205)</f>
        <v>0</v>
      </c>
      <c r="W205" s="488" t="n">
        <f aca="false">IF(OR(LEFT($D205,5)="MB-CL",LEFT($D205,6)="MB-RES"),0,$J205)</f>
        <v>0</v>
      </c>
      <c r="X205" s="101" t="str">
        <f aca="false">IF($E205="","",LEFT($E205,1))</f>
        <v/>
      </c>
      <c r="Y205" s="101" t="str">
        <f aca="false">IF($E205="","",LEFT($E205,2))</f>
        <v/>
      </c>
      <c r="Z205" s="101" t="str">
        <f aca="false">IF($E205="","",LEFT($E205,3))</f>
        <v/>
      </c>
      <c r="AA205" s="101" t="str">
        <f aca="false">IF($E205="","",LEFT($E205,4))</f>
        <v/>
      </c>
    </row>
    <row r="206" customFormat="false" ht="15" hidden="false" customHeight="true" outlineLevel="0" collapsed="false">
      <c r="A206" s="484" t="str">
        <f aca="false">IF(DITARI!$D210="","",ROW()-1)</f>
        <v/>
      </c>
      <c r="B206" s="485" t="str">
        <f aca="false">IF(DITARI!$D210="","",DITARI!$A210)</f>
        <v/>
      </c>
      <c r="C206" s="484" t="str">
        <f aca="false">IF(DITARI!$D210="","",DITARI!$B210)</f>
        <v/>
      </c>
      <c r="D206" s="484" t="str">
        <f aca="false">IF(DITARI!$D210="","",DITARI!$C210)</f>
        <v/>
      </c>
      <c r="E206" s="484" t="str">
        <f aca="false">IF(DITARI!$D210="","",TRIM(DITARI!$D210&amp;""))</f>
        <v/>
      </c>
      <c r="F206" s="484" t="str">
        <f aca="false">IF($E206="","",IFERROR(VLOOKUP($E206,PLANI_LLOGARIVE!$A:$I,2,FALSE()),DITARI!$E210))</f>
        <v/>
      </c>
      <c r="G206" s="484" t="str">
        <f aca="false">IF($E206="","",DITARI!$I210)</f>
        <v/>
      </c>
      <c r="H206" s="484" t="str">
        <f aca="false">IFERROR(IF($E206="","",DITARI!$H210),"")</f>
        <v/>
      </c>
      <c r="I206" s="487" t="n">
        <f aca="false">IF($E206="",0,IFERROR(DITARI!$F210,0))</f>
        <v>0</v>
      </c>
      <c r="J206" s="487" t="n">
        <f aca="false">IF($E206="",0,IFERROR(DITARI!$G210,0))</f>
        <v>0</v>
      </c>
      <c r="K206" s="484" t="str">
        <f aca="false">IF($E206="","",IFERROR(VLOOKUP($E206,PLANI_LLOGARIVE!$A:$I,9,FALSE()),""))</f>
        <v/>
      </c>
      <c r="L206" s="487" t="str">
        <f aca="false">IF($E206="","",$I206-$J206)</f>
        <v/>
      </c>
      <c r="M206" s="484" t="str">
        <f aca="false">IF($E206="","",IF($I206&gt;0,"DEBIT",IF($J206&gt;0,"KREDIT","ZERO")))</f>
        <v/>
      </c>
      <c r="N206" s="484" t="str">
        <f aca="false">IF($E206="","",TEXT($B206,"yyyymmdd")&amp;"-"&amp;TEXT(ROW(),"0000"))</f>
        <v/>
      </c>
      <c r="O206" s="101" t="str">
        <f aca="false">IF($E206="","",$E206&amp;"")</f>
        <v/>
      </c>
      <c r="P206" s="101" t="str">
        <f aca="false">IF(AND($O206&lt;&gt;"",$I206&lt;&gt;0),COUNTIFS($O$2:O206,$O206,$I$2:I206,"&gt;0"),"")</f>
        <v/>
      </c>
      <c r="Q206" s="101" t="str">
        <f aca="false">IF(AND($O206&lt;&gt;"",$J206&lt;&gt;0),COUNTIFS($O$2:O206,$O206,$J$2:J206,"&gt;0"),"")</f>
        <v/>
      </c>
      <c r="R206" s="101" t="str">
        <f aca="false">IF($P206="","",$O206&amp;"|"&amp;$P206)</f>
        <v/>
      </c>
      <c r="S206" s="101" t="str">
        <f aca="false">IF($Q206="","",$O206&amp;"|"&amp;$Q206)</f>
        <v/>
      </c>
      <c r="T206" s="101" t="str">
        <f aca="false">IF($O206="","",COUNTIF($O$2:O206,$O206))</f>
        <v/>
      </c>
      <c r="U206" s="101" t="str">
        <f aca="false">IF($O206="","",$O206&amp;"|"&amp;$T206)</f>
        <v/>
      </c>
      <c r="V206" s="488" t="n">
        <f aca="false">IF(OR(LEFT($D206,5)="MB-CL",LEFT($D206,6)="MB-RES"),0,$I206)</f>
        <v>0</v>
      </c>
      <c r="W206" s="488" t="n">
        <f aca="false">IF(OR(LEFT($D206,5)="MB-CL",LEFT($D206,6)="MB-RES"),0,$J206)</f>
        <v>0</v>
      </c>
      <c r="X206" s="101" t="str">
        <f aca="false">IF($E206="","",LEFT($E206,1))</f>
        <v/>
      </c>
      <c r="Y206" s="101" t="str">
        <f aca="false">IF($E206="","",LEFT($E206,2))</f>
        <v/>
      </c>
      <c r="Z206" s="101" t="str">
        <f aca="false">IF($E206="","",LEFT($E206,3))</f>
        <v/>
      </c>
      <c r="AA206" s="101" t="str">
        <f aca="false">IF($E206="","",LEFT($E206,4))</f>
        <v/>
      </c>
    </row>
    <row r="207" customFormat="false" ht="15" hidden="false" customHeight="true" outlineLevel="0" collapsed="false">
      <c r="A207" s="484" t="str">
        <f aca="false">IF(DITARI!$D211="","",ROW()-1)</f>
        <v/>
      </c>
      <c r="B207" s="485" t="str">
        <f aca="false">IF(DITARI!$D211="","",DITARI!$A211)</f>
        <v/>
      </c>
      <c r="C207" s="484" t="str">
        <f aca="false">IF(DITARI!$D211="","",DITARI!$B211)</f>
        <v/>
      </c>
      <c r="D207" s="484" t="str">
        <f aca="false">IF(DITARI!$D211="","",DITARI!$C211)</f>
        <v/>
      </c>
      <c r="E207" s="484" t="str">
        <f aca="false">IF(DITARI!$D211="","",TRIM(DITARI!$D211&amp;""))</f>
        <v/>
      </c>
      <c r="F207" s="484" t="str">
        <f aca="false">IF($E207="","",IFERROR(VLOOKUP($E207,PLANI_LLOGARIVE!$A:$I,2,FALSE()),DITARI!$E211))</f>
        <v/>
      </c>
      <c r="G207" s="484" t="str">
        <f aca="false">IF($E207="","",DITARI!$I211)</f>
        <v/>
      </c>
      <c r="H207" s="484" t="str">
        <f aca="false">IFERROR(IF($E207="","",DITARI!$H211),"")</f>
        <v/>
      </c>
      <c r="I207" s="487" t="n">
        <f aca="false">IF($E207="",0,IFERROR(DITARI!$F211,0))</f>
        <v>0</v>
      </c>
      <c r="J207" s="487" t="n">
        <f aca="false">IF($E207="",0,IFERROR(DITARI!$G211,0))</f>
        <v>0</v>
      </c>
      <c r="K207" s="484" t="str">
        <f aca="false">IF($E207="","",IFERROR(VLOOKUP($E207,PLANI_LLOGARIVE!$A:$I,9,FALSE()),""))</f>
        <v/>
      </c>
      <c r="L207" s="487" t="str">
        <f aca="false">IF($E207="","",$I207-$J207)</f>
        <v/>
      </c>
      <c r="M207" s="484" t="str">
        <f aca="false">IF($E207="","",IF($I207&gt;0,"DEBIT",IF($J207&gt;0,"KREDIT","ZERO")))</f>
        <v/>
      </c>
      <c r="N207" s="484" t="str">
        <f aca="false">IF($E207="","",TEXT($B207,"yyyymmdd")&amp;"-"&amp;TEXT(ROW(),"0000"))</f>
        <v/>
      </c>
      <c r="O207" s="101" t="str">
        <f aca="false">IF($E207="","",$E207&amp;"")</f>
        <v/>
      </c>
      <c r="P207" s="101" t="str">
        <f aca="false">IF(AND($O207&lt;&gt;"",$I207&lt;&gt;0),COUNTIFS($O$2:O207,$O207,$I$2:I207,"&gt;0"),"")</f>
        <v/>
      </c>
      <c r="Q207" s="101" t="str">
        <f aca="false">IF(AND($O207&lt;&gt;"",$J207&lt;&gt;0),COUNTIFS($O$2:O207,$O207,$J$2:J207,"&gt;0"),"")</f>
        <v/>
      </c>
      <c r="R207" s="101" t="str">
        <f aca="false">IF($P207="","",$O207&amp;"|"&amp;$P207)</f>
        <v/>
      </c>
      <c r="S207" s="101" t="str">
        <f aca="false">IF($Q207="","",$O207&amp;"|"&amp;$Q207)</f>
        <v/>
      </c>
      <c r="T207" s="101" t="str">
        <f aca="false">IF($O207="","",COUNTIF($O$2:O207,$O207))</f>
        <v/>
      </c>
      <c r="U207" s="101" t="str">
        <f aca="false">IF($O207="","",$O207&amp;"|"&amp;$T207)</f>
        <v/>
      </c>
      <c r="V207" s="488" t="n">
        <f aca="false">IF(OR(LEFT($D207,5)="MB-CL",LEFT($D207,6)="MB-RES"),0,$I207)</f>
        <v>0</v>
      </c>
      <c r="W207" s="488" t="n">
        <f aca="false">IF(OR(LEFT($D207,5)="MB-CL",LEFT($D207,6)="MB-RES"),0,$J207)</f>
        <v>0</v>
      </c>
      <c r="X207" s="101" t="str">
        <f aca="false">IF($E207="","",LEFT($E207,1))</f>
        <v/>
      </c>
      <c r="Y207" s="101" t="str">
        <f aca="false">IF($E207="","",LEFT($E207,2))</f>
        <v/>
      </c>
      <c r="Z207" s="101" t="str">
        <f aca="false">IF($E207="","",LEFT($E207,3))</f>
        <v/>
      </c>
      <c r="AA207" s="101" t="str">
        <f aca="false">IF($E207="","",LEFT($E207,4))</f>
        <v/>
      </c>
    </row>
    <row r="208" customFormat="false" ht="15" hidden="false" customHeight="true" outlineLevel="0" collapsed="false">
      <c r="A208" s="484" t="str">
        <f aca="false">IF(DITARI!$D212="","",ROW()-1)</f>
        <v/>
      </c>
      <c r="B208" s="485" t="str">
        <f aca="false">IF(DITARI!$D212="","",DITARI!$A212)</f>
        <v/>
      </c>
      <c r="C208" s="484" t="str">
        <f aca="false">IF(DITARI!$D212="","",DITARI!$B212)</f>
        <v/>
      </c>
      <c r="D208" s="484" t="str">
        <f aca="false">IF(DITARI!$D212="","",DITARI!$C212)</f>
        <v/>
      </c>
      <c r="E208" s="484" t="str">
        <f aca="false">IF(DITARI!$D212="","",TRIM(DITARI!$D212&amp;""))</f>
        <v/>
      </c>
      <c r="F208" s="484" t="str">
        <f aca="false">IF($E208="","",IFERROR(VLOOKUP($E208,PLANI_LLOGARIVE!$A:$I,2,FALSE()),DITARI!$E212))</f>
        <v/>
      </c>
      <c r="G208" s="484" t="str">
        <f aca="false">IF($E208="","",DITARI!$I212)</f>
        <v/>
      </c>
      <c r="H208" s="484" t="str">
        <f aca="false">IFERROR(IF($E208="","",DITARI!$H212),"")</f>
        <v/>
      </c>
      <c r="I208" s="487" t="n">
        <f aca="false">IF($E208="",0,IFERROR(DITARI!$F212,0))</f>
        <v>0</v>
      </c>
      <c r="J208" s="487" t="n">
        <f aca="false">IF($E208="",0,IFERROR(DITARI!$G212,0))</f>
        <v>0</v>
      </c>
      <c r="K208" s="484" t="str">
        <f aca="false">IF($E208="","",IFERROR(VLOOKUP($E208,PLANI_LLOGARIVE!$A:$I,9,FALSE()),""))</f>
        <v/>
      </c>
      <c r="L208" s="487" t="str">
        <f aca="false">IF($E208="","",$I208-$J208)</f>
        <v/>
      </c>
      <c r="M208" s="484" t="str">
        <f aca="false">IF($E208="","",IF($I208&gt;0,"DEBIT",IF($J208&gt;0,"KREDIT","ZERO")))</f>
        <v/>
      </c>
      <c r="N208" s="484" t="str">
        <f aca="false">IF($E208="","",TEXT($B208,"yyyymmdd")&amp;"-"&amp;TEXT(ROW(),"0000"))</f>
        <v/>
      </c>
      <c r="O208" s="101" t="str">
        <f aca="false">IF($E208="","",$E208&amp;"")</f>
        <v/>
      </c>
      <c r="P208" s="101" t="str">
        <f aca="false">IF(AND($O208&lt;&gt;"",$I208&lt;&gt;0),COUNTIFS($O$2:O208,$O208,$I$2:I208,"&gt;0"),"")</f>
        <v/>
      </c>
      <c r="Q208" s="101" t="str">
        <f aca="false">IF(AND($O208&lt;&gt;"",$J208&lt;&gt;0),COUNTIFS($O$2:O208,$O208,$J$2:J208,"&gt;0"),"")</f>
        <v/>
      </c>
      <c r="R208" s="101" t="str">
        <f aca="false">IF($P208="","",$O208&amp;"|"&amp;$P208)</f>
        <v/>
      </c>
      <c r="S208" s="101" t="str">
        <f aca="false">IF($Q208="","",$O208&amp;"|"&amp;$Q208)</f>
        <v/>
      </c>
      <c r="T208" s="101" t="str">
        <f aca="false">IF($O208="","",COUNTIF($O$2:O208,$O208))</f>
        <v/>
      </c>
      <c r="U208" s="101" t="str">
        <f aca="false">IF($O208="","",$O208&amp;"|"&amp;$T208)</f>
        <v/>
      </c>
      <c r="V208" s="488" t="n">
        <f aca="false">IF(OR(LEFT($D208,5)="MB-CL",LEFT($D208,6)="MB-RES"),0,$I208)</f>
        <v>0</v>
      </c>
      <c r="W208" s="488" t="n">
        <f aca="false">IF(OR(LEFT($D208,5)="MB-CL",LEFT($D208,6)="MB-RES"),0,$J208)</f>
        <v>0</v>
      </c>
      <c r="X208" s="101" t="str">
        <f aca="false">IF($E208="","",LEFT($E208,1))</f>
        <v/>
      </c>
      <c r="Y208" s="101" t="str">
        <f aca="false">IF($E208="","",LEFT($E208,2))</f>
        <v/>
      </c>
      <c r="Z208" s="101" t="str">
        <f aca="false">IF($E208="","",LEFT($E208,3))</f>
        <v/>
      </c>
      <c r="AA208" s="101" t="str">
        <f aca="false">IF($E208="","",LEFT($E208,4))</f>
        <v/>
      </c>
    </row>
    <row r="209" customFormat="false" ht="15" hidden="false" customHeight="true" outlineLevel="0" collapsed="false">
      <c r="A209" s="484" t="str">
        <f aca="false">IF(DITARI!$D213="","",ROW()-1)</f>
        <v/>
      </c>
      <c r="B209" s="485" t="str">
        <f aca="false">IF(DITARI!$D213="","",DITARI!$A213)</f>
        <v/>
      </c>
      <c r="C209" s="484" t="str">
        <f aca="false">IF(DITARI!$D213="","",DITARI!$B213)</f>
        <v/>
      </c>
      <c r="D209" s="484" t="str">
        <f aca="false">IF(DITARI!$D213="","",DITARI!$C213)</f>
        <v/>
      </c>
      <c r="E209" s="484" t="str">
        <f aca="false">IF(DITARI!$D213="","",TRIM(DITARI!$D213&amp;""))</f>
        <v/>
      </c>
      <c r="F209" s="484" t="str">
        <f aca="false">IF($E209="","",IFERROR(VLOOKUP($E209,PLANI_LLOGARIVE!$A:$I,2,FALSE()),DITARI!$E213))</f>
        <v/>
      </c>
      <c r="G209" s="484" t="str">
        <f aca="false">IF($E209="","",DITARI!$I213)</f>
        <v/>
      </c>
      <c r="H209" s="484" t="str">
        <f aca="false">IFERROR(IF($E209="","",DITARI!$H213),"")</f>
        <v/>
      </c>
      <c r="I209" s="487" t="n">
        <f aca="false">IF($E209="",0,IFERROR(DITARI!$F213,0))</f>
        <v>0</v>
      </c>
      <c r="J209" s="487" t="n">
        <f aca="false">IF($E209="",0,IFERROR(DITARI!$G213,0))</f>
        <v>0</v>
      </c>
      <c r="K209" s="484" t="str">
        <f aca="false">IF($E209="","",IFERROR(VLOOKUP($E209,PLANI_LLOGARIVE!$A:$I,9,FALSE()),""))</f>
        <v/>
      </c>
      <c r="L209" s="487" t="str">
        <f aca="false">IF($E209="","",$I209-$J209)</f>
        <v/>
      </c>
      <c r="M209" s="484" t="str">
        <f aca="false">IF($E209="","",IF($I209&gt;0,"DEBIT",IF($J209&gt;0,"KREDIT","ZERO")))</f>
        <v/>
      </c>
      <c r="N209" s="484" t="str">
        <f aca="false">IF($E209="","",TEXT($B209,"yyyymmdd")&amp;"-"&amp;TEXT(ROW(),"0000"))</f>
        <v/>
      </c>
      <c r="O209" s="101" t="str">
        <f aca="false">IF($E209="","",$E209&amp;"")</f>
        <v/>
      </c>
      <c r="P209" s="101" t="str">
        <f aca="false">IF(AND($O209&lt;&gt;"",$I209&lt;&gt;0),COUNTIFS($O$2:O209,$O209,$I$2:I209,"&gt;0"),"")</f>
        <v/>
      </c>
      <c r="Q209" s="101" t="str">
        <f aca="false">IF(AND($O209&lt;&gt;"",$J209&lt;&gt;0),COUNTIFS($O$2:O209,$O209,$J$2:J209,"&gt;0"),"")</f>
        <v/>
      </c>
      <c r="R209" s="101" t="str">
        <f aca="false">IF($P209="","",$O209&amp;"|"&amp;$P209)</f>
        <v/>
      </c>
      <c r="S209" s="101" t="str">
        <f aca="false">IF($Q209="","",$O209&amp;"|"&amp;$Q209)</f>
        <v/>
      </c>
      <c r="T209" s="101" t="str">
        <f aca="false">IF($O209="","",COUNTIF($O$2:O209,$O209))</f>
        <v/>
      </c>
      <c r="U209" s="101" t="str">
        <f aca="false">IF($O209="","",$O209&amp;"|"&amp;$T209)</f>
        <v/>
      </c>
      <c r="V209" s="488" t="n">
        <f aca="false">IF(OR(LEFT($D209,5)="MB-CL",LEFT($D209,6)="MB-RES"),0,$I209)</f>
        <v>0</v>
      </c>
      <c r="W209" s="488" t="n">
        <f aca="false">IF(OR(LEFT($D209,5)="MB-CL",LEFT($D209,6)="MB-RES"),0,$J209)</f>
        <v>0</v>
      </c>
      <c r="X209" s="101" t="str">
        <f aca="false">IF($E209="","",LEFT($E209,1))</f>
        <v/>
      </c>
      <c r="Y209" s="101" t="str">
        <f aca="false">IF($E209="","",LEFT($E209,2))</f>
        <v/>
      </c>
      <c r="Z209" s="101" t="str">
        <f aca="false">IF($E209="","",LEFT($E209,3))</f>
        <v/>
      </c>
      <c r="AA209" s="101" t="str">
        <f aca="false">IF($E209="","",LEFT($E209,4))</f>
        <v/>
      </c>
    </row>
    <row r="210" customFormat="false" ht="15" hidden="false" customHeight="true" outlineLevel="0" collapsed="false">
      <c r="A210" s="484" t="str">
        <f aca="false">IF(DITARI!$D214="","",ROW()-1)</f>
        <v/>
      </c>
      <c r="B210" s="485" t="str">
        <f aca="false">IF(DITARI!$D214="","",DITARI!$A214)</f>
        <v/>
      </c>
      <c r="C210" s="484" t="str">
        <f aca="false">IF(DITARI!$D214="","",DITARI!$B214)</f>
        <v/>
      </c>
      <c r="D210" s="484" t="str">
        <f aca="false">IF(DITARI!$D214="","",DITARI!$C214)</f>
        <v/>
      </c>
      <c r="E210" s="484" t="str">
        <f aca="false">IF(DITARI!$D214="","",TRIM(DITARI!$D214&amp;""))</f>
        <v/>
      </c>
      <c r="F210" s="484" t="str">
        <f aca="false">IF($E210="","",IFERROR(VLOOKUP($E210,PLANI_LLOGARIVE!$A:$I,2,FALSE()),DITARI!$E214))</f>
        <v/>
      </c>
      <c r="G210" s="484" t="str">
        <f aca="false">IF($E210="","",DITARI!$I214)</f>
        <v/>
      </c>
      <c r="H210" s="484" t="str">
        <f aca="false">IFERROR(IF($E210="","",DITARI!$H214),"")</f>
        <v/>
      </c>
      <c r="I210" s="487" t="n">
        <f aca="false">IF($E210="",0,IFERROR(DITARI!$F214,0))</f>
        <v>0</v>
      </c>
      <c r="J210" s="487" t="n">
        <f aca="false">IF($E210="",0,IFERROR(DITARI!$G214,0))</f>
        <v>0</v>
      </c>
      <c r="K210" s="484" t="str">
        <f aca="false">IF($E210="","",IFERROR(VLOOKUP($E210,PLANI_LLOGARIVE!$A:$I,9,FALSE()),""))</f>
        <v/>
      </c>
      <c r="L210" s="487" t="str">
        <f aca="false">IF($E210="","",$I210-$J210)</f>
        <v/>
      </c>
      <c r="M210" s="484" t="str">
        <f aca="false">IF($E210="","",IF($I210&gt;0,"DEBIT",IF($J210&gt;0,"KREDIT","ZERO")))</f>
        <v/>
      </c>
      <c r="N210" s="484" t="str">
        <f aca="false">IF($E210="","",TEXT($B210,"yyyymmdd")&amp;"-"&amp;TEXT(ROW(),"0000"))</f>
        <v/>
      </c>
      <c r="O210" s="101" t="str">
        <f aca="false">IF($E210="","",$E210&amp;"")</f>
        <v/>
      </c>
      <c r="P210" s="101" t="str">
        <f aca="false">IF(AND($O210&lt;&gt;"",$I210&lt;&gt;0),COUNTIFS($O$2:O210,$O210,$I$2:I210,"&gt;0"),"")</f>
        <v/>
      </c>
      <c r="Q210" s="101" t="str">
        <f aca="false">IF(AND($O210&lt;&gt;"",$J210&lt;&gt;0),COUNTIFS($O$2:O210,$O210,$J$2:J210,"&gt;0"),"")</f>
        <v/>
      </c>
      <c r="R210" s="101" t="str">
        <f aca="false">IF($P210="","",$O210&amp;"|"&amp;$P210)</f>
        <v/>
      </c>
      <c r="S210" s="101" t="str">
        <f aca="false">IF($Q210="","",$O210&amp;"|"&amp;$Q210)</f>
        <v/>
      </c>
      <c r="T210" s="101" t="str">
        <f aca="false">IF($O210="","",COUNTIF($O$2:O210,$O210))</f>
        <v/>
      </c>
      <c r="U210" s="101" t="str">
        <f aca="false">IF($O210="","",$O210&amp;"|"&amp;$T210)</f>
        <v/>
      </c>
      <c r="V210" s="488" t="n">
        <f aca="false">IF(OR(LEFT($D210,5)="MB-CL",LEFT($D210,6)="MB-RES"),0,$I210)</f>
        <v>0</v>
      </c>
      <c r="W210" s="488" t="n">
        <f aca="false">IF(OR(LEFT($D210,5)="MB-CL",LEFT($D210,6)="MB-RES"),0,$J210)</f>
        <v>0</v>
      </c>
      <c r="X210" s="101" t="str">
        <f aca="false">IF($E210="","",LEFT($E210,1))</f>
        <v/>
      </c>
      <c r="Y210" s="101" t="str">
        <f aca="false">IF($E210="","",LEFT($E210,2))</f>
        <v/>
      </c>
      <c r="Z210" s="101" t="str">
        <f aca="false">IF($E210="","",LEFT($E210,3))</f>
        <v/>
      </c>
      <c r="AA210" s="101" t="str">
        <f aca="false">IF($E210="","",LEFT($E210,4))</f>
        <v/>
      </c>
    </row>
    <row r="211" customFormat="false" ht="15" hidden="false" customHeight="true" outlineLevel="0" collapsed="false">
      <c r="A211" s="484" t="str">
        <f aca="false">IF(DITARI!$D215="","",ROW()-1)</f>
        <v/>
      </c>
      <c r="B211" s="485" t="str">
        <f aca="false">IF(DITARI!$D215="","",DITARI!$A215)</f>
        <v/>
      </c>
      <c r="C211" s="484" t="str">
        <f aca="false">IF(DITARI!$D215="","",DITARI!$B215)</f>
        <v/>
      </c>
      <c r="D211" s="484" t="str">
        <f aca="false">IF(DITARI!$D215="","",DITARI!$C215)</f>
        <v/>
      </c>
      <c r="E211" s="484" t="str">
        <f aca="false">IF(DITARI!$D215="","",TRIM(DITARI!$D215&amp;""))</f>
        <v/>
      </c>
      <c r="F211" s="484" t="str">
        <f aca="false">IF($E211="","",IFERROR(VLOOKUP($E211,PLANI_LLOGARIVE!$A:$I,2,FALSE()),DITARI!$E215))</f>
        <v/>
      </c>
      <c r="G211" s="484" t="str">
        <f aca="false">IF($E211="","",DITARI!$I215)</f>
        <v/>
      </c>
      <c r="H211" s="484" t="str">
        <f aca="false">IFERROR(IF($E211="","",DITARI!$H215),"")</f>
        <v/>
      </c>
      <c r="I211" s="487" t="n">
        <f aca="false">IF($E211="",0,IFERROR(DITARI!$F215,0))</f>
        <v>0</v>
      </c>
      <c r="J211" s="487" t="n">
        <f aca="false">IF($E211="",0,IFERROR(DITARI!$G215,0))</f>
        <v>0</v>
      </c>
      <c r="K211" s="484" t="str">
        <f aca="false">IF($E211="","",IFERROR(VLOOKUP($E211,PLANI_LLOGARIVE!$A:$I,9,FALSE()),""))</f>
        <v/>
      </c>
      <c r="L211" s="487" t="str">
        <f aca="false">IF($E211="","",$I211-$J211)</f>
        <v/>
      </c>
      <c r="M211" s="484" t="str">
        <f aca="false">IF($E211="","",IF($I211&gt;0,"DEBIT",IF($J211&gt;0,"KREDIT","ZERO")))</f>
        <v/>
      </c>
      <c r="N211" s="484" t="str">
        <f aca="false">IF($E211="","",TEXT($B211,"yyyymmdd")&amp;"-"&amp;TEXT(ROW(),"0000"))</f>
        <v/>
      </c>
      <c r="O211" s="101" t="str">
        <f aca="false">IF($E211="","",$E211&amp;"")</f>
        <v/>
      </c>
      <c r="P211" s="101" t="str">
        <f aca="false">IF(AND($O211&lt;&gt;"",$I211&lt;&gt;0),COUNTIFS($O$2:O211,$O211,$I$2:I211,"&gt;0"),"")</f>
        <v/>
      </c>
      <c r="Q211" s="101" t="str">
        <f aca="false">IF(AND($O211&lt;&gt;"",$J211&lt;&gt;0),COUNTIFS($O$2:O211,$O211,$J$2:J211,"&gt;0"),"")</f>
        <v/>
      </c>
      <c r="R211" s="101" t="str">
        <f aca="false">IF($P211="","",$O211&amp;"|"&amp;$P211)</f>
        <v/>
      </c>
      <c r="S211" s="101" t="str">
        <f aca="false">IF($Q211="","",$O211&amp;"|"&amp;$Q211)</f>
        <v/>
      </c>
      <c r="T211" s="101" t="str">
        <f aca="false">IF($O211="","",COUNTIF($O$2:O211,$O211))</f>
        <v/>
      </c>
      <c r="U211" s="101" t="str">
        <f aca="false">IF($O211="","",$O211&amp;"|"&amp;$T211)</f>
        <v/>
      </c>
      <c r="V211" s="488" t="n">
        <f aca="false">IF(OR(LEFT($D211,5)="MB-CL",LEFT($D211,6)="MB-RES"),0,$I211)</f>
        <v>0</v>
      </c>
      <c r="W211" s="488" t="n">
        <f aca="false">IF(OR(LEFT($D211,5)="MB-CL",LEFT($D211,6)="MB-RES"),0,$J211)</f>
        <v>0</v>
      </c>
      <c r="X211" s="101" t="str">
        <f aca="false">IF($E211="","",LEFT($E211,1))</f>
        <v/>
      </c>
      <c r="Y211" s="101" t="str">
        <f aca="false">IF($E211="","",LEFT($E211,2))</f>
        <v/>
      </c>
      <c r="Z211" s="101" t="str">
        <f aca="false">IF($E211="","",LEFT($E211,3))</f>
        <v/>
      </c>
      <c r="AA211" s="101" t="str">
        <f aca="false">IF($E211="","",LEFT($E211,4))</f>
        <v/>
      </c>
    </row>
    <row r="212" customFormat="false" ht="15" hidden="false" customHeight="true" outlineLevel="0" collapsed="false">
      <c r="A212" s="484" t="str">
        <f aca="false">IF(DITARI!$D216="","",ROW()-1)</f>
        <v/>
      </c>
      <c r="B212" s="485" t="str">
        <f aca="false">IF(DITARI!$D216="","",DITARI!$A216)</f>
        <v/>
      </c>
      <c r="C212" s="484" t="str">
        <f aca="false">IF(DITARI!$D216="","",DITARI!$B216)</f>
        <v/>
      </c>
      <c r="D212" s="484" t="str">
        <f aca="false">IF(DITARI!$D216="","",DITARI!$C216)</f>
        <v/>
      </c>
      <c r="E212" s="484" t="str">
        <f aca="false">IF(DITARI!$D216="","",TRIM(DITARI!$D216&amp;""))</f>
        <v/>
      </c>
      <c r="F212" s="484" t="str">
        <f aca="false">IF($E212="","",IFERROR(VLOOKUP($E212,PLANI_LLOGARIVE!$A:$I,2,FALSE()),DITARI!$E216))</f>
        <v/>
      </c>
      <c r="G212" s="484" t="str">
        <f aca="false">IF($E212="","",DITARI!$I216)</f>
        <v/>
      </c>
      <c r="H212" s="484" t="str">
        <f aca="false">IFERROR(IF($E212="","",DITARI!$H216),"")</f>
        <v/>
      </c>
      <c r="I212" s="487" t="n">
        <f aca="false">IF($E212="",0,IFERROR(DITARI!$F216,0))</f>
        <v>0</v>
      </c>
      <c r="J212" s="487" t="n">
        <f aca="false">IF($E212="",0,IFERROR(DITARI!$G216,0))</f>
        <v>0</v>
      </c>
      <c r="K212" s="484" t="str">
        <f aca="false">IF($E212="","",IFERROR(VLOOKUP($E212,PLANI_LLOGARIVE!$A:$I,9,FALSE()),""))</f>
        <v/>
      </c>
      <c r="L212" s="487" t="str">
        <f aca="false">IF($E212="","",$I212-$J212)</f>
        <v/>
      </c>
      <c r="M212" s="484" t="str">
        <f aca="false">IF($E212="","",IF($I212&gt;0,"DEBIT",IF($J212&gt;0,"KREDIT","ZERO")))</f>
        <v/>
      </c>
      <c r="N212" s="484" t="str">
        <f aca="false">IF($E212="","",TEXT($B212,"yyyymmdd")&amp;"-"&amp;TEXT(ROW(),"0000"))</f>
        <v/>
      </c>
      <c r="O212" s="101" t="str">
        <f aca="false">IF($E212="","",$E212&amp;"")</f>
        <v/>
      </c>
      <c r="P212" s="101" t="str">
        <f aca="false">IF(AND($O212&lt;&gt;"",$I212&lt;&gt;0),COUNTIFS($O$2:O212,$O212,$I$2:I212,"&gt;0"),"")</f>
        <v/>
      </c>
      <c r="Q212" s="101" t="str">
        <f aca="false">IF(AND($O212&lt;&gt;"",$J212&lt;&gt;0),COUNTIFS($O$2:O212,$O212,$J$2:J212,"&gt;0"),"")</f>
        <v/>
      </c>
      <c r="R212" s="101" t="str">
        <f aca="false">IF($P212="","",$O212&amp;"|"&amp;$P212)</f>
        <v/>
      </c>
      <c r="S212" s="101" t="str">
        <f aca="false">IF($Q212="","",$O212&amp;"|"&amp;$Q212)</f>
        <v/>
      </c>
      <c r="T212" s="101" t="str">
        <f aca="false">IF($O212="","",COUNTIF($O$2:O212,$O212))</f>
        <v/>
      </c>
      <c r="U212" s="101" t="str">
        <f aca="false">IF($O212="","",$O212&amp;"|"&amp;$T212)</f>
        <v/>
      </c>
      <c r="V212" s="488" t="n">
        <f aca="false">IF(OR(LEFT($D212,5)="MB-CL",LEFT($D212,6)="MB-RES"),0,$I212)</f>
        <v>0</v>
      </c>
      <c r="W212" s="488" t="n">
        <f aca="false">IF(OR(LEFT($D212,5)="MB-CL",LEFT($D212,6)="MB-RES"),0,$J212)</f>
        <v>0</v>
      </c>
      <c r="X212" s="101" t="str">
        <f aca="false">IF($E212="","",LEFT($E212,1))</f>
        <v/>
      </c>
      <c r="Y212" s="101" t="str">
        <f aca="false">IF($E212="","",LEFT($E212,2))</f>
        <v/>
      </c>
      <c r="Z212" s="101" t="str">
        <f aca="false">IF($E212="","",LEFT($E212,3))</f>
        <v/>
      </c>
      <c r="AA212" s="101" t="str">
        <f aca="false">IF($E212="","",LEFT($E212,4))</f>
        <v/>
      </c>
    </row>
    <row r="213" customFormat="false" ht="15" hidden="false" customHeight="true" outlineLevel="0" collapsed="false">
      <c r="A213" s="484" t="str">
        <f aca="false">IF(DITARI!$D217="","",ROW()-1)</f>
        <v/>
      </c>
      <c r="B213" s="485" t="str">
        <f aca="false">IF(DITARI!$D217="","",DITARI!$A217)</f>
        <v/>
      </c>
      <c r="C213" s="484" t="str">
        <f aca="false">IF(DITARI!$D217="","",DITARI!$B217)</f>
        <v/>
      </c>
      <c r="D213" s="484" t="str">
        <f aca="false">IF(DITARI!$D217="","",DITARI!$C217)</f>
        <v/>
      </c>
      <c r="E213" s="484" t="str">
        <f aca="false">IF(DITARI!$D217="","",TRIM(DITARI!$D217&amp;""))</f>
        <v/>
      </c>
      <c r="F213" s="484" t="str">
        <f aca="false">IF($E213="","",IFERROR(VLOOKUP($E213,PLANI_LLOGARIVE!$A:$I,2,FALSE()),DITARI!$E217))</f>
        <v/>
      </c>
      <c r="G213" s="484" t="str">
        <f aca="false">IF($E213="","",DITARI!$I217)</f>
        <v/>
      </c>
      <c r="H213" s="484" t="str">
        <f aca="false">IFERROR(IF($E213="","",DITARI!$H217),"")</f>
        <v/>
      </c>
      <c r="I213" s="487" t="n">
        <f aca="false">IF($E213="",0,IFERROR(DITARI!$F217,0))</f>
        <v>0</v>
      </c>
      <c r="J213" s="487" t="n">
        <f aca="false">IF($E213="",0,IFERROR(DITARI!$G217,0))</f>
        <v>0</v>
      </c>
      <c r="K213" s="484" t="str">
        <f aca="false">IF($E213="","",IFERROR(VLOOKUP($E213,PLANI_LLOGARIVE!$A:$I,9,FALSE()),""))</f>
        <v/>
      </c>
      <c r="L213" s="487" t="str">
        <f aca="false">IF($E213="","",$I213-$J213)</f>
        <v/>
      </c>
      <c r="M213" s="484" t="str">
        <f aca="false">IF($E213="","",IF($I213&gt;0,"DEBIT",IF($J213&gt;0,"KREDIT","ZERO")))</f>
        <v/>
      </c>
      <c r="N213" s="484" t="str">
        <f aca="false">IF($E213="","",TEXT($B213,"yyyymmdd")&amp;"-"&amp;TEXT(ROW(),"0000"))</f>
        <v/>
      </c>
      <c r="O213" s="101" t="str">
        <f aca="false">IF($E213="","",$E213&amp;"")</f>
        <v/>
      </c>
      <c r="P213" s="101" t="str">
        <f aca="false">IF(AND($O213&lt;&gt;"",$I213&lt;&gt;0),COUNTIFS($O$2:O213,$O213,$I$2:I213,"&gt;0"),"")</f>
        <v/>
      </c>
      <c r="Q213" s="101" t="str">
        <f aca="false">IF(AND($O213&lt;&gt;"",$J213&lt;&gt;0),COUNTIFS($O$2:O213,$O213,$J$2:J213,"&gt;0"),"")</f>
        <v/>
      </c>
      <c r="R213" s="101" t="str">
        <f aca="false">IF($P213="","",$O213&amp;"|"&amp;$P213)</f>
        <v/>
      </c>
      <c r="S213" s="101" t="str">
        <f aca="false">IF($Q213="","",$O213&amp;"|"&amp;$Q213)</f>
        <v/>
      </c>
      <c r="T213" s="101" t="str">
        <f aca="false">IF($O213="","",COUNTIF($O$2:O213,$O213))</f>
        <v/>
      </c>
      <c r="U213" s="101" t="str">
        <f aca="false">IF($O213="","",$O213&amp;"|"&amp;$T213)</f>
        <v/>
      </c>
      <c r="V213" s="488" t="n">
        <f aca="false">IF(OR(LEFT($D213,5)="MB-CL",LEFT($D213,6)="MB-RES"),0,$I213)</f>
        <v>0</v>
      </c>
      <c r="W213" s="488" t="n">
        <f aca="false">IF(OR(LEFT($D213,5)="MB-CL",LEFT($D213,6)="MB-RES"),0,$J213)</f>
        <v>0</v>
      </c>
      <c r="X213" s="101" t="str">
        <f aca="false">IF($E213="","",LEFT($E213,1))</f>
        <v/>
      </c>
      <c r="Y213" s="101" t="str">
        <f aca="false">IF($E213="","",LEFT($E213,2))</f>
        <v/>
      </c>
      <c r="Z213" s="101" t="str">
        <f aca="false">IF($E213="","",LEFT($E213,3))</f>
        <v/>
      </c>
      <c r="AA213" s="101" t="str">
        <f aca="false">IF($E213="","",LEFT($E213,4))</f>
        <v/>
      </c>
    </row>
    <row r="214" customFormat="false" ht="15" hidden="false" customHeight="true" outlineLevel="0" collapsed="false">
      <c r="A214" s="484" t="str">
        <f aca="false">IF(DITARI!$D218="","",ROW()-1)</f>
        <v/>
      </c>
      <c r="B214" s="485" t="str">
        <f aca="false">IF(DITARI!$D218="","",DITARI!$A218)</f>
        <v/>
      </c>
      <c r="C214" s="484" t="str">
        <f aca="false">IF(DITARI!$D218="","",DITARI!$B218)</f>
        <v/>
      </c>
      <c r="D214" s="484" t="str">
        <f aca="false">IF(DITARI!$D218="","",DITARI!$C218)</f>
        <v/>
      </c>
      <c r="E214" s="484" t="str">
        <f aca="false">IF(DITARI!$D218="","",TRIM(DITARI!$D218&amp;""))</f>
        <v/>
      </c>
      <c r="F214" s="484" t="str">
        <f aca="false">IF($E214="","",IFERROR(VLOOKUP($E214,PLANI_LLOGARIVE!$A:$I,2,FALSE()),DITARI!$E218))</f>
        <v/>
      </c>
      <c r="G214" s="484" t="str">
        <f aca="false">IF($E214="","",DITARI!$I218)</f>
        <v/>
      </c>
      <c r="H214" s="484" t="str">
        <f aca="false">IFERROR(IF($E214="","",DITARI!$H218),"")</f>
        <v/>
      </c>
      <c r="I214" s="487" t="n">
        <f aca="false">IF($E214="",0,IFERROR(DITARI!$F218,0))</f>
        <v>0</v>
      </c>
      <c r="J214" s="487" t="n">
        <f aca="false">IF($E214="",0,IFERROR(DITARI!$G218,0))</f>
        <v>0</v>
      </c>
      <c r="K214" s="484" t="str">
        <f aca="false">IF($E214="","",IFERROR(VLOOKUP($E214,PLANI_LLOGARIVE!$A:$I,9,FALSE()),""))</f>
        <v/>
      </c>
      <c r="L214" s="487" t="str">
        <f aca="false">IF($E214="","",$I214-$J214)</f>
        <v/>
      </c>
      <c r="M214" s="484" t="str">
        <f aca="false">IF($E214="","",IF($I214&gt;0,"DEBIT",IF($J214&gt;0,"KREDIT","ZERO")))</f>
        <v/>
      </c>
      <c r="N214" s="484" t="str">
        <f aca="false">IF($E214="","",TEXT($B214,"yyyymmdd")&amp;"-"&amp;TEXT(ROW(),"0000"))</f>
        <v/>
      </c>
      <c r="O214" s="101" t="str">
        <f aca="false">IF($E214="","",$E214&amp;"")</f>
        <v/>
      </c>
      <c r="P214" s="101" t="str">
        <f aca="false">IF(AND($O214&lt;&gt;"",$I214&lt;&gt;0),COUNTIFS($O$2:O214,$O214,$I$2:I214,"&gt;0"),"")</f>
        <v/>
      </c>
      <c r="Q214" s="101" t="str">
        <f aca="false">IF(AND($O214&lt;&gt;"",$J214&lt;&gt;0),COUNTIFS($O$2:O214,$O214,$J$2:J214,"&gt;0"),"")</f>
        <v/>
      </c>
      <c r="R214" s="101" t="str">
        <f aca="false">IF($P214="","",$O214&amp;"|"&amp;$P214)</f>
        <v/>
      </c>
      <c r="S214" s="101" t="str">
        <f aca="false">IF($Q214="","",$O214&amp;"|"&amp;$Q214)</f>
        <v/>
      </c>
      <c r="T214" s="101" t="str">
        <f aca="false">IF($O214="","",COUNTIF($O$2:O214,$O214))</f>
        <v/>
      </c>
      <c r="U214" s="101" t="str">
        <f aca="false">IF($O214="","",$O214&amp;"|"&amp;$T214)</f>
        <v/>
      </c>
      <c r="V214" s="488" t="n">
        <f aca="false">IF(OR(LEFT($D214,5)="MB-CL",LEFT($D214,6)="MB-RES"),0,$I214)</f>
        <v>0</v>
      </c>
      <c r="W214" s="488" t="n">
        <f aca="false">IF(OR(LEFT($D214,5)="MB-CL",LEFT($D214,6)="MB-RES"),0,$J214)</f>
        <v>0</v>
      </c>
      <c r="X214" s="101" t="str">
        <f aca="false">IF($E214="","",LEFT($E214,1))</f>
        <v/>
      </c>
      <c r="Y214" s="101" t="str">
        <f aca="false">IF($E214="","",LEFT($E214,2))</f>
        <v/>
      </c>
      <c r="Z214" s="101" t="str">
        <f aca="false">IF($E214="","",LEFT($E214,3))</f>
        <v/>
      </c>
      <c r="AA214" s="101" t="str">
        <f aca="false">IF($E214="","",LEFT($E214,4))</f>
        <v/>
      </c>
    </row>
    <row r="215" customFormat="false" ht="15" hidden="false" customHeight="true" outlineLevel="0" collapsed="false">
      <c r="A215" s="484" t="str">
        <f aca="false">IF(DITARI!$D219="","",ROW()-1)</f>
        <v/>
      </c>
      <c r="B215" s="485" t="str">
        <f aca="false">IF(DITARI!$D219="","",DITARI!$A219)</f>
        <v/>
      </c>
      <c r="C215" s="484" t="str">
        <f aca="false">IF(DITARI!$D219="","",DITARI!$B219)</f>
        <v/>
      </c>
      <c r="D215" s="484" t="str">
        <f aca="false">IF(DITARI!$D219="","",DITARI!$C219)</f>
        <v/>
      </c>
      <c r="E215" s="484" t="str">
        <f aca="false">IF(DITARI!$D219="","",TRIM(DITARI!$D219&amp;""))</f>
        <v/>
      </c>
      <c r="F215" s="484" t="str">
        <f aca="false">IF($E215="","",IFERROR(VLOOKUP($E215,PLANI_LLOGARIVE!$A:$I,2,FALSE()),DITARI!$E219))</f>
        <v/>
      </c>
      <c r="G215" s="484" t="str">
        <f aca="false">IF($E215="","",DITARI!$I219)</f>
        <v/>
      </c>
      <c r="H215" s="484" t="str">
        <f aca="false">IFERROR(IF($E215="","",DITARI!$H219),"")</f>
        <v/>
      </c>
      <c r="I215" s="487" t="n">
        <f aca="false">IF($E215="",0,IFERROR(DITARI!$F219,0))</f>
        <v>0</v>
      </c>
      <c r="J215" s="487" t="n">
        <f aca="false">IF($E215="",0,IFERROR(DITARI!$G219,0))</f>
        <v>0</v>
      </c>
      <c r="K215" s="484" t="str">
        <f aca="false">IF($E215="","",IFERROR(VLOOKUP($E215,PLANI_LLOGARIVE!$A:$I,9,FALSE()),""))</f>
        <v/>
      </c>
      <c r="L215" s="487" t="str">
        <f aca="false">IF($E215="","",$I215-$J215)</f>
        <v/>
      </c>
      <c r="M215" s="484" t="str">
        <f aca="false">IF($E215="","",IF($I215&gt;0,"DEBIT",IF($J215&gt;0,"KREDIT","ZERO")))</f>
        <v/>
      </c>
      <c r="N215" s="484" t="str">
        <f aca="false">IF($E215="","",TEXT($B215,"yyyymmdd")&amp;"-"&amp;TEXT(ROW(),"0000"))</f>
        <v/>
      </c>
      <c r="O215" s="101" t="str">
        <f aca="false">IF($E215="","",$E215&amp;"")</f>
        <v/>
      </c>
      <c r="P215" s="101" t="str">
        <f aca="false">IF(AND($O215&lt;&gt;"",$I215&lt;&gt;0),COUNTIFS($O$2:O215,$O215,$I$2:I215,"&gt;0"),"")</f>
        <v/>
      </c>
      <c r="Q215" s="101" t="str">
        <f aca="false">IF(AND($O215&lt;&gt;"",$J215&lt;&gt;0),COUNTIFS($O$2:O215,$O215,$J$2:J215,"&gt;0"),"")</f>
        <v/>
      </c>
      <c r="R215" s="101" t="str">
        <f aca="false">IF($P215="","",$O215&amp;"|"&amp;$P215)</f>
        <v/>
      </c>
      <c r="S215" s="101" t="str">
        <f aca="false">IF($Q215="","",$O215&amp;"|"&amp;$Q215)</f>
        <v/>
      </c>
      <c r="T215" s="101" t="str">
        <f aca="false">IF($O215="","",COUNTIF($O$2:O215,$O215))</f>
        <v/>
      </c>
      <c r="U215" s="101" t="str">
        <f aca="false">IF($O215="","",$O215&amp;"|"&amp;$T215)</f>
        <v/>
      </c>
      <c r="V215" s="488" t="n">
        <f aca="false">IF(OR(LEFT($D215,5)="MB-CL",LEFT($D215,6)="MB-RES"),0,$I215)</f>
        <v>0</v>
      </c>
      <c r="W215" s="488" t="n">
        <f aca="false">IF(OR(LEFT($D215,5)="MB-CL",LEFT($D215,6)="MB-RES"),0,$J215)</f>
        <v>0</v>
      </c>
      <c r="X215" s="101" t="str">
        <f aca="false">IF($E215="","",LEFT($E215,1))</f>
        <v/>
      </c>
      <c r="Y215" s="101" t="str">
        <f aca="false">IF($E215="","",LEFT($E215,2))</f>
        <v/>
      </c>
      <c r="Z215" s="101" t="str">
        <f aca="false">IF($E215="","",LEFT($E215,3))</f>
        <v/>
      </c>
      <c r="AA215" s="101" t="str">
        <f aca="false">IF($E215="","",LEFT($E215,4))</f>
        <v/>
      </c>
    </row>
    <row r="216" customFormat="false" ht="15" hidden="false" customHeight="true" outlineLevel="0" collapsed="false">
      <c r="A216" s="484" t="str">
        <f aca="false">IF(DITARI!$D220="","",ROW()-1)</f>
        <v/>
      </c>
      <c r="B216" s="485" t="str">
        <f aca="false">IF(DITARI!$D220="","",DITARI!$A220)</f>
        <v/>
      </c>
      <c r="C216" s="484" t="str">
        <f aca="false">IF(DITARI!$D220="","",DITARI!$B220)</f>
        <v/>
      </c>
      <c r="D216" s="484" t="str">
        <f aca="false">IF(DITARI!$D220="","",DITARI!$C220)</f>
        <v/>
      </c>
      <c r="E216" s="484" t="str">
        <f aca="false">IF(DITARI!$D220="","",TRIM(DITARI!$D220&amp;""))</f>
        <v/>
      </c>
      <c r="F216" s="484" t="str">
        <f aca="false">IF($E216="","",IFERROR(VLOOKUP($E216,PLANI_LLOGARIVE!$A:$I,2,FALSE()),DITARI!$E220))</f>
        <v/>
      </c>
      <c r="G216" s="484" t="str">
        <f aca="false">IF($E216="","",DITARI!$I220)</f>
        <v/>
      </c>
      <c r="H216" s="484" t="str">
        <f aca="false">IFERROR(IF($E216="","",DITARI!$H220),"")</f>
        <v/>
      </c>
      <c r="I216" s="487" t="n">
        <f aca="false">IF($E216="",0,IFERROR(DITARI!$F220,0))</f>
        <v>0</v>
      </c>
      <c r="J216" s="487" t="n">
        <f aca="false">IF($E216="",0,IFERROR(DITARI!$G220,0))</f>
        <v>0</v>
      </c>
      <c r="K216" s="484" t="str">
        <f aca="false">IF($E216="","",IFERROR(VLOOKUP($E216,PLANI_LLOGARIVE!$A:$I,9,FALSE()),""))</f>
        <v/>
      </c>
      <c r="L216" s="487" t="str">
        <f aca="false">IF($E216="","",$I216-$J216)</f>
        <v/>
      </c>
      <c r="M216" s="484" t="str">
        <f aca="false">IF($E216="","",IF($I216&gt;0,"DEBIT",IF($J216&gt;0,"KREDIT","ZERO")))</f>
        <v/>
      </c>
      <c r="N216" s="484" t="str">
        <f aca="false">IF($E216="","",TEXT($B216,"yyyymmdd")&amp;"-"&amp;TEXT(ROW(),"0000"))</f>
        <v/>
      </c>
      <c r="O216" s="101" t="str">
        <f aca="false">IF($E216="","",$E216&amp;"")</f>
        <v/>
      </c>
      <c r="P216" s="101" t="str">
        <f aca="false">IF(AND($O216&lt;&gt;"",$I216&lt;&gt;0),COUNTIFS($O$2:O216,$O216,$I$2:I216,"&gt;0"),"")</f>
        <v/>
      </c>
      <c r="Q216" s="101" t="str">
        <f aca="false">IF(AND($O216&lt;&gt;"",$J216&lt;&gt;0),COUNTIFS($O$2:O216,$O216,$J$2:J216,"&gt;0"),"")</f>
        <v/>
      </c>
      <c r="R216" s="101" t="str">
        <f aca="false">IF($P216="","",$O216&amp;"|"&amp;$P216)</f>
        <v/>
      </c>
      <c r="S216" s="101" t="str">
        <f aca="false">IF($Q216="","",$O216&amp;"|"&amp;$Q216)</f>
        <v/>
      </c>
      <c r="T216" s="101" t="str">
        <f aca="false">IF($O216="","",COUNTIF($O$2:O216,$O216))</f>
        <v/>
      </c>
      <c r="U216" s="101" t="str">
        <f aca="false">IF($O216="","",$O216&amp;"|"&amp;$T216)</f>
        <v/>
      </c>
      <c r="V216" s="488" t="n">
        <f aca="false">IF(OR(LEFT($D216,5)="MB-CL",LEFT($D216,6)="MB-RES"),0,$I216)</f>
        <v>0</v>
      </c>
      <c r="W216" s="488" t="n">
        <f aca="false">IF(OR(LEFT($D216,5)="MB-CL",LEFT($D216,6)="MB-RES"),0,$J216)</f>
        <v>0</v>
      </c>
      <c r="X216" s="101" t="str">
        <f aca="false">IF($E216="","",LEFT($E216,1))</f>
        <v/>
      </c>
      <c r="Y216" s="101" t="str">
        <f aca="false">IF($E216="","",LEFT($E216,2))</f>
        <v/>
      </c>
      <c r="Z216" s="101" t="str">
        <f aca="false">IF($E216="","",LEFT($E216,3))</f>
        <v/>
      </c>
      <c r="AA216" s="101" t="str">
        <f aca="false">IF($E216="","",LEFT($E216,4))</f>
        <v/>
      </c>
    </row>
    <row r="217" customFormat="false" ht="15" hidden="false" customHeight="true" outlineLevel="0" collapsed="false">
      <c r="A217" s="484" t="str">
        <f aca="false">IF(DITARI!$D221="","",ROW()-1)</f>
        <v/>
      </c>
      <c r="B217" s="485" t="str">
        <f aca="false">IF(DITARI!$D221="","",DITARI!$A221)</f>
        <v/>
      </c>
      <c r="C217" s="484" t="str">
        <f aca="false">IF(DITARI!$D221="","",DITARI!$B221)</f>
        <v/>
      </c>
      <c r="D217" s="484" t="str">
        <f aca="false">IF(DITARI!$D221="","",DITARI!$C221)</f>
        <v/>
      </c>
      <c r="E217" s="484" t="str">
        <f aca="false">IF(DITARI!$D221="","",TRIM(DITARI!$D221&amp;""))</f>
        <v/>
      </c>
      <c r="F217" s="484" t="str">
        <f aca="false">IF($E217="","",IFERROR(VLOOKUP($E217,PLANI_LLOGARIVE!$A:$I,2,FALSE()),DITARI!$E221))</f>
        <v/>
      </c>
      <c r="G217" s="484" t="str">
        <f aca="false">IF($E217="","",DITARI!$I221)</f>
        <v/>
      </c>
      <c r="H217" s="484" t="str">
        <f aca="false">IFERROR(IF($E217="","",DITARI!$H221),"")</f>
        <v/>
      </c>
      <c r="I217" s="487" t="n">
        <f aca="false">IF($E217="",0,IFERROR(DITARI!$F221,0))</f>
        <v>0</v>
      </c>
      <c r="J217" s="487" t="n">
        <f aca="false">IF($E217="",0,IFERROR(DITARI!$G221,0))</f>
        <v>0</v>
      </c>
      <c r="K217" s="484" t="str">
        <f aca="false">IF($E217="","",IFERROR(VLOOKUP($E217,PLANI_LLOGARIVE!$A:$I,9,FALSE()),""))</f>
        <v/>
      </c>
      <c r="L217" s="487" t="str">
        <f aca="false">IF($E217="","",$I217-$J217)</f>
        <v/>
      </c>
      <c r="M217" s="484" t="str">
        <f aca="false">IF($E217="","",IF($I217&gt;0,"DEBIT",IF($J217&gt;0,"KREDIT","ZERO")))</f>
        <v/>
      </c>
      <c r="N217" s="484" t="str">
        <f aca="false">IF($E217="","",TEXT($B217,"yyyymmdd")&amp;"-"&amp;TEXT(ROW(),"0000"))</f>
        <v/>
      </c>
      <c r="O217" s="101" t="str">
        <f aca="false">IF($E217="","",$E217&amp;"")</f>
        <v/>
      </c>
      <c r="P217" s="101" t="str">
        <f aca="false">IF(AND($O217&lt;&gt;"",$I217&lt;&gt;0),COUNTIFS($O$2:O217,$O217,$I$2:I217,"&gt;0"),"")</f>
        <v/>
      </c>
      <c r="Q217" s="101" t="str">
        <f aca="false">IF(AND($O217&lt;&gt;"",$J217&lt;&gt;0),COUNTIFS($O$2:O217,$O217,$J$2:J217,"&gt;0"),"")</f>
        <v/>
      </c>
      <c r="R217" s="101" t="str">
        <f aca="false">IF($P217="","",$O217&amp;"|"&amp;$P217)</f>
        <v/>
      </c>
      <c r="S217" s="101" t="str">
        <f aca="false">IF($Q217="","",$O217&amp;"|"&amp;$Q217)</f>
        <v/>
      </c>
      <c r="T217" s="101" t="str">
        <f aca="false">IF($O217="","",COUNTIF($O$2:O217,$O217))</f>
        <v/>
      </c>
      <c r="U217" s="101" t="str">
        <f aca="false">IF($O217="","",$O217&amp;"|"&amp;$T217)</f>
        <v/>
      </c>
      <c r="V217" s="488" t="n">
        <f aca="false">IF(OR(LEFT($D217,5)="MB-CL",LEFT($D217,6)="MB-RES"),0,$I217)</f>
        <v>0</v>
      </c>
      <c r="W217" s="488" t="n">
        <f aca="false">IF(OR(LEFT($D217,5)="MB-CL",LEFT($D217,6)="MB-RES"),0,$J217)</f>
        <v>0</v>
      </c>
      <c r="X217" s="101" t="str">
        <f aca="false">IF($E217="","",LEFT($E217,1))</f>
        <v/>
      </c>
      <c r="Y217" s="101" t="str">
        <f aca="false">IF($E217="","",LEFT($E217,2))</f>
        <v/>
      </c>
      <c r="Z217" s="101" t="str">
        <f aca="false">IF($E217="","",LEFT($E217,3))</f>
        <v/>
      </c>
      <c r="AA217" s="101" t="str">
        <f aca="false">IF($E217="","",LEFT($E217,4))</f>
        <v/>
      </c>
    </row>
    <row r="218" customFormat="false" ht="15" hidden="false" customHeight="true" outlineLevel="0" collapsed="false">
      <c r="A218" s="484" t="str">
        <f aca="false">IF(DITARI!$D222="","",ROW()-1)</f>
        <v/>
      </c>
      <c r="B218" s="485" t="str">
        <f aca="false">IF(DITARI!$D222="","",DITARI!$A222)</f>
        <v/>
      </c>
      <c r="C218" s="484" t="str">
        <f aca="false">IF(DITARI!$D222="","",DITARI!$B222)</f>
        <v/>
      </c>
      <c r="D218" s="484" t="str">
        <f aca="false">IF(DITARI!$D222="","",DITARI!$C222)</f>
        <v/>
      </c>
      <c r="E218" s="484" t="str">
        <f aca="false">IF(DITARI!$D222="","",TRIM(DITARI!$D222&amp;""))</f>
        <v/>
      </c>
      <c r="F218" s="484" t="str">
        <f aca="false">IF($E218="","",IFERROR(VLOOKUP($E218,PLANI_LLOGARIVE!$A:$I,2,FALSE()),DITARI!$E222))</f>
        <v/>
      </c>
      <c r="G218" s="484" t="str">
        <f aca="false">IF($E218="","",DITARI!$I222)</f>
        <v/>
      </c>
      <c r="H218" s="484" t="str">
        <f aca="false">IFERROR(IF($E218="","",DITARI!$H222),"")</f>
        <v/>
      </c>
      <c r="I218" s="487" t="n">
        <f aca="false">IF($E218="",0,IFERROR(DITARI!$F222,0))</f>
        <v>0</v>
      </c>
      <c r="J218" s="487" t="n">
        <f aca="false">IF($E218="",0,IFERROR(DITARI!$G222,0))</f>
        <v>0</v>
      </c>
      <c r="K218" s="484" t="str">
        <f aca="false">IF($E218="","",IFERROR(VLOOKUP($E218,PLANI_LLOGARIVE!$A:$I,9,FALSE()),""))</f>
        <v/>
      </c>
      <c r="L218" s="487" t="str">
        <f aca="false">IF($E218="","",$I218-$J218)</f>
        <v/>
      </c>
      <c r="M218" s="484" t="str">
        <f aca="false">IF($E218="","",IF($I218&gt;0,"DEBIT",IF($J218&gt;0,"KREDIT","ZERO")))</f>
        <v/>
      </c>
      <c r="N218" s="484" t="str">
        <f aca="false">IF($E218="","",TEXT($B218,"yyyymmdd")&amp;"-"&amp;TEXT(ROW(),"0000"))</f>
        <v/>
      </c>
      <c r="O218" s="101" t="str">
        <f aca="false">IF($E218="","",$E218&amp;"")</f>
        <v/>
      </c>
      <c r="P218" s="101" t="str">
        <f aca="false">IF(AND($O218&lt;&gt;"",$I218&lt;&gt;0),COUNTIFS($O$2:O218,$O218,$I$2:I218,"&gt;0"),"")</f>
        <v/>
      </c>
      <c r="Q218" s="101" t="str">
        <f aca="false">IF(AND($O218&lt;&gt;"",$J218&lt;&gt;0),COUNTIFS($O$2:O218,$O218,$J$2:J218,"&gt;0"),"")</f>
        <v/>
      </c>
      <c r="R218" s="101" t="str">
        <f aca="false">IF($P218="","",$O218&amp;"|"&amp;$P218)</f>
        <v/>
      </c>
      <c r="S218" s="101" t="str">
        <f aca="false">IF($Q218="","",$O218&amp;"|"&amp;$Q218)</f>
        <v/>
      </c>
      <c r="T218" s="101" t="str">
        <f aca="false">IF($O218="","",COUNTIF($O$2:O218,$O218))</f>
        <v/>
      </c>
      <c r="U218" s="101" t="str">
        <f aca="false">IF($O218="","",$O218&amp;"|"&amp;$T218)</f>
        <v/>
      </c>
      <c r="V218" s="488" t="n">
        <f aca="false">IF(OR(LEFT($D218,5)="MB-CL",LEFT($D218,6)="MB-RES"),0,$I218)</f>
        <v>0</v>
      </c>
      <c r="W218" s="488" t="n">
        <f aca="false">IF(OR(LEFT($D218,5)="MB-CL",LEFT($D218,6)="MB-RES"),0,$J218)</f>
        <v>0</v>
      </c>
      <c r="X218" s="101" t="str">
        <f aca="false">IF($E218="","",LEFT($E218,1))</f>
        <v/>
      </c>
      <c r="Y218" s="101" t="str">
        <f aca="false">IF($E218="","",LEFT($E218,2))</f>
        <v/>
      </c>
      <c r="Z218" s="101" t="str">
        <f aca="false">IF($E218="","",LEFT($E218,3))</f>
        <v/>
      </c>
      <c r="AA218" s="101" t="str">
        <f aca="false">IF($E218="","",LEFT($E218,4))</f>
        <v/>
      </c>
    </row>
    <row r="219" customFormat="false" ht="15" hidden="false" customHeight="true" outlineLevel="0" collapsed="false">
      <c r="A219" s="484" t="str">
        <f aca="false">IF(DITARI!$D223="","",ROW()-1)</f>
        <v/>
      </c>
      <c r="B219" s="485" t="str">
        <f aca="false">IF(DITARI!$D223="","",DITARI!$A223)</f>
        <v/>
      </c>
      <c r="C219" s="484" t="str">
        <f aca="false">IF(DITARI!$D223="","",DITARI!$B223)</f>
        <v/>
      </c>
      <c r="D219" s="484" t="str">
        <f aca="false">IF(DITARI!$D223="","",DITARI!$C223)</f>
        <v/>
      </c>
      <c r="E219" s="484" t="str">
        <f aca="false">IF(DITARI!$D223="","",TRIM(DITARI!$D223&amp;""))</f>
        <v/>
      </c>
      <c r="F219" s="484" t="str">
        <f aca="false">IF($E219="","",IFERROR(VLOOKUP($E219,PLANI_LLOGARIVE!$A:$I,2,FALSE()),DITARI!$E223))</f>
        <v/>
      </c>
      <c r="G219" s="484" t="str">
        <f aca="false">IF($E219="","",DITARI!$I223)</f>
        <v/>
      </c>
      <c r="H219" s="484" t="str">
        <f aca="false">IFERROR(IF($E219="","",DITARI!$H223),"")</f>
        <v/>
      </c>
      <c r="I219" s="487" t="n">
        <f aca="false">IF($E219="",0,IFERROR(DITARI!$F223,0))</f>
        <v>0</v>
      </c>
      <c r="J219" s="487" t="n">
        <f aca="false">IF($E219="",0,IFERROR(DITARI!$G223,0))</f>
        <v>0</v>
      </c>
      <c r="K219" s="484" t="str">
        <f aca="false">IF($E219="","",IFERROR(VLOOKUP($E219,PLANI_LLOGARIVE!$A:$I,9,FALSE()),""))</f>
        <v/>
      </c>
      <c r="L219" s="487" t="str">
        <f aca="false">IF($E219="","",$I219-$J219)</f>
        <v/>
      </c>
      <c r="M219" s="484" t="str">
        <f aca="false">IF($E219="","",IF($I219&gt;0,"DEBIT",IF($J219&gt;0,"KREDIT","ZERO")))</f>
        <v/>
      </c>
      <c r="N219" s="484" t="str">
        <f aca="false">IF($E219="","",TEXT($B219,"yyyymmdd")&amp;"-"&amp;TEXT(ROW(),"0000"))</f>
        <v/>
      </c>
      <c r="O219" s="101" t="str">
        <f aca="false">IF($E219="","",$E219&amp;"")</f>
        <v/>
      </c>
      <c r="P219" s="101" t="str">
        <f aca="false">IF(AND($O219&lt;&gt;"",$I219&lt;&gt;0),COUNTIFS($O$2:O219,$O219,$I$2:I219,"&gt;0"),"")</f>
        <v/>
      </c>
      <c r="Q219" s="101" t="str">
        <f aca="false">IF(AND($O219&lt;&gt;"",$J219&lt;&gt;0),COUNTIFS($O$2:O219,$O219,$J$2:J219,"&gt;0"),"")</f>
        <v/>
      </c>
      <c r="R219" s="101" t="str">
        <f aca="false">IF($P219="","",$O219&amp;"|"&amp;$P219)</f>
        <v/>
      </c>
      <c r="S219" s="101" t="str">
        <f aca="false">IF($Q219="","",$O219&amp;"|"&amp;$Q219)</f>
        <v/>
      </c>
      <c r="T219" s="101" t="str">
        <f aca="false">IF($O219="","",COUNTIF($O$2:O219,$O219))</f>
        <v/>
      </c>
      <c r="U219" s="101" t="str">
        <f aca="false">IF($O219="","",$O219&amp;"|"&amp;$T219)</f>
        <v/>
      </c>
      <c r="V219" s="488" t="n">
        <f aca="false">IF(OR(LEFT($D219,5)="MB-CL",LEFT($D219,6)="MB-RES"),0,$I219)</f>
        <v>0</v>
      </c>
      <c r="W219" s="488" t="n">
        <f aca="false">IF(OR(LEFT($D219,5)="MB-CL",LEFT($D219,6)="MB-RES"),0,$J219)</f>
        <v>0</v>
      </c>
      <c r="X219" s="101" t="str">
        <f aca="false">IF($E219="","",LEFT($E219,1))</f>
        <v/>
      </c>
      <c r="Y219" s="101" t="str">
        <f aca="false">IF($E219="","",LEFT($E219,2))</f>
        <v/>
      </c>
      <c r="Z219" s="101" t="str">
        <f aca="false">IF($E219="","",LEFT($E219,3))</f>
        <v/>
      </c>
      <c r="AA219" s="101" t="str">
        <f aca="false">IF($E219="","",LEFT($E219,4))</f>
        <v/>
      </c>
    </row>
    <row r="220" customFormat="false" ht="15" hidden="false" customHeight="true" outlineLevel="0" collapsed="false">
      <c r="A220" s="484" t="str">
        <f aca="false">IF(DITARI!$D224="","",ROW()-1)</f>
        <v/>
      </c>
      <c r="B220" s="485" t="str">
        <f aca="false">IF(DITARI!$D224="","",DITARI!$A224)</f>
        <v/>
      </c>
      <c r="C220" s="484" t="str">
        <f aca="false">IF(DITARI!$D224="","",DITARI!$B224)</f>
        <v/>
      </c>
      <c r="D220" s="484" t="str">
        <f aca="false">IF(DITARI!$D224="","",DITARI!$C224)</f>
        <v/>
      </c>
      <c r="E220" s="484" t="str">
        <f aca="false">IF(DITARI!$D224="","",TRIM(DITARI!$D224&amp;""))</f>
        <v/>
      </c>
      <c r="F220" s="484" t="str">
        <f aca="false">IF($E220="","",IFERROR(VLOOKUP($E220,PLANI_LLOGARIVE!$A:$I,2,FALSE()),DITARI!$E224))</f>
        <v/>
      </c>
      <c r="G220" s="484" t="str">
        <f aca="false">IF($E220="","",DITARI!$I224)</f>
        <v/>
      </c>
      <c r="H220" s="484" t="str">
        <f aca="false">IFERROR(IF($E220="","",DITARI!$H224),"")</f>
        <v/>
      </c>
      <c r="I220" s="487" t="n">
        <f aca="false">IF($E220="",0,IFERROR(DITARI!$F224,0))</f>
        <v>0</v>
      </c>
      <c r="J220" s="487" t="n">
        <f aca="false">IF($E220="",0,IFERROR(DITARI!$G224,0))</f>
        <v>0</v>
      </c>
      <c r="K220" s="484" t="str">
        <f aca="false">IF($E220="","",IFERROR(VLOOKUP($E220,PLANI_LLOGARIVE!$A:$I,9,FALSE()),""))</f>
        <v/>
      </c>
      <c r="L220" s="487" t="str">
        <f aca="false">IF($E220="","",$I220-$J220)</f>
        <v/>
      </c>
      <c r="M220" s="484" t="str">
        <f aca="false">IF($E220="","",IF($I220&gt;0,"DEBIT",IF($J220&gt;0,"KREDIT","ZERO")))</f>
        <v/>
      </c>
      <c r="N220" s="484" t="str">
        <f aca="false">IF($E220="","",TEXT($B220,"yyyymmdd")&amp;"-"&amp;TEXT(ROW(),"0000"))</f>
        <v/>
      </c>
      <c r="O220" s="101" t="str">
        <f aca="false">IF($E220="","",$E220&amp;"")</f>
        <v/>
      </c>
      <c r="P220" s="101" t="str">
        <f aca="false">IF(AND($O220&lt;&gt;"",$I220&lt;&gt;0),COUNTIFS($O$2:O220,$O220,$I$2:I220,"&gt;0"),"")</f>
        <v/>
      </c>
      <c r="Q220" s="101" t="str">
        <f aca="false">IF(AND($O220&lt;&gt;"",$J220&lt;&gt;0),COUNTIFS($O$2:O220,$O220,$J$2:J220,"&gt;0"),"")</f>
        <v/>
      </c>
      <c r="R220" s="101" t="str">
        <f aca="false">IF($P220="","",$O220&amp;"|"&amp;$P220)</f>
        <v/>
      </c>
      <c r="S220" s="101" t="str">
        <f aca="false">IF($Q220="","",$O220&amp;"|"&amp;$Q220)</f>
        <v/>
      </c>
      <c r="T220" s="101" t="str">
        <f aca="false">IF($O220="","",COUNTIF($O$2:O220,$O220))</f>
        <v/>
      </c>
      <c r="U220" s="101" t="str">
        <f aca="false">IF($O220="","",$O220&amp;"|"&amp;$T220)</f>
        <v/>
      </c>
      <c r="V220" s="488" t="n">
        <f aca="false">IF(OR(LEFT($D220,5)="MB-CL",LEFT($D220,6)="MB-RES"),0,$I220)</f>
        <v>0</v>
      </c>
      <c r="W220" s="488" t="n">
        <f aca="false">IF(OR(LEFT($D220,5)="MB-CL",LEFT($D220,6)="MB-RES"),0,$J220)</f>
        <v>0</v>
      </c>
      <c r="X220" s="101" t="str">
        <f aca="false">IF($E220="","",LEFT($E220,1))</f>
        <v/>
      </c>
      <c r="Y220" s="101" t="str">
        <f aca="false">IF($E220="","",LEFT($E220,2))</f>
        <v/>
      </c>
      <c r="Z220" s="101" t="str">
        <f aca="false">IF($E220="","",LEFT($E220,3))</f>
        <v/>
      </c>
      <c r="AA220" s="101" t="str">
        <f aca="false">IF($E220="","",LEFT($E220,4))</f>
        <v/>
      </c>
    </row>
    <row r="221" customFormat="false" ht="15" hidden="false" customHeight="true" outlineLevel="0" collapsed="false">
      <c r="A221" s="484" t="str">
        <f aca="false">IF(DITARI!$D225="","",ROW()-1)</f>
        <v/>
      </c>
      <c r="B221" s="485" t="str">
        <f aca="false">IF(DITARI!$D225="","",DITARI!$A225)</f>
        <v/>
      </c>
      <c r="C221" s="484" t="str">
        <f aca="false">IF(DITARI!$D225="","",DITARI!$B225)</f>
        <v/>
      </c>
      <c r="D221" s="484" t="str">
        <f aca="false">IF(DITARI!$D225="","",DITARI!$C225)</f>
        <v/>
      </c>
      <c r="E221" s="484" t="str">
        <f aca="false">IF(DITARI!$D225="","",TRIM(DITARI!$D225&amp;""))</f>
        <v/>
      </c>
      <c r="F221" s="484" t="str">
        <f aca="false">IF($E221="","",IFERROR(VLOOKUP($E221,PLANI_LLOGARIVE!$A:$I,2,FALSE()),DITARI!$E225))</f>
        <v/>
      </c>
      <c r="G221" s="484" t="str">
        <f aca="false">IF($E221="","",DITARI!$I225)</f>
        <v/>
      </c>
      <c r="H221" s="484" t="str">
        <f aca="false">IFERROR(IF($E221="","",DITARI!$H225),"")</f>
        <v/>
      </c>
      <c r="I221" s="487" t="n">
        <f aca="false">IF($E221="",0,IFERROR(DITARI!$F225,0))</f>
        <v>0</v>
      </c>
      <c r="J221" s="487" t="n">
        <f aca="false">IF($E221="",0,IFERROR(DITARI!$G225,0))</f>
        <v>0</v>
      </c>
      <c r="K221" s="484" t="str">
        <f aca="false">IF($E221="","",IFERROR(VLOOKUP($E221,PLANI_LLOGARIVE!$A:$I,9,FALSE()),""))</f>
        <v/>
      </c>
      <c r="L221" s="487" t="str">
        <f aca="false">IF($E221="","",$I221-$J221)</f>
        <v/>
      </c>
      <c r="M221" s="484" t="str">
        <f aca="false">IF($E221="","",IF($I221&gt;0,"DEBIT",IF($J221&gt;0,"KREDIT","ZERO")))</f>
        <v/>
      </c>
      <c r="N221" s="484" t="str">
        <f aca="false">IF($E221="","",TEXT($B221,"yyyymmdd")&amp;"-"&amp;TEXT(ROW(),"0000"))</f>
        <v/>
      </c>
      <c r="O221" s="101" t="str">
        <f aca="false">IF($E221="","",$E221&amp;"")</f>
        <v/>
      </c>
      <c r="P221" s="101" t="str">
        <f aca="false">IF(AND($O221&lt;&gt;"",$I221&lt;&gt;0),COUNTIFS($O$2:O221,$O221,$I$2:I221,"&gt;0"),"")</f>
        <v/>
      </c>
      <c r="Q221" s="101" t="str">
        <f aca="false">IF(AND($O221&lt;&gt;"",$J221&lt;&gt;0),COUNTIFS($O$2:O221,$O221,$J$2:J221,"&gt;0"),"")</f>
        <v/>
      </c>
      <c r="R221" s="101" t="str">
        <f aca="false">IF($P221="","",$O221&amp;"|"&amp;$P221)</f>
        <v/>
      </c>
      <c r="S221" s="101" t="str">
        <f aca="false">IF($Q221="","",$O221&amp;"|"&amp;$Q221)</f>
        <v/>
      </c>
      <c r="T221" s="101" t="str">
        <f aca="false">IF($O221="","",COUNTIF($O$2:O221,$O221))</f>
        <v/>
      </c>
      <c r="U221" s="101" t="str">
        <f aca="false">IF($O221="","",$O221&amp;"|"&amp;$T221)</f>
        <v/>
      </c>
      <c r="V221" s="488" t="n">
        <f aca="false">IF(OR(LEFT($D221,5)="MB-CL",LEFT($D221,6)="MB-RES"),0,$I221)</f>
        <v>0</v>
      </c>
      <c r="W221" s="488" t="n">
        <f aca="false">IF(OR(LEFT($D221,5)="MB-CL",LEFT($D221,6)="MB-RES"),0,$J221)</f>
        <v>0</v>
      </c>
      <c r="X221" s="101" t="str">
        <f aca="false">IF($E221="","",LEFT($E221,1))</f>
        <v/>
      </c>
      <c r="Y221" s="101" t="str">
        <f aca="false">IF($E221="","",LEFT($E221,2))</f>
        <v/>
      </c>
      <c r="Z221" s="101" t="str">
        <f aca="false">IF($E221="","",LEFT($E221,3))</f>
        <v/>
      </c>
      <c r="AA221" s="101" t="str">
        <f aca="false">IF($E221="","",LEFT($E221,4))</f>
        <v/>
      </c>
    </row>
    <row r="222" customFormat="false" ht="15" hidden="false" customHeight="true" outlineLevel="0" collapsed="false">
      <c r="A222" s="484" t="str">
        <f aca="false">IF(DITARI!$D226="","",ROW()-1)</f>
        <v/>
      </c>
      <c r="B222" s="485" t="str">
        <f aca="false">IF(DITARI!$D226="","",DITARI!$A226)</f>
        <v/>
      </c>
      <c r="C222" s="484" t="str">
        <f aca="false">IF(DITARI!$D226="","",DITARI!$B226)</f>
        <v/>
      </c>
      <c r="D222" s="484" t="str">
        <f aca="false">IF(DITARI!$D226="","",DITARI!$C226)</f>
        <v/>
      </c>
      <c r="E222" s="484" t="str">
        <f aca="false">IF(DITARI!$D226="","",TRIM(DITARI!$D226&amp;""))</f>
        <v/>
      </c>
      <c r="F222" s="484" t="str">
        <f aca="false">IF($E222="","",IFERROR(VLOOKUP($E222,PLANI_LLOGARIVE!$A:$I,2,FALSE()),DITARI!$E226))</f>
        <v/>
      </c>
      <c r="G222" s="484" t="str">
        <f aca="false">IF($E222="","",DITARI!$I226)</f>
        <v/>
      </c>
      <c r="H222" s="484" t="str">
        <f aca="false">IFERROR(IF($E222="","",DITARI!$H226),"")</f>
        <v/>
      </c>
      <c r="I222" s="487" t="n">
        <f aca="false">IF($E222="",0,IFERROR(DITARI!$F226,0))</f>
        <v>0</v>
      </c>
      <c r="J222" s="487" t="n">
        <f aca="false">IF($E222="",0,IFERROR(DITARI!$G226,0))</f>
        <v>0</v>
      </c>
      <c r="K222" s="484" t="str">
        <f aca="false">IF($E222="","",IFERROR(VLOOKUP($E222,PLANI_LLOGARIVE!$A:$I,9,FALSE()),""))</f>
        <v/>
      </c>
      <c r="L222" s="487" t="str">
        <f aca="false">IF($E222="","",$I222-$J222)</f>
        <v/>
      </c>
      <c r="M222" s="484" t="str">
        <f aca="false">IF($E222="","",IF($I222&gt;0,"DEBIT",IF($J222&gt;0,"KREDIT","ZERO")))</f>
        <v/>
      </c>
      <c r="N222" s="484" t="str">
        <f aca="false">IF($E222="","",TEXT($B222,"yyyymmdd")&amp;"-"&amp;TEXT(ROW(),"0000"))</f>
        <v/>
      </c>
      <c r="O222" s="101" t="str">
        <f aca="false">IF($E222="","",$E222&amp;"")</f>
        <v/>
      </c>
      <c r="P222" s="101" t="str">
        <f aca="false">IF(AND($O222&lt;&gt;"",$I222&lt;&gt;0),COUNTIFS($O$2:O222,$O222,$I$2:I222,"&gt;0"),"")</f>
        <v/>
      </c>
      <c r="Q222" s="101" t="str">
        <f aca="false">IF(AND($O222&lt;&gt;"",$J222&lt;&gt;0),COUNTIFS($O$2:O222,$O222,$J$2:J222,"&gt;0"),"")</f>
        <v/>
      </c>
      <c r="R222" s="101" t="str">
        <f aca="false">IF($P222="","",$O222&amp;"|"&amp;$P222)</f>
        <v/>
      </c>
      <c r="S222" s="101" t="str">
        <f aca="false">IF($Q222="","",$O222&amp;"|"&amp;$Q222)</f>
        <v/>
      </c>
      <c r="T222" s="101" t="str">
        <f aca="false">IF($O222="","",COUNTIF($O$2:O222,$O222))</f>
        <v/>
      </c>
      <c r="U222" s="101" t="str">
        <f aca="false">IF($O222="","",$O222&amp;"|"&amp;$T222)</f>
        <v/>
      </c>
      <c r="V222" s="488" t="n">
        <f aca="false">IF(OR(LEFT($D222,5)="MB-CL",LEFT($D222,6)="MB-RES"),0,$I222)</f>
        <v>0</v>
      </c>
      <c r="W222" s="488" t="n">
        <f aca="false">IF(OR(LEFT($D222,5)="MB-CL",LEFT($D222,6)="MB-RES"),0,$J222)</f>
        <v>0</v>
      </c>
      <c r="X222" s="101" t="str">
        <f aca="false">IF($E222="","",LEFT($E222,1))</f>
        <v/>
      </c>
      <c r="Y222" s="101" t="str">
        <f aca="false">IF($E222="","",LEFT($E222,2))</f>
        <v/>
      </c>
      <c r="Z222" s="101" t="str">
        <f aca="false">IF($E222="","",LEFT($E222,3))</f>
        <v/>
      </c>
      <c r="AA222" s="101" t="str">
        <f aca="false">IF($E222="","",LEFT($E222,4))</f>
        <v/>
      </c>
    </row>
    <row r="223" customFormat="false" ht="15" hidden="false" customHeight="true" outlineLevel="0" collapsed="false">
      <c r="A223" s="484" t="str">
        <f aca="false">IF(DITARI!$D227="","",ROW()-1)</f>
        <v/>
      </c>
      <c r="B223" s="485" t="str">
        <f aca="false">IF(DITARI!$D227="","",DITARI!$A227)</f>
        <v/>
      </c>
      <c r="C223" s="484" t="str">
        <f aca="false">IF(DITARI!$D227="","",DITARI!$B227)</f>
        <v/>
      </c>
      <c r="D223" s="484" t="str">
        <f aca="false">IF(DITARI!$D227="","",DITARI!$C227)</f>
        <v/>
      </c>
      <c r="E223" s="484" t="str">
        <f aca="false">IF(DITARI!$D227="","",TRIM(DITARI!$D227&amp;""))</f>
        <v/>
      </c>
      <c r="F223" s="484" t="str">
        <f aca="false">IF($E223="","",IFERROR(VLOOKUP($E223,PLANI_LLOGARIVE!$A:$I,2,FALSE()),DITARI!$E227))</f>
        <v/>
      </c>
      <c r="G223" s="484" t="str">
        <f aca="false">IF($E223="","",DITARI!$I227)</f>
        <v/>
      </c>
      <c r="H223" s="484" t="str">
        <f aca="false">IFERROR(IF($E223="","",DITARI!$H227),"")</f>
        <v/>
      </c>
      <c r="I223" s="487" t="n">
        <f aca="false">IF($E223="",0,IFERROR(DITARI!$F227,0))</f>
        <v>0</v>
      </c>
      <c r="J223" s="487" t="n">
        <f aca="false">IF($E223="",0,IFERROR(DITARI!$G227,0))</f>
        <v>0</v>
      </c>
      <c r="K223" s="484" t="str">
        <f aca="false">IF($E223="","",IFERROR(VLOOKUP($E223,PLANI_LLOGARIVE!$A:$I,9,FALSE()),""))</f>
        <v/>
      </c>
      <c r="L223" s="487" t="str">
        <f aca="false">IF($E223="","",$I223-$J223)</f>
        <v/>
      </c>
      <c r="M223" s="484" t="str">
        <f aca="false">IF($E223="","",IF($I223&gt;0,"DEBIT",IF($J223&gt;0,"KREDIT","ZERO")))</f>
        <v/>
      </c>
      <c r="N223" s="484" t="str">
        <f aca="false">IF($E223="","",TEXT($B223,"yyyymmdd")&amp;"-"&amp;TEXT(ROW(),"0000"))</f>
        <v/>
      </c>
      <c r="O223" s="101" t="str">
        <f aca="false">IF($E223="","",$E223&amp;"")</f>
        <v/>
      </c>
      <c r="P223" s="101" t="str">
        <f aca="false">IF(AND($O223&lt;&gt;"",$I223&lt;&gt;0),COUNTIFS($O$2:O223,$O223,$I$2:I223,"&gt;0"),"")</f>
        <v/>
      </c>
      <c r="Q223" s="101" t="str">
        <f aca="false">IF(AND($O223&lt;&gt;"",$J223&lt;&gt;0),COUNTIFS($O$2:O223,$O223,$J$2:J223,"&gt;0"),"")</f>
        <v/>
      </c>
      <c r="R223" s="101" t="str">
        <f aca="false">IF($P223="","",$O223&amp;"|"&amp;$P223)</f>
        <v/>
      </c>
      <c r="S223" s="101" t="str">
        <f aca="false">IF($Q223="","",$O223&amp;"|"&amp;$Q223)</f>
        <v/>
      </c>
      <c r="T223" s="101" t="str">
        <f aca="false">IF($O223="","",COUNTIF($O$2:O223,$O223))</f>
        <v/>
      </c>
      <c r="U223" s="101" t="str">
        <f aca="false">IF($O223="","",$O223&amp;"|"&amp;$T223)</f>
        <v/>
      </c>
      <c r="V223" s="488" t="n">
        <f aca="false">IF(OR(LEFT($D223,5)="MB-CL",LEFT($D223,6)="MB-RES"),0,$I223)</f>
        <v>0</v>
      </c>
      <c r="W223" s="488" t="n">
        <f aca="false">IF(OR(LEFT($D223,5)="MB-CL",LEFT($D223,6)="MB-RES"),0,$J223)</f>
        <v>0</v>
      </c>
      <c r="X223" s="101" t="str">
        <f aca="false">IF($E223="","",LEFT($E223,1))</f>
        <v/>
      </c>
      <c r="Y223" s="101" t="str">
        <f aca="false">IF($E223="","",LEFT($E223,2))</f>
        <v/>
      </c>
      <c r="Z223" s="101" t="str">
        <f aca="false">IF($E223="","",LEFT($E223,3))</f>
        <v/>
      </c>
      <c r="AA223" s="101" t="str">
        <f aca="false">IF($E223="","",LEFT($E223,4))</f>
        <v/>
      </c>
    </row>
    <row r="224" customFormat="false" ht="15" hidden="false" customHeight="true" outlineLevel="0" collapsed="false">
      <c r="A224" s="484" t="str">
        <f aca="false">IF(DITARI!$D228="","",ROW()-1)</f>
        <v/>
      </c>
      <c r="B224" s="485" t="str">
        <f aca="false">IF(DITARI!$D228="","",DITARI!$A228)</f>
        <v/>
      </c>
      <c r="C224" s="484" t="str">
        <f aca="false">IF(DITARI!$D228="","",DITARI!$B228)</f>
        <v/>
      </c>
      <c r="D224" s="484" t="str">
        <f aca="false">IF(DITARI!$D228="","",DITARI!$C228)</f>
        <v/>
      </c>
      <c r="E224" s="484" t="str">
        <f aca="false">IF(DITARI!$D228="","",TRIM(DITARI!$D228&amp;""))</f>
        <v/>
      </c>
      <c r="F224" s="484" t="str">
        <f aca="false">IF($E224="","",IFERROR(VLOOKUP($E224,PLANI_LLOGARIVE!$A:$I,2,FALSE()),DITARI!$E228))</f>
        <v/>
      </c>
      <c r="G224" s="484" t="str">
        <f aca="false">IF($E224="","",DITARI!$I228)</f>
        <v/>
      </c>
      <c r="H224" s="484" t="str">
        <f aca="false">IFERROR(IF($E224="","",DITARI!$H228),"")</f>
        <v/>
      </c>
      <c r="I224" s="487" t="n">
        <f aca="false">IF($E224="",0,IFERROR(DITARI!$F228,0))</f>
        <v>0</v>
      </c>
      <c r="J224" s="487" t="n">
        <f aca="false">IF($E224="",0,IFERROR(DITARI!$G228,0))</f>
        <v>0</v>
      </c>
      <c r="K224" s="484" t="str">
        <f aca="false">IF($E224="","",IFERROR(VLOOKUP($E224,PLANI_LLOGARIVE!$A:$I,9,FALSE()),""))</f>
        <v/>
      </c>
      <c r="L224" s="487" t="str">
        <f aca="false">IF($E224="","",$I224-$J224)</f>
        <v/>
      </c>
      <c r="M224" s="484" t="str">
        <f aca="false">IF($E224="","",IF($I224&gt;0,"DEBIT",IF($J224&gt;0,"KREDIT","ZERO")))</f>
        <v/>
      </c>
      <c r="N224" s="484" t="str">
        <f aca="false">IF($E224="","",TEXT($B224,"yyyymmdd")&amp;"-"&amp;TEXT(ROW(),"0000"))</f>
        <v/>
      </c>
      <c r="O224" s="101" t="str">
        <f aca="false">IF($E224="","",$E224&amp;"")</f>
        <v/>
      </c>
      <c r="P224" s="101" t="str">
        <f aca="false">IF(AND($O224&lt;&gt;"",$I224&lt;&gt;0),COUNTIFS($O$2:O224,$O224,$I$2:I224,"&gt;0"),"")</f>
        <v/>
      </c>
      <c r="Q224" s="101" t="str">
        <f aca="false">IF(AND($O224&lt;&gt;"",$J224&lt;&gt;0),COUNTIFS($O$2:O224,$O224,$J$2:J224,"&gt;0"),"")</f>
        <v/>
      </c>
      <c r="R224" s="101" t="str">
        <f aca="false">IF($P224="","",$O224&amp;"|"&amp;$P224)</f>
        <v/>
      </c>
      <c r="S224" s="101" t="str">
        <f aca="false">IF($Q224="","",$O224&amp;"|"&amp;$Q224)</f>
        <v/>
      </c>
      <c r="T224" s="101" t="str">
        <f aca="false">IF($O224="","",COUNTIF($O$2:O224,$O224))</f>
        <v/>
      </c>
      <c r="U224" s="101" t="str">
        <f aca="false">IF($O224="","",$O224&amp;"|"&amp;$T224)</f>
        <v/>
      </c>
      <c r="V224" s="488" t="n">
        <f aca="false">IF(OR(LEFT($D224,5)="MB-CL",LEFT($D224,6)="MB-RES"),0,$I224)</f>
        <v>0</v>
      </c>
      <c r="W224" s="488" t="n">
        <f aca="false">IF(OR(LEFT($D224,5)="MB-CL",LEFT($D224,6)="MB-RES"),0,$J224)</f>
        <v>0</v>
      </c>
      <c r="X224" s="101" t="str">
        <f aca="false">IF($E224="","",LEFT($E224,1))</f>
        <v/>
      </c>
      <c r="Y224" s="101" t="str">
        <f aca="false">IF($E224="","",LEFT($E224,2))</f>
        <v/>
      </c>
      <c r="Z224" s="101" t="str">
        <f aca="false">IF($E224="","",LEFT($E224,3))</f>
        <v/>
      </c>
      <c r="AA224" s="101" t="str">
        <f aca="false">IF($E224="","",LEFT($E224,4))</f>
        <v/>
      </c>
    </row>
    <row r="225" customFormat="false" ht="15" hidden="false" customHeight="true" outlineLevel="0" collapsed="false">
      <c r="A225" s="484" t="str">
        <f aca="false">IF(DITARI!$D229="","",ROW()-1)</f>
        <v/>
      </c>
      <c r="B225" s="485" t="str">
        <f aca="false">IF(DITARI!$D229="","",DITARI!$A229)</f>
        <v/>
      </c>
      <c r="C225" s="484" t="str">
        <f aca="false">IF(DITARI!$D229="","",DITARI!$B229)</f>
        <v/>
      </c>
      <c r="D225" s="484" t="str">
        <f aca="false">IF(DITARI!$D229="","",DITARI!$C229)</f>
        <v/>
      </c>
      <c r="E225" s="484" t="str">
        <f aca="false">IF(DITARI!$D229="","",TRIM(DITARI!$D229&amp;""))</f>
        <v/>
      </c>
      <c r="F225" s="484" t="str">
        <f aca="false">IF($E225="","",IFERROR(VLOOKUP($E225,PLANI_LLOGARIVE!$A:$I,2,FALSE()),DITARI!$E229))</f>
        <v/>
      </c>
      <c r="G225" s="484" t="str">
        <f aca="false">IF($E225="","",DITARI!$I229)</f>
        <v/>
      </c>
      <c r="H225" s="484" t="str">
        <f aca="false">IFERROR(IF($E225="","",DITARI!$H229),"")</f>
        <v/>
      </c>
      <c r="I225" s="487" t="n">
        <f aca="false">IF($E225="",0,IFERROR(DITARI!$F229,0))</f>
        <v>0</v>
      </c>
      <c r="J225" s="487" t="n">
        <f aca="false">IF($E225="",0,IFERROR(DITARI!$G229,0))</f>
        <v>0</v>
      </c>
      <c r="K225" s="484" t="str">
        <f aca="false">IF($E225="","",IFERROR(VLOOKUP($E225,PLANI_LLOGARIVE!$A:$I,9,FALSE()),""))</f>
        <v/>
      </c>
      <c r="L225" s="487" t="str">
        <f aca="false">IF($E225="","",$I225-$J225)</f>
        <v/>
      </c>
      <c r="M225" s="484" t="str">
        <f aca="false">IF($E225="","",IF($I225&gt;0,"DEBIT",IF($J225&gt;0,"KREDIT","ZERO")))</f>
        <v/>
      </c>
      <c r="N225" s="484" t="str">
        <f aca="false">IF($E225="","",TEXT($B225,"yyyymmdd")&amp;"-"&amp;TEXT(ROW(),"0000"))</f>
        <v/>
      </c>
      <c r="O225" s="101" t="str">
        <f aca="false">IF($E225="","",$E225&amp;"")</f>
        <v/>
      </c>
      <c r="P225" s="101" t="str">
        <f aca="false">IF(AND($O225&lt;&gt;"",$I225&lt;&gt;0),COUNTIFS($O$2:O225,$O225,$I$2:I225,"&gt;0"),"")</f>
        <v/>
      </c>
      <c r="Q225" s="101" t="str">
        <f aca="false">IF(AND($O225&lt;&gt;"",$J225&lt;&gt;0),COUNTIFS($O$2:O225,$O225,$J$2:J225,"&gt;0"),"")</f>
        <v/>
      </c>
      <c r="R225" s="101" t="str">
        <f aca="false">IF($P225="","",$O225&amp;"|"&amp;$P225)</f>
        <v/>
      </c>
      <c r="S225" s="101" t="str">
        <f aca="false">IF($Q225="","",$O225&amp;"|"&amp;$Q225)</f>
        <v/>
      </c>
      <c r="T225" s="101" t="str">
        <f aca="false">IF($O225="","",COUNTIF($O$2:O225,$O225))</f>
        <v/>
      </c>
      <c r="U225" s="101" t="str">
        <f aca="false">IF($O225="","",$O225&amp;"|"&amp;$T225)</f>
        <v/>
      </c>
      <c r="V225" s="488" t="n">
        <f aca="false">IF(OR(LEFT($D225,5)="MB-CL",LEFT($D225,6)="MB-RES"),0,$I225)</f>
        <v>0</v>
      </c>
      <c r="W225" s="488" t="n">
        <f aca="false">IF(OR(LEFT($D225,5)="MB-CL",LEFT($D225,6)="MB-RES"),0,$J225)</f>
        <v>0</v>
      </c>
      <c r="X225" s="101" t="str">
        <f aca="false">IF($E225="","",LEFT($E225,1))</f>
        <v/>
      </c>
      <c r="Y225" s="101" t="str">
        <f aca="false">IF($E225="","",LEFT($E225,2))</f>
        <v/>
      </c>
      <c r="Z225" s="101" t="str">
        <f aca="false">IF($E225="","",LEFT($E225,3))</f>
        <v/>
      </c>
      <c r="AA225" s="101" t="str">
        <f aca="false">IF($E225="","",LEFT($E225,4))</f>
        <v/>
      </c>
    </row>
    <row r="226" customFormat="false" ht="15" hidden="false" customHeight="true" outlineLevel="0" collapsed="false">
      <c r="A226" s="484" t="str">
        <f aca="false">IF(DITARI!$D230="","",ROW()-1)</f>
        <v/>
      </c>
      <c r="B226" s="485" t="str">
        <f aca="false">IF(DITARI!$D230="","",DITARI!$A230)</f>
        <v/>
      </c>
      <c r="C226" s="484" t="str">
        <f aca="false">IF(DITARI!$D230="","",DITARI!$B230)</f>
        <v/>
      </c>
      <c r="D226" s="484" t="str">
        <f aca="false">IF(DITARI!$D230="","",DITARI!$C230)</f>
        <v/>
      </c>
      <c r="E226" s="484" t="str">
        <f aca="false">IF(DITARI!$D230="","",TRIM(DITARI!$D230&amp;""))</f>
        <v/>
      </c>
      <c r="F226" s="484" t="str">
        <f aca="false">IF($E226="","",IFERROR(VLOOKUP($E226,PLANI_LLOGARIVE!$A:$I,2,FALSE()),DITARI!$E230))</f>
        <v/>
      </c>
      <c r="G226" s="484" t="str">
        <f aca="false">IF($E226="","",DITARI!$I230)</f>
        <v/>
      </c>
      <c r="H226" s="484" t="str">
        <f aca="false">IFERROR(IF($E226="","",DITARI!$H230),"")</f>
        <v/>
      </c>
      <c r="I226" s="487" t="n">
        <f aca="false">IF($E226="",0,IFERROR(DITARI!$F230,0))</f>
        <v>0</v>
      </c>
      <c r="J226" s="487" t="n">
        <f aca="false">IF($E226="",0,IFERROR(DITARI!$G230,0))</f>
        <v>0</v>
      </c>
      <c r="K226" s="484" t="str">
        <f aca="false">IF($E226="","",IFERROR(VLOOKUP($E226,PLANI_LLOGARIVE!$A:$I,9,FALSE()),""))</f>
        <v/>
      </c>
      <c r="L226" s="487" t="str">
        <f aca="false">IF($E226="","",$I226-$J226)</f>
        <v/>
      </c>
      <c r="M226" s="484" t="str">
        <f aca="false">IF($E226="","",IF($I226&gt;0,"DEBIT",IF($J226&gt;0,"KREDIT","ZERO")))</f>
        <v/>
      </c>
      <c r="N226" s="484" t="str">
        <f aca="false">IF($E226="","",TEXT($B226,"yyyymmdd")&amp;"-"&amp;TEXT(ROW(),"0000"))</f>
        <v/>
      </c>
      <c r="O226" s="101" t="str">
        <f aca="false">IF($E226="","",$E226&amp;"")</f>
        <v/>
      </c>
      <c r="P226" s="101" t="str">
        <f aca="false">IF(AND($O226&lt;&gt;"",$I226&lt;&gt;0),COUNTIFS($O$2:O226,$O226,$I$2:I226,"&gt;0"),"")</f>
        <v/>
      </c>
      <c r="Q226" s="101" t="str">
        <f aca="false">IF(AND($O226&lt;&gt;"",$J226&lt;&gt;0),COUNTIFS($O$2:O226,$O226,$J$2:J226,"&gt;0"),"")</f>
        <v/>
      </c>
      <c r="R226" s="101" t="str">
        <f aca="false">IF($P226="","",$O226&amp;"|"&amp;$P226)</f>
        <v/>
      </c>
      <c r="S226" s="101" t="str">
        <f aca="false">IF($Q226="","",$O226&amp;"|"&amp;$Q226)</f>
        <v/>
      </c>
      <c r="T226" s="101" t="str">
        <f aca="false">IF($O226="","",COUNTIF($O$2:O226,$O226))</f>
        <v/>
      </c>
      <c r="U226" s="101" t="str">
        <f aca="false">IF($O226="","",$O226&amp;"|"&amp;$T226)</f>
        <v/>
      </c>
      <c r="V226" s="488" t="n">
        <f aca="false">IF(OR(LEFT($D226,5)="MB-CL",LEFT($D226,6)="MB-RES"),0,$I226)</f>
        <v>0</v>
      </c>
      <c r="W226" s="488" t="n">
        <f aca="false">IF(OR(LEFT($D226,5)="MB-CL",LEFT($D226,6)="MB-RES"),0,$J226)</f>
        <v>0</v>
      </c>
      <c r="X226" s="101" t="str">
        <f aca="false">IF($E226="","",LEFT($E226,1))</f>
        <v/>
      </c>
      <c r="Y226" s="101" t="str">
        <f aca="false">IF($E226="","",LEFT($E226,2))</f>
        <v/>
      </c>
      <c r="Z226" s="101" t="str">
        <f aca="false">IF($E226="","",LEFT($E226,3))</f>
        <v/>
      </c>
      <c r="AA226" s="101" t="str">
        <f aca="false">IF($E226="","",LEFT($E226,4))</f>
        <v/>
      </c>
    </row>
    <row r="227" customFormat="false" ht="15" hidden="false" customHeight="true" outlineLevel="0" collapsed="false">
      <c r="A227" s="484" t="str">
        <f aca="false">IF(DITARI!$D231="","",ROW()-1)</f>
        <v/>
      </c>
      <c r="B227" s="485" t="str">
        <f aca="false">IF(DITARI!$D231="","",DITARI!$A231)</f>
        <v/>
      </c>
      <c r="C227" s="484" t="str">
        <f aca="false">IF(DITARI!$D231="","",DITARI!$B231)</f>
        <v/>
      </c>
      <c r="D227" s="484" t="str">
        <f aca="false">IF(DITARI!$D231="","",DITARI!$C231)</f>
        <v/>
      </c>
      <c r="E227" s="484" t="str">
        <f aca="false">IF(DITARI!$D231="","",TRIM(DITARI!$D231&amp;""))</f>
        <v/>
      </c>
      <c r="F227" s="484" t="str">
        <f aca="false">IF($E227="","",IFERROR(VLOOKUP($E227,PLANI_LLOGARIVE!$A:$I,2,FALSE()),DITARI!$E231))</f>
        <v/>
      </c>
      <c r="G227" s="484" t="str">
        <f aca="false">IF($E227="","",DITARI!$I231)</f>
        <v/>
      </c>
      <c r="H227" s="484" t="str">
        <f aca="false">IFERROR(IF($E227="","",DITARI!$H231),"")</f>
        <v/>
      </c>
      <c r="I227" s="487" t="n">
        <f aca="false">IF($E227="",0,IFERROR(DITARI!$F231,0))</f>
        <v>0</v>
      </c>
      <c r="J227" s="487" t="n">
        <f aca="false">IF($E227="",0,IFERROR(DITARI!$G231,0))</f>
        <v>0</v>
      </c>
      <c r="K227" s="484" t="str">
        <f aca="false">IF($E227="","",IFERROR(VLOOKUP($E227,PLANI_LLOGARIVE!$A:$I,9,FALSE()),""))</f>
        <v/>
      </c>
      <c r="L227" s="487" t="str">
        <f aca="false">IF($E227="","",$I227-$J227)</f>
        <v/>
      </c>
      <c r="M227" s="484" t="str">
        <f aca="false">IF($E227="","",IF($I227&gt;0,"DEBIT",IF($J227&gt;0,"KREDIT","ZERO")))</f>
        <v/>
      </c>
      <c r="N227" s="484" t="str">
        <f aca="false">IF($E227="","",TEXT($B227,"yyyymmdd")&amp;"-"&amp;TEXT(ROW(),"0000"))</f>
        <v/>
      </c>
      <c r="O227" s="101" t="str">
        <f aca="false">IF($E227="","",$E227&amp;"")</f>
        <v/>
      </c>
      <c r="P227" s="101" t="str">
        <f aca="false">IF(AND($O227&lt;&gt;"",$I227&lt;&gt;0),COUNTIFS($O$2:O227,$O227,$I$2:I227,"&gt;0"),"")</f>
        <v/>
      </c>
      <c r="Q227" s="101" t="str">
        <f aca="false">IF(AND($O227&lt;&gt;"",$J227&lt;&gt;0),COUNTIFS($O$2:O227,$O227,$J$2:J227,"&gt;0"),"")</f>
        <v/>
      </c>
      <c r="R227" s="101" t="str">
        <f aca="false">IF($P227="","",$O227&amp;"|"&amp;$P227)</f>
        <v/>
      </c>
      <c r="S227" s="101" t="str">
        <f aca="false">IF($Q227="","",$O227&amp;"|"&amp;$Q227)</f>
        <v/>
      </c>
      <c r="T227" s="101" t="str">
        <f aca="false">IF($O227="","",COUNTIF($O$2:O227,$O227))</f>
        <v/>
      </c>
      <c r="U227" s="101" t="str">
        <f aca="false">IF($O227="","",$O227&amp;"|"&amp;$T227)</f>
        <v/>
      </c>
      <c r="V227" s="488" t="n">
        <f aca="false">IF(OR(LEFT($D227,5)="MB-CL",LEFT($D227,6)="MB-RES"),0,$I227)</f>
        <v>0</v>
      </c>
      <c r="W227" s="488" t="n">
        <f aca="false">IF(OR(LEFT($D227,5)="MB-CL",LEFT($D227,6)="MB-RES"),0,$J227)</f>
        <v>0</v>
      </c>
      <c r="X227" s="101" t="str">
        <f aca="false">IF($E227="","",LEFT($E227,1))</f>
        <v/>
      </c>
      <c r="Y227" s="101" t="str">
        <f aca="false">IF($E227="","",LEFT($E227,2))</f>
        <v/>
      </c>
      <c r="Z227" s="101" t="str">
        <f aca="false">IF($E227="","",LEFT($E227,3))</f>
        <v/>
      </c>
      <c r="AA227" s="101" t="str">
        <f aca="false">IF($E227="","",LEFT($E227,4))</f>
        <v/>
      </c>
    </row>
    <row r="228" customFormat="false" ht="15" hidden="false" customHeight="true" outlineLevel="0" collapsed="false">
      <c r="A228" s="484" t="str">
        <f aca="false">IF(DITARI!$D232="","",ROW()-1)</f>
        <v/>
      </c>
      <c r="B228" s="485" t="str">
        <f aca="false">IF(DITARI!$D232="","",DITARI!$A232)</f>
        <v/>
      </c>
      <c r="C228" s="484" t="str">
        <f aca="false">IF(DITARI!$D232="","",DITARI!$B232)</f>
        <v/>
      </c>
      <c r="D228" s="484" t="str">
        <f aca="false">IF(DITARI!$D232="","",DITARI!$C232)</f>
        <v/>
      </c>
      <c r="E228" s="484" t="str">
        <f aca="false">IF(DITARI!$D232="","",TRIM(DITARI!$D232&amp;""))</f>
        <v/>
      </c>
      <c r="F228" s="484" t="str">
        <f aca="false">IF($E228="","",IFERROR(VLOOKUP($E228,PLANI_LLOGARIVE!$A:$I,2,FALSE()),DITARI!$E232))</f>
        <v/>
      </c>
      <c r="G228" s="484" t="str">
        <f aca="false">IF($E228="","",DITARI!$I232)</f>
        <v/>
      </c>
      <c r="H228" s="484" t="str">
        <f aca="false">IFERROR(IF($E228="","",DITARI!$H232),"")</f>
        <v/>
      </c>
      <c r="I228" s="487" t="n">
        <f aca="false">IF($E228="",0,IFERROR(DITARI!$F232,0))</f>
        <v>0</v>
      </c>
      <c r="J228" s="487" t="n">
        <f aca="false">IF($E228="",0,IFERROR(DITARI!$G232,0))</f>
        <v>0</v>
      </c>
      <c r="K228" s="484" t="str">
        <f aca="false">IF($E228="","",IFERROR(VLOOKUP($E228,PLANI_LLOGARIVE!$A:$I,9,FALSE()),""))</f>
        <v/>
      </c>
      <c r="L228" s="487" t="str">
        <f aca="false">IF($E228="","",$I228-$J228)</f>
        <v/>
      </c>
      <c r="M228" s="484" t="str">
        <f aca="false">IF($E228="","",IF($I228&gt;0,"DEBIT",IF($J228&gt;0,"KREDIT","ZERO")))</f>
        <v/>
      </c>
      <c r="N228" s="484" t="str">
        <f aca="false">IF($E228="","",TEXT($B228,"yyyymmdd")&amp;"-"&amp;TEXT(ROW(),"0000"))</f>
        <v/>
      </c>
      <c r="O228" s="101" t="str">
        <f aca="false">IF($E228="","",$E228&amp;"")</f>
        <v/>
      </c>
      <c r="P228" s="101" t="str">
        <f aca="false">IF(AND($O228&lt;&gt;"",$I228&lt;&gt;0),COUNTIFS($O$2:O228,$O228,$I$2:I228,"&gt;0"),"")</f>
        <v/>
      </c>
      <c r="Q228" s="101" t="str">
        <f aca="false">IF(AND($O228&lt;&gt;"",$J228&lt;&gt;0),COUNTIFS($O$2:O228,$O228,$J$2:J228,"&gt;0"),"")</f>
        <v/>
      </c>
      <c r="R228" s="101" t="str">
        <f aca="false">IF($P228="","",$O228&amp;"|"&amp;$P228)</f>
        <v/>
      </c>
      <c r="S228" s="101" t="str">
        <f aca="false">IF($Q228="","",$O228&amp;"|"&amp;$Q228)</f>
        <v/>
      </c>
      <c r="T228" s="101" t="str">
        <f aca="false">IF($O228="","",COUNTIF($O$2:O228,$O228))</f>
        <v/>
      </c>
      <c r="U228" s="101" t="str">
        <f aca="false">IF($O228="","",$O228&amp;"|"&amp;$T228)</f>
        <v/>
      </c>
      <c r="V228" s="488" t="n">
        <f aca="false">IF(OR(LEFT($D228,5)="MB-CL",LEFT($D228,6)="MB-RES"),0,$I228)</f>
        <v>0</v>
      </c>
      <c r="W228" s="488" t="n">
        <f aca="false">IF(OR(LEFT($D228,5)="MB-CL",LEFT($D228,6)="MB-RES"),0,$J228)</f>
        <v>0</v>
      </c>
      <c r="X228" s="101" t="str">
        <f aca="false">IF($E228="","",LEFT($E228,1))</f>
        <v/>
      </c>
      <c r="Y228" s="101" t="str">
        <f aca="false">IF($E228="","",LEFT($E228,2))</f>
        <v/>
      </c>
      <c r="Z228" s="101" t="str">
        <f aca="false">IF($E228="","",LEFT($E228,3))</f>
        <v/>
      </c>
      <c r="AA228" s="101" t="str">
        <f aca="false">IF($E228="","",LEFT($E228,4))</f>
        <v/>
      </c>
    </row>
    <row r="229" customFormat="false" ht="15" hidden="false" customHeight="true" outlineLevel="0" collapsed="false">
      <c r="A229" s="484" t="str">
        <f aca="false">IF(DITARI!$D233="","",ROW()-1)</f>
        <v/>
      </c>
      <c r="B229" s="485" t="str">
        <f aca="false">IF(DITARI!$D233="","",DITARI!$A233)</f>
        <v/>
      </c>
      <c r="C229" s="484" t="str">
        <f aca="false">IF(DITARI!$D233="","",DITARI!$B233)</f>
        <v/>
      </c>
      <c r="D229" s="484" t="str">
        <f aca="false">IF(DITARI!$D233="","",DITARI!$C233)</f>
        <v/>
      </c>
      <c r="E229" s="484" t="str">
        <f aca="false">IF(DITARI!$D233="","",TRIM(DITARI!$D233&amp;""))</f>
        <v/>
      </c>
      <c r="F229" s="484" t="str">
        <f aca="false">IF($E229="","",IFERROR(VLOOKUP($E229,PLANI_LLOGARIVE!$A:$I,2,FALSE()),DITARI!$E233))</f>
        <v/>
      </c>
      <c r="G229" s="484" t="str">
        <f aca="false">IF($E229="","",DITARI!$I233)</f>
        <v/>
      </c>
      <c r="H229" s="484" t="str">
        <f aca="false">IFERROR(IF($E229="","",DITARI!$H233),"")</f>
        <v/>
      </c>
      <c r="I229" s="487" t="n">
        <f aca="false">IF($E229="",0,IFERROR(DITARI!$F233,0))</f>
        <v>0</v>
      </c>
      <c r="J229" s="487" t="n">
        <f aca="false">IF($E229="",0,IFERROR(DITARI!$G233,0))</f>
        <v>0</v>
      </c>
      <c r="K229" s="484" t="str">
        <f aca="false">IF($E229="","",IFERROR(VLOOKUP($E229,PLANI_LLOGARIVE!$A:$I,9,FALSE()),""))</f>
        <v/>
      </c>
      <c r="L229" s="487" t="str">
        <f aca="false">IF($E229="","",$I229-$J229)</f>
        <v/>
      </c>
      <c r="M229" s="484" t="str">
        <f aca="false">IF($E229="","",IF($I229&gt;0,"DEBIT",IF($J229&gt;0,"KREDIT","ZERO")))</f>
        <v/>
      </c>
      <c r="N229" s="484" t="str">
        <f aca="false">IF($E229="","",TEXT($B229,"yyyymmdd")&amp;"-"&amp;TEXT(ROW(),"0000"))</f>
        <v/>
      </c>
      <c r="O229" s="101" t="str">
        <f aca="false">IF($E229="","",$E229&amp;"")</f>
        <v/>
      </c>
      <c r="P229" s="101" t="str">
        <f aca="false">IF(AND($O229&lt;&gt;"",$I229&lt;&gt;0),COUNTIFS($O$2:O229,$O229,$I$2:I229,"&gt;0"),"")</f>
        <v/>
      </c>
      <c r="Q229" s="101" t="str">
        <f aca="false">IF(AND($O229&lt;&gt;"",$J229&lt;&gt;0),COUNTIFS($O$2:O229,$O229,$J$2:J229,"&gt;0"),"")</f>
        <v/>
      </c>
      <c r="R229" s="101" t="str">
        <f aca="false">IF($P229="","",$O229&amp;"|"&amp;$P229)</f>
        <v/>
      </c>
      <c r="S229" s="101" t="str">
        <f aca="false">IF($Q229="","",$O229&amp;"|"&amp;$Q229)</f>
        <v/>
      </c>
      <c r="T229" s="101" t="str">
        <f aca="false">IF($O229="","",COUNTIF($O$2:O229,$O229))</f>
        <v/>
      </c>
      <c r="U229" s="101" t="str">
        <f aca="false">IF($O229="","",$O229&amp;"|"&amp;$T229)</f>
        <v/>
      </c>
      <c r="V229" s="488" t="n">
        <f aca="false">IF(OR(LEFT($D229,5)="MB-CL",LEFT($D229,6)="MB-RES"),0,$I229)</f>
        <v>0</v>
      </c>
      <c r="W229" s="488" t="n">
        <f aca="false">IF(OR(LEFT($D229,5)="MB-CL",LEFT($D229,6)="MB-RES"),0,$J229)</f>
        <v>0</v>
      </c>
      <c r="X229" s="101" t="str">
        <f aca="false">IF($E229="","",LEFT($E229,1))</f>
        <v/>
      </c>
      <c r="Y229" s="101" t="str">
        <f aca="false">IF($E229="","",LEFT($E229,2))</f>
        <v/>
      </c>
      <c r="Z229" s="101" t="str">
        <f aca="false">IF($E229="","",LEFT($E229,3))</f>
        <v/>
      </c>
      <c r="AA229" s="101" t="str">
        <f aca="false">IF($E229="","",LEFT($E229,4))</f>
        <v/>
      </c>
    </row>
    <row r="230" customFormat="false" ht="15" hidden="false" customHeight="true" outlineLevel="0" collapsed="false">
      <c r="A230" s="484" t="str">
        <f aca="false">IF(DITARI!$D234="","",ROW()-1)</f>
        <v/>
      </c>
      <c r="B230" s="485" t="str">
        <f aca="false">IF(DITARI!$D234="","",DITARI!$A234)</f>
        <v/>
      </c>
      <c r="C230" s="484" t="str">
        <f aca="false">IF(DITARI!$D234="","",DITARI!$B234)</f>
        <v/>
      </c>
      <c r="D230" s="484" t="str">
        <f aca="false">IF(DITARI!$D234="","",DITARI!$C234)</f>
        <v/>
      </c>
      <c r="E230" s="484" t="str">
        <f aca="false">IF(DITARI!$D234="","",TRIM(DITARI!$D234&amp;""))</f>
        <v/>
      </c>
      <c r="F230" s="484" t="str">
        <f aca="false">IF($E230="","",IFERROR(VLOOKUP($E230,PLANI_LLOGARIVE!$A:$I,2,FALSE()),DITARI!$E234))</f>
        <v/>
      </c>
      <c r="G230" s="484" t="str">
        <f aca="false">IF($E230="","",DITARI!$I234)</f>
        <v/>
      </c>
      <c r="H230" s="484" t="str">
        <f aca="false">IFERROR(IF($E230="","",DITARI!$H234),"")</f>
        <v/>
      </c>
      <c r="I230" s="487" t="n">
        <f aca="false">IF($E230="",0,IFERROR(DITARI!$F234,0))</f>
        <v>0</v>
      </c>
      <c r="J230" s="487" t="n">
        <f aca="false">IF($E230="",0,IFERROR(DITARI!$G234,0))</f>
        <v>0</v>
      </c>
      <c r="K230" s="484" t="str">
        <f aca="false">IF($E230="","",IFERROR(VLOOKUP($E230,PLANI_LLOGARIVE!$A:$I,9,FALSE()),""))</f>
        <v/>
      </c>
      <c r="L230" s="487" t="str">
        <f aca="false">IF($E230="","",$I230-$J230)</f>
        <v/>
      </c>
      <c r="M230" s="484" t="str">
        <f aca="false">IF($E230="","",IF($I230&gt;0,"DEBIT",IF($J230&gt;0,"KREDIT","ZERO")))</f>
        <v/>
      </c>
      <c r="N230" s="484" t="str">
        <f aca="false">IF($E230="","",TEXT($B230,"yyyymmdd")&amp;"-"&amp;TEXT(ROW(),"0000"))</f>
        <v/>
      </c>
      <c r="O230" s="101" t="str">
        <f aca="false">IF($E230="","",$E230&amp;"")</f>
        <v/>
      </c>
      <c r="P230" s="101" t="str">
        <f aca="false">IF(AND($O230&lt;&gt;"",$I230&lt;&gt;0),COUNTIFS($O$2:O230,$O230,$I$2:I230,"&gt;0"),"")</f>
        <v/>
      </c>
      <c r="Q230" s="101" t="str">
        <f aca="false">IF(AND($O230&lt;&gt;"",$J230&lt;&gt;0),COUNTIFS($O$2:O230,$O230,$J$2:J230,"&gt;0"),"")</f>
        <v/>
      </c>
      <c r="R230" s="101" t="str">
        <f aca="false">IF($P230="","",$O230&amp;"|"&amp;$P230)</f>
        <v/>
      </c>
      <c r="S230" s="101" t="str">
        <f aca="false">IF($Q230="","",$O230&amp;"|"&amp;$Q230)</f>
        <v/>
      </c>
      <c r="T230" s="101" t="str">
        <f aca="false">IF($O230="","",COUNTIF($O$2:O230,$O230))</f>
        <v/>
      </c>
      <c r="U230" s="101" t="str">
        <f aca="false">IF($O230="","",$O230&amp;"|"&amp;$T230)</f>
        <v/>
      </c>
      <c r="V230" s="488" t="n">
        <f aca="false">IF(OR(LEFT($D230,5)="MB-CL",LEFT($D230,6)="MB-RES"),0,$I230)</f>
        <v>0</v>
      </c>
      <c r="W230" s="488" t="n">
        <f aca="false">IF(OR(LEFT($D230,5)="MB-CL",LEFT($D230,6)="MB-RES"),0,$J230)</f>
        <v>0</v>
      </c>
      <c r="X230" s="101" t="str">
        <f aca="false">IF($E230="","",LEFT($E230,1))</f>
        <v/>
      </c>
      <c r="Y230" s="101" t="str">
        <f aca="false">IF($E230="","",LEFT($E230,2))</f>
        <v/>
      </c>
      <c r="Z230" s="101" t="str">
        <f aca="false">IF($E230="","",LEFT($E230,3))</f>
        <v/>
      </c>
      <c r="AA230" s="101" t="str">
        <f aca="false">IF($E230="","",LEFT($E230,4))</f>
        <v/>
      </c>
    </row>
    <row r="231" customFormat="false" ht="15" hidden="false" customHeight="true" outlineLevel="0" collapsed="false">
      <c r="A231" s="484" t="str">
        <f aca="false">IF(DITARI!$D235="","",ROW()-1)</f>
        <v/>
      </c>
      <c r="B231" s="485" t="str">
        <f aca="false">IF(DITARI!$D235="","",DITARI!$A235)</f>
        <v/>
      </c>
      <c r="C231" s="484" t="str">
        <f aca="false">IF(DITARI!$D235="","",DITARI!$B235)</f>
        <v/>
      </c>
      <c r="D231" s="484" t="str">
        <f aca="false">IF(DITARI!$D235="","",DITARI!$C235)</f>
        <v/>
      </c>
      <c r="E231" s="484" t="str">
        <f aca="false">IF(DITARI!$D235="","",TRIM(DITARI!$D235&amp;""))</f>
        <v/>
      </c>
      <c r="F231" s="484" t="str">
        <f aca="false">IF($E231="","",IFERROR(VLOOKUP($E231,PLANI_LLOGARIVE!$A:$I,2,FALSE()),DITARI!$E235))</f>
        <v/>
      </c>
      <c r="G231" s="484" t="str">
        <f aca="false">IF($E231="","",DITARI!$I235)</f>
        <v/>
      </c>
      <c r="H231" s="484" t="str">
        <f aca="false">IFERROR(IF($E231="","",DITARI!$H235),"")</f>
        <v/>
      </c>
      <c r="I231" s="487" t="n">
        <f aca="false">IF($E231="",0,IFERROR(DITARI!$F235,0))</f>
        <v>0</v>
      </c>
      <c r="J231" s="487" t="n">
        <f aca="false">IF($E231="",0,IFERROR(DITARI!$G235,0))</f>
        <v>0</v>
      </c>
      <c r="K231" s="484" t="str">
        <f aca="false">IF($E231="","",IFERROR(VLOOKUP($E231,PLANI_LLOGARIVE!$A:$I,9,FALSE()),""))</f>
        <v/>
      </c>
      <c r="L231" s="487" t="str">
        <f aca="false">IF($E231="","",$I231-$J231)</f>
        <v/>
      </c>
      <c r="M231" s="484" t="str">
        <f aca="false">IF($E231="","",IF($I231&gt;0,"DEBIT",IF($J231&gt;0,"KREDIT","ZERO")))</f>
        <v/>
      </c>
      <c r="N231" s="484" t="str">
        <f aca="false">IF($E231="","",TEXT($B231,"yyyymmdd")&amp;"-"&amp;TEXT(ROW(),"0000"))</f>
        <v/>
      </c>
      <c r="O231" s="101" t="str">
        <f aca="false">IF($E231="","",$E231&amp;"")</f>
        <v/>
      </c>
      <c r="P231" s="101" t="str">
        <f aca="false">IF(AND($O231&lt;&gt;"",$I231&lt;&gt;0),COUNTIFS($O$2:O231,$O231,$I$2:I231,"&gt;0"),"")</f>
        <v/>
      </c>
      <c r="Q231" s="101" t="str">
        <f aca="false">IF(AND($O231&lt;&gt;"",$J231&lt;&gt;0),COUNTIFS($O$2:O231,$O231,$J$2:J231,"&gt;0"),"")</f>
        <v/>
      </c>
      <c r="R231" s="101" t="str">
        <f aca="false">IF($P231="","",$O231&amp;"|"&amp;$P231)</f>
        <v/>
      </c>
      <c r="S231" s="101" t="str">
        <f aca="false">IF($Q231="","",$O231&amp;"|"&amp;$Q231)</f>
        <v/>
      </c>
      <c r="T231" s="101" t="str">
        <f aca="false">IF($O231="","",COUNTIF($O$2:O231,$O231))</f>
        <v/>
      </c>
      <c r="U231" s="101" t="str">
        <f aca="false">IF($O231="","",$O231&amp;"|"&amp;$T231)</f>
        <v/>
      </c>
      <c r="V231" s="488" t="n">
        <f aca="false">IF(OR(LEFT($D231,5)="MB-CL",LEFT($D231,6)="MB-RES"),0,$I231)</f>
        <v>0</v>
      </c>
      <c r="W231" s="488" t="n">
        <f aca="false">IF(OR(LEFT($D231,5)="MB-CL",LEFT($D231,6)="MB-RES"),0,$J231)</f>
        <v>0</v>
      </c>
      <c r="X231" s="101" t="str">
        <f aca="false">IF($E231="","",LEFT($E231,1))</f>
        <v/>
      </c>
      <c r="Y231" s="101" t="str">
        <f aca="false">IF($E231="","",LEFT($E231,2))</f>
        <v/>
      </c>
      <c r="Z231" s="101" t="str">
        <f aca="false">IF($E231="","",LEFT($E231,3))</f>
        <v/>
      </c>
      <c r="AA231" s="101" t="str">
        <f aca="false">IF($E231="","",LEFT($E231,4))</f>
        <v/>
      </c>
    </row>
    <row r="232" customFormat="false" ht="15" hidden="false" customHeight="true" outlineLevel="0" collapsed="false">
      <c r="A232" s="484" t="str">
        <f aca="false">IF(DITARI!$D236="","",ROW()-1)</f>
        <v/>
      </c>
      <c r="B232" s="485" t="str">
        <f aca="false">IF(DITARI!$D236="","",DITARI!$A236)</f>
        <v/>
      </c>
      <c r="C232" s="484" t="str">
        <f aca="false">IF(DITARI!$D236="","",DITARI!$B236)</f>
        <v/>
      </c>
      <c r="D232" s="484" t="str">
        <f aca="false">IF(DITARI!$D236="","",DITARI!$C236)</f>
        <v/>
      </c>
      <c r="E232" s="484" t="str">
        <f aca="false">IF(DITARI!$D236="","",TRIM(DITARI!$D236&amp;""))</f>
        <v/>
      </c>
      <c r="F232" s="484" t="str">
        <f aca="false">IF($E232="","",IFERROR(VLOOKUP($E232,PLANI_LLOGARIVE!$A:$I,2,FALSE()),DITARI!$E236))</f>
        <v/>
      </c>
      <c r="G232" s="484" t="str">
        <f aca="false">IF($E232="","",DITARI!$I236)</f>
        <v/>
      </c>
      <c r="H232" s="484" t="str">
        <f aca="false">IFERROR(IF($E232="","",DITARI!$H236),"")</f>
        <v/>
      </c>
      <c r="I232" s="487" t="n">
        <f aca="false">IF($E232="",0,IFERROR(DITARI!$F236,0))</f>
        <v>0</v>
      </c>
      <c r="J232" s="487" t="n">
        <f aca="false">IF($E232="",0,IFERROR(DITARI!$G236,0))</f>
        <v>0</v>
      </c>
      <c r="K232" s="484" t="str">
        <f aca="false">IF($E232="","",IFERROR(VLOOKUP($E232,PLANI_LLOGARIVE!$A:$I,9,FALSE()),""))</f>
        <v/>
      </c>
      <c r="L232" s="487" t="str">
        <f aca="false">IF($E232="","",$I232-$J232)</f>
        <v/>
      </c>
      <c r="M232" s="484" t="str">
        <f aca="false">IF($E232="","",IF($I232&gt;0,"DEBIT",IF($J232&gt;0,"KREDIT","ZERO")))</f>
        <v/>
      </c>
      <c r="N232" s="484" t="str">
        <f aca="false">IF($E232="","",TEXT($B232,"yyyymmdd")&amp;"-"&amp;TEXT(ROW(),"0000"))</f>
        <v/>
      </c>
      <c r="O232" s="101" t="str">
        <f aca="false">IF($E232="","",$E232&amp;"")</f>
        <v/>
      </c>
      <c r="P232" s="101" t="str">
        <f aca="false">IF(AND($O232&lt;&gt;"",$I232&lt;&gt;0),COUNTIFS($O$2:O232,$O232,$I$2:I232,"&gt;0"),"")</f>
        <v/>
      </c>
      <c r="Q232" s="101" t="str">
        <f aca="false">IF(AND($O232&lt;&gt;"",$J232&lt;&gt;0),COUNTIFS($O$2:O232,$O232,$J$2:J232,"&gt;0"),"")</f>
        <v/>
      </c>
      <c r="R232" s="101" t="str">
        <f aca="false">IF($P232="","",$O232&amp;"|"&amp;$P232)</f>
        <v/>
      </c>
      <c r="S232" s="101" t="str">
        <f aca="false">IF($Q232="","",$O232&amp;"|"&amp;$Q232)</f>
        <v/>
      </c>
      <c r="T232" s="101" t="str">
        <f aca="false">IF($O232="","",COUNTIF($O$2:O232,$O232))</f>
        <v/>
      </c>
      <c r="U232" s="101" t="str">
        <f aca="false">IF($O232="","",$O232&amp;"|"&amp;$T232)</f>
        <v/>
      </c>
      <c r="V232" s="488" t="n">
        <f aca="false">IF(OR(LEFT($D232,5)="MB-CL",LEFT($D232,6)="MB-RES"),0,$I232)</f>
        <v>0</v>
      </c>
      <c r="W232" s="488" t="n">
        <f aca="false">IF(OR(LEFT($D232,5)="MB-CL",LEFT($D232,6)="MB-RES"),0,$J232)</f>
        <v>0</v>
      </c>
      <c r="X232" s="101" t="str">
        <f aca="false">IF($E232="","",LEFT($E232,1))</f>
        <v/>
      </c>
      <c r="Y232" s="101" t="str">
        <f aca="false">IF($E232="","",LEFT($E232,2))</f>
        <v/>
      </c>
      <c r="Z232" s="101" t="str">
        <f aca="false">IF($E232="","",LEFT($E232,3))</f>
        <v/>
      </c>
      <c r="AA232" s="101" t="str">
        <f aca="false">IF($E232="","",LEFT($E232,4))</f>
        <v/>
      </c>
    </row>
    <row r="233" customFormat="false" ht="15" hidden="false" customHeight="true" outlineLevel="0" collapsed="false">
      <c r="A233" s="484" t="str">
        <f aca="false">IF(DITARI!$D237="","",ROW()-1)</f>
        <v/>
      </c>
      <c r="B233" s="485" t="str">
        <f aca="false">IF(DITARI!$D237="","",DITARI!$A237)</f>
        <v/>
      </c>
      <c r="C233" s="484" t="str">
        <f aca="false">IF(DITARI!$D237="","",DITARI!$B237)</f>
        <v/>
      </c>
      <c r="D233" s="484" t="str">
        <f aca="false">IF(DITARI!$D237="","",DITARI!$C237)</f>
        <v/>
      </c>
      <c r="E233" s="484" t="str">
        <f aca="false">IF(DITARI!$D237="","",TRIM(DITARI!$D237&amp;""))</f>
        <v/>
      </c>
      <c r="F233" s="484" t="str">
        <f aca="false">IF($E233="","",IFERROR(VLOOKUP($E233,PLANI_LLOGARIVE!$A:$I,2,FALSE()),DITARI!$E237))</f>
        <v/>
      </c>
      <c r="G233" s="484" t="str">
        <f aca="false">IF($E233="","",DITARI!$I237)</f>
        <v/>
      </c>
      <c r="H233" s="484" t="str">
        <f aca="false">IFERROR(IF($E233="","",DITARI!$H237),"")</f>
        <v/>
      </c>
      <c r="I233" s="487" t="n">
        <f aca="false">IF($E233="",0,IFERROR(DITARI!$F237,0))</f>
        <v>0</v>
      </c>
      <c r="J233" s="487" t="n">
        <f aca="false">IF($E233="",0,IFERROR(DITARI!$G237,0))</f>
        <v>0</v>
      </c>
      <c r="K233" s="484" t="str">
        <f aca="false">IF($E233="","",IFERROR(VLOOKUP($E233,PLANI_LLOGARIVE!$A:$I,9,FALSE()),""))</f>
        <v/>
      </c>
      <c r="L233" s="487" t="str">
        <f aca="false">IF($E233="","",$I233-$J233)</f>
        <v/>
      </c>
      <c r="M233" s="484" t="str">
        <f aca="false">IF($E233="","",IF($I233&gt;0,"DEBIT",IF($J233&gt;0,"KREDIT","ZERO")))</f>
        <v/>
      </c>
      <c r="N233" s="484" t="str">
        <f aca="false">IF($E233="","",TEXT($B233,"yyyymmdd")&amp;"-"&amp;TEXT(ROW(),"0000"))</f>
        <v/>
      </c>
      <c r="O233" s="101" t="str">
        <f aca="false">IF($E233="","",$E233&amp;"")</f>
        <v/>
      </c>
      <c r="P233" s="101" t="str">
        <f aca="false">IF(AND($O233&lt;&gt;"",$I233&lt;&gt;0),COUNTIFS($O$2:O233,$O233,$I$2:I233,"&gt;0"),"")</f>
        <v/>
      </c>
      <c r="Q233" s="101" t="str">
        <f aca="false">IF(AND($O233&lt;&gt;"",$J233&lt;&gt;0),COUNTIFS($O$2:O233,$O233,$J$2:J233,"&gt;0"),"")</f>
        <v/>
      </c>
      <c r="R233" s="101" t="str">
        <f aca="false">IF($P233="","",$O233&amp;"|"&amp;$P233)</f>
        <v/>
      </c>
      <c r="S233" s="101" t="str">
        <f aca="false">IF($Q233="","",$O233&amp;"|"&amp;$Q233)</f>
        <v/>
      </c>
      <c r="T233" s="101" t="str">
        <f aca="false">IF($O233="","",COUNTIF($O$2:O233,$O233))</f>
        <v/>
      </c>
      <c r="U233" s="101" t="str">
        <f aca="false">IF($O233="","",$O233&amp;"|"&amp;$T233)</f>
        <v/>
      </c>
      <c r="V233" s="488" t="n">
        <f aca="false">IF(OR(LEFT($D233,5)="MB-CL",LEFT($D233,6)="MB-RES"),0,$I233)</f>
        <v>0</v>
      </c>
      <c r="W233" s="488" t="n">
        <f aca="false">IF(OR(LEFT($D233,5)="MB-CL",LEFT($D233,6)="MB-RES"),0,$J233)</f>
        <v>0</v>
      </c>
      <c r="X233" s="101" t="str">
        <f aca="false">IF($E233="","",LEFT($E233,1))</f>
        <v/>
      </c>
      <c r="Y233" s="101" t="str">
        <f aca="false">IF($E233="","",LEFT($E233,2))</f>
        <v/>
      </c>
      <c r="Z233" s="101" t="str">
        <f aca="false">IF($E233="","",LEFT($E233,3))</f>
        <v/>
      </c>
      <c r="AA233" s="101" t="str">
        <f aca="false">IF($E233="","",LEFT($E233,4))</f>
        <v/>
      </c>
    </row>
    <row r="234" customFormat="false" ht="15" hidden="false" customHeight="true" outlineLevel="0" collapsed="false">
      <c r="A234" s="484" t="str">
        <f aca="false">IF(DITARI!$D238="","",ROW()-1)</f>
        <v/>
      </c>
      <c r="B234" s="485" t="str">
        <f aca="false">IF(DITARI!$D238="","",DITARI!$A238)</f>
        <v/>
      </c>
      <c r="C234" s="484" t="str">
        <f aca="false">IF(DITARI!$D238="","",DITARI!$B238)</f>
        <v/>
      </c>
      <c r="D234" s="484" t="str">
        <f aca="false">IF(DITARI!$D238="","",DITARI!$C238)</f>
        <v/>
      </c>
      <c r="E234" s="484" t="str">
        <f aca="false">IF(DITARI!$D238="","",TRIM(DITARI!$D238&amp;""))</f>
        <v/>
      </c>
      <c r="F234" s="484" t="str">
        <f aca="false">IF($E234="","",IFERROR(VLOOKUP($E234,PLANI_LLOGARIVE!$A:$I,2,FALSE()),DITARI!$E238))</f>
        <v/>
      </c>
      <c r="G234" s="484" t="str">
        <f aca="false">IF($E234="","",DITARI!$I238)</f>
        <v/>
      </c>
      <c r="H234" s="484" t="str">
        <f aca="false">IFERROR(IF($E234="","",DITARI!$H238),"")</f>
        <v/>
      </c>
      <c r="I234" s="487" t="n">
        <f aca="false">IF($E234="",0,IFERROR(DITARI!$F238,0))</f>
        <v>0</v>
      </c>
      <c r="J234" s="487" t="n">
        <f aca="false">IF($E234="",0,IFERROR(DITARI!$G238,0))</f>
        <v>0</v>
      </c>
      <c r="K234" s="484" t="str">
        <f aca="false">IF($E234="","",IFERROR(VLOOKUP($E234,PLANI_LLOGARIVE!$A:$I,9,FALSE()),""))</f>
        <v/>
      </c>
      <c r="L234" s="487" t="str">
        <f aca="false">IF($E234="","",$I234-$J234)</f>
        <v/>
      </c>
      <c r="M234" s="484" t="str">
        <f aca="false">IF($E234="","",IF($I234&gt;0,"DEBIT",IF($J234&gt;0,"KREDIT","ZERO")))</f>
        <v/>
      </c>
      <c r="N234" s="484" t="str">
        <f aca="false">IF($E234="","",TEXT($B234,"yyyymmdd")&amp;"-"&amp;TEXT(ROW(),"0000"))</f>
        <v/>
      </c>
      <c r="O234" s="101" t="str">
        <f aca="false">IF($E234="","",$E234&amp;"")</f>
        <v/>
      </c>
      <c r="P234" s="101" t="str">
        <f aca="false">IF(AND($O234&lt;&gt;"",$I234&lt;&gt;0),COUNTIFS($O$2:O234,$O234,$I$2:I234,"&gt;0"),"")</f>
        <v/>
      </c>
      <c r="Q234" s="101" t="str">
        <f aca="false">IF(AND($O234&lt;&gt;"",$J234&lt;&gt;0),COUNTIFS($O$2:O234,$O234,$J$2:J234,"&gt;0"),"")</f>
        <v/>
      </c>
      <c r="R234" s="101" t="str">
        <f aca="false">IF($P234="","",$O234&amp;"|"&amp;$P234)</f>
        <v/>
      </c>
      <c r="S234" s="101" t="str">
        <f aca="false">IF($Q234="","",$O234&amp;"|"&amp;$Q234)</f>
        <v/>
      </c>
      <c r="T234" s="101" t="str">
        <f aca="false">IF($O234="","",COUNTIF($O$2:O234,$O234))</f>
        <v/>
      </c>
      <c r="U234" s="101" t="str">
        <f aca="false">IF($O234="","",$O234&amp;"|"&amp;$T234)</f>
        <v/>
      </c>
      <c r="V234" s="488" t="n">
        <f aca="false">IF(OR(LEFT($D234,5)="MB-CL",LEFT($D234,6)="MB-RES"),0,$I234)</f>
        <v>0</v>
      </c>
      <c r="W234" s="488" t="n">
        <f aca="false">IF(OR(LEFT($D234,5)="MB-CL",LEFT($D234,6)="MB-RES"),0,$J234)</f>
        <v>0</v>
      </c>
      <c r="X234" s="101" t="str">
        <f aca="false">IF($E234="","",LEFT($E234,1))</f>
        <v/>
      </c>
      <c r="Y234" s="101" t="str">
        <f aca="false">IF($E234="","",LEFT($E234,2))</f>
        <v/>
      </c>
      <c r="Z234" s="101" t="str">
        <f aca="false">IF($E234="","",LEFT($E234,3))</f>
        <v/>
      </c>
      <c r="AA234" s="101" t="str">
        <f aca="false">IF($E234="","",LEFT($E234,4))</f>
        <v/>
      </c>
    </row>
    <row r="235" customFormat="false" ht="15" hidden="false" customHeight="true" outlineLevel="0" collapsed="false">
      <c r="A235" s="484" t="str">
        <f aca="false">IF(DITARI!$D239="","",ROW()-1)</f>
        <v/>
      </c>
      <c r="B235" s="485" t="str">
        <f aca="false">IF(DITARI!$D239="","",DITARI!$A239)</f>
        <v/>
      </c>
      <c r="C235" s="484" t="str">
        <f aca="false">IF(DITARI!$D239="","",DITARI!$B239)</f>
        <v/>
      </c>
      <c r="D235" s="484" t="str">
        <f aca="false">IF(DITARI!$D239="","",DITARI!$C239)</f>
        <v/>
      </c>
      <c r="E235" s="484" t="str">
        <f aca="false">IF(DITARI!$D239="","",TRIM(DITARI!$D239&amp;""))</f>
        <v/>
      </c>
      <c r="F235" s="484" t="str">
        <f aca="false">IF($E235="","",IFERROR(VLOOKUP($E235,PLANI_LLOGARIVE!$A:$I,2,FALSE()),DITARI!$E239))</f>
        <v/>
      </c>
      <c r="G235" s="484" t="str">
        <f aca="false">IF($E235="","",DITARI!$I239)</f>
        <v/>
      </c>
      <c r="H235" s="484" t="str">
        <f aca="false">IFERROR(IF($E235="","",DITARI!$H239),"")</f>
        <v/>
      </c>
      <c r="I235" s="487" t="n">
        <f aca="false">IF($E235="",0,IFERROR(DITARI!$F239,0))</f>
        <v>0</v>
      </c>
      <c r="J235" s="487" t="n">
        <f aca="false">IF($E235="",0,IFERROR(DITARI!$G239,0))</f>
        <v>0</v>
      </c>
      <c r="K235" s="484" t="str">
        <f aca="false">IF($E235="","",IFERROR(VLOOKUP($E235,PLANI_LLOGARIVE!$A:$I,9,FALSE()),""))</f>
        <v/>
      </c>
      <c r="L235" s="487" t="str">
        <f aca="false">IF($E235="","",$I235-$J235)</f>
        <v/>
      </c>
      <c r="M235" s="484" t="str">
        <f aca="false">IF($E235="","",IF($I235&gt;0,"DEBIT",IF($J235&gt;0,"KREDIT","ZERO")))</f>
        <v/>
      </c>
      <c r="N235" s="484" t="str">
        <f aca="false">IF($E235="","",TEXT($B235,"yyyymmdd")&amp;"-"&amp;TEXT(ROW(),"0000"))</f>
        <v/>
      </c>
      <c r="O235" s="101" t="str">
        <f aca="false">IF($E235="","",$E235&amp;"")</f>
        <v/>
      </c>
      <c r="P235" s="101" t="str">
        <f aca="false">IF(AND($O235&lt;&gt;"",$I235&lt;&gt;0),COUNTIFS($O$2:O235,$O235,$I$2:I235,"&gt;0"),"")</f>
        <v/>
      </c>
      <c r="Q235" s="101" t="str">
        <f aca="false">IF(AND($O235&lt;&gt;"",$J235&lt;&gt;0),COUNTIFS($O$2:O235,$O235,$J$2:J235,"&gt;0"),"")</f>
        <v/>
      </c>
      <c r="R235" s="101" t="str">
        <f aca="false">IF($P235="","",$O235&amp;"|"&amp;$P235)</f>
        <v/>
      </c>
      <c r="S235" s="101" t="str">
        <f aca="false">IF($Q235="","",$O235&amp;"|"&amp;$Q235)</f>
        <v/>
      </c>
      <c r="T235" s="101" t="str">
        <f aca="false">IF($O235="","",COUNTIF($O$2:O235,$O235))</f>
        <v/>
      </c>
      <c r="U235" s="101" t="str">
        <f aca="false">IF($O235="","",$O235&amp;"|"&amp;$T235)</f>
        <v/>
      </c>
      <c r="V235" s="488" t="n">
        <f aca="false">IF(OR(LEFT($D235,5)="MB-CL",LEFT($D235,6)="MB-RES"),0,$I235)</f>
        <v>0</v>
      </c>
      <c r="W235" s="488" t="n">
        <f aca="false">IF(OR(LEFT($D235,5)="MB-CL",LEFT($D235,6)="MB-RES"),0,$J235)</f>
        <v>0</v>
      </c>
      <c r="X235" s="101" t="str">
        <f aca="false">IF($E235="","",LEFT($E235,1))</f>
        <v/>
      </c>
      <c r="Y235" s="101" t="str">
        <f aca="false">IF($E235="","",LEFT($E235,2))</f>
        <v/>
      </c>
      <c r="Z235" s="101" t="str">
        <f aca="false">IF($E235="","",LEFT($E235,3))</f>
        <v/>
      </c>
      <c r="AA235" s="101" t="str">
        <f aca="false">IF($E235="","",LEFT($E235,4))</f>
        <v/>
      </c>
    </row>
    <row r="236" customFormat="false" ht="15" hidden="false" customHeight="true" outlineLevel="0" collapsed="false">
      <c r="A236" s="484" t="str">
        <f aca="false">IF(DITARI!$D240="","",ROW()-1)</f>
        <v/>
      </c>
      <c r="B236" s="485" t="str">
        <f aca="false">IF(DITARI!$D240="","",DITARI!$A240)</f>
        <v/>
      </c>
      <c r="C236" s="484" t="str">
        <f aca="false">IF(DITARI!$D240="","",DITARI!$B240)</f>
        <v/>
      </c>
      <c r="D236" s="484" t="str">
        <f aca="false">IF(DITARI!$D240="","",DITARI!$C240)</f>
        <v/>
      </c>
      <c r="E236" s="484" t="str">
        <f aca="false">IF(DITARI!$D240="","",TRIM(DITARI!$D240&amp;""))</f>
        <v/>
      </c>
      <c r="F236" s="484" t="str">
        <f aca="false">IF($E236="","",IFERROR(VLOOKUP($E236,PLANI_LLOGARIVE!$A:$I,2,FALSE()),DITARI!$E240))</f>
        <v/>
      </c>
      <c r="G236" s="484" t="str">
        <f aca="false">IF($E236="","",DITARI!$I240)</f>
        <v/>
      </c>
      <c r="H236" s="484" t="str">
        <f aca="false">IFERROR(IF($E236="","",DITARI!$H240),"")</f>
        <v/>
      </c>
      <c r="I236" s="487" t="n">
        <f aca="false">IF($E236="",0,IFERROR(DITARI!$F240,0))</f>
        <v>0</v>
      </c>
      <c r="J236" s="487" t="n">
        <f aca="false">IF($E236="",0,IFERROR(DITARI!$G240,0))</f>
        <v>0</v>
      </c>
      <c r="K236" s="484" t="str">
        <f aca="false">IF($E236="","",IFERROR(VLOOKUP($E236,PLANI_LLOGARIVE!$A:$I,9,FALSE()),""))</f>
        <v/>
      </c>
      <c r="L236" s="487" t="str">
        <f aca="false">IF($E236="","",$I236-$J236)</f>
        <v/>
      </c>
      <c r="M236" s="484" t="str">
        <f aca="false">IF($E236="","",IF($I236&gt;0,"DEBIT",IF($J236&gt;0,"KREDIT","ZERO")))</f>
        <v/>
      </c>
      <c r="N236" s="484" t="str">
        <f aca="false">IF($E236="","",TEXT($B236,"yyyymmdd")&amp;"-"&amp;TEXT(ROW(),"0000"))</f>
        <v/>
      </c>
      <c r="O236" s="101" t="str">
        <f aca="false">IF($E236="","",$E236&amp;"")</f>
        <v/>
      </c>
      <c r="P236" s="101" t="str">
        <f aca="false">IF(AND($O236&lt;&gt;"",$I236&lt;&gt;0),COUNTIFS($O$2:O236,$O236,$I$2:I236,"&gt;0"),"")</f>
        <v/>
      </c>
      <c r="Q236" s="101" t="str">
        <f aca="false">IF(AND($O236&lt;&gt;"",$J236&lt;&gt;0),COUNTIFS($O$2:O236,$O236,$J$2:J236,"&gt;0"),"")</f>
        <v/>
      </c>
      <c r="R236" s="101" t="str">
        <f aca="false">IF($P236="","",$O236&amp;"|"&amp;$P236)</f>
        <v/>
      </c>
      <c r="S236" s="101" t="str">
        <f aca="false">IF($Q236="","",$O236&amp;"|"&amp;$Q236)</f>
        <v/>
      </c>
      <c r="T236" s="101" t="str">
        <f aca="false">IF($O236="","",COUNTIF($O$2:O236,$O236))</f>
        <v/>
      </c>
      <c r="U236" s="101" t="str">
        <f aca="false">IF($O236="","",$O236&amp;"|"&amp;$T236)</f>
        <v/>
      </c>
      <c r="V236" s="488" t="n">
        <f aca="false">IF(OR(LEFT($D236,5)="MB-CL",LEFT($D236,6)="MB-RES"),0,$I236)</f>
        <v>0</v>
      </c>
      <c r="W236" s="488" t="n">
        <f aca="false">IF(OR(LEFT($D236,5)="MB-CL",LEFT($D236,6)="MB-RES"),0,$J236)</f>
        <v>0</v>
      </c>
      <c r="X236" s="101" t="str">
        <f aca="false">IF($E236="","",LEFT($E236,1))</f>
        <v/>
      </c>
      <c r="Y236" s="101" t="str">
        <f aca="false">IF($E236="","",LEFT($E236,2))</f>
        <v/>
      </c>
      <c r="Z236" s="101" t="str">
        <f aca="false">IF($E236="","",LEFT($E236,3))</f>
        <v/>
      </c>
      <c r="AA236" s="101" t="str">
        <f aca="false">IF($E236="","",LEFT($E236,4))</f>
        <v/>
      </c>
    </row>
    <row r="237" customFormat="false" ht="15" hidden="false" customHeight="true" outlineLevel="0" collapsed="false">
      <c r="A237" s="484" t="str">
        <f aca="false">IF(DITARI!$D241="","",ROW()-1)</f>
        <v/>
      </c>
      <c r="B237" s="485" t="str">
        <f aca="false">IF(DITARI!$D241="","",DITARI!$A241)</f>
        <v/>
      </c>
      <c r="C237" s="484" t="str">
        <f aca="false">IF(DITARI!$D241="","",DITARI!$B241)</f>
        <v/>
      </c>
      <c r="D237" s="484" t="str">
        <f aca="false">IF(DITARI!$D241="","",DITARI!$C241)</f>
        <v/>
      </c>
      <c r="E237" s="484" t="str">
        <f aca="false">IF(DITARI!$D241="","",TRIM(DITARI!$D241&amp;""))</f>
        <v/>
      </c>
      <c r="F237" s="484" t="str">
        <f aca="false">IF($E237="","",IFERROR(VLOOKUP($E237,PLANI_LLOGARIVE!$A:$I,2,FALSE()),DITARI!$E241))</f>
        <v/>
      </c>
      <c r="G237" s="484" t="str">
        <f aca="false">IF($E237="","",DITARI!$I241)</f>
        <v/>
      </c>
      <c r="H237" s="484" t="str">
        <f aca="false">IFERROR(IF($E237="","",DITARI!$H241),"")</f>
        <v/>
      </c>
      <c r="I237" s="487" t="n">
        <f aca="false">IF($E237="",0,IFERROR(DITARI!$F241,0))</f>
        <v>0</v>
      </c>
      <c r="J237" s="487" t="n">
        <f aca="false">IF($E237="",0,IFERROR(DITARI!$G241,0))</f>
        <v>0</v>
      </c>
      <c r="K237" s="484" t="str">
        <f aca="false">IF($E237="","",IFERROR(VLOOKUP($E237,PLANI_LLOGARIVE!$A:$I,9,FALSE()),""))</f>
        <v/>
      </c>
      <c r="L237" s="487" t="str">
        <f aca="false">IF($E237="","",$I237-$J237)</f>
        <v/>
      </c>
      <c r="M237" s="484" t="str">
        <f aca="false">IF($E237="","",IF($I237&gt;0,"DEBIT",IF($J237&gt;0,"KREDIT","ZERO")))</f>
        <v/>
      </c>
      <c r="N237" s="484" t="str">
        <f aca="false">IF($E237="","",TEXT($B237,"yyyymmdd")&amp;"-"&amp;TEXT(ROW(),"0000"))</f>
        <v/>
      </c>
      <c r="O237" s="101" t="str">
        <f aca="false">IF($E237="","",$E237&amp;"")</f>
        <v/>
      </c>
      <c r="P237" s="101" t="str">
        <f aca="false">IF(AND($O237&lt;&gt;"",$I237&lt;&gt;0),COUNTIFS($O$2:O237,$O237,$I$2:I237,"&gt;0"),"")</f>
        <v/>
      </c>
      <c r="Q237" s="101" t="str">
        <f aca="false">IF(AND($O237&lt;&gt;"",$J237&lt;&gt;0),COUNTIFS($O$2:O237,$O237,$J$2:J237,"&gt;0"),"")</f>
        <v/>
      </c>
      <c r="R237" s="101" t="str">
        <f aca="false">IF($P237="","",$O237&amp;"|"&amp;$P237)</f>
        <v/>
      </c>
      <c r="S237" s="101" t="str">
        <f aca="false">IF($Q237="","",$O237&amp;"|"&amp;$Q237)</f>
        <v/>
      </c>
      <c r="T237" s="101" t="str">
        <f aca="false">IF($O237="","",COUNTIF($O$2:O237,$O237))</f>
        <v/>
      </c>
      <c r="U237" s="101" t="str">
        <f aca="false">IF($O237="","",$O237&amp;"|"&amp;$T237)</f>
        <v/>
      </c>
      <c r="V237" s="488" t="n">
        <f aca="false">IF(OR(LEFT($D237,5)="MB-CL",LEFT($D237,6)="MB-RES"),0,$I237)</f>
        <v>0</v>
      </c>
      <c r="W237" s="488" t="n">
        <f aca="false">IF(OR(LEFT($D237,5)="MB-CL",LEFT($D237,6)="MB-RES"),0,$J237)</f>
        <v>0</v>
      </c>
      <c r="X237" s="101" t="str">
        <f aca="false">IF($E237="","",LEFT($E237,1))</f>
        <v/>
      </c>
      <c r="Y237" s="101" t="str">
        <f aca="false">IF($E237="","",LEFT($E237,2))</f>
        <v/>
      </c>
      <c r="Z237" s="101" t="str">
        <f aca="false">IF($E237="","",LEFT($E237,3))</f>
        <v/>
      </c>
      <c r="AA237" s="101" t="str">
        <f aca="false">IF($E237="","",LEFT($E237,4))</f>
        <v/>
      </c>
    </row>
    <row r="238" customFormat="false" ht="15" hidden="false" customHeight="true" outlineLevel="0" collapsed="false">
      <c r="A238" s="484" t="str">
        <f aca="false">IF(DITARI!$D242="","",ROW()-1)</f>
        <v/>
      </c>
      <c r="B238" s="485" t="str">
        <f aca="false">IF(DITARI!$D242="","",DITARI!$A242)</f>
        <v/>
      </c>
      <c r="C238" s="484" t="str">
        <f aca="false">IF(DITARI!$D242="","",DITARI!$B242)</f>
        <v/>
      </c>
      <c r="D238" s="484" t="str">
        <f aca="false">IF(DITARI!$D242="","",DITARI!$C242)</f>
        <v/>
      </c>
      <c r="E238" s="484" t="str">
        <f aca="false">IF(DITARI!$D242="","",TRIM(DITARI!$D242&amp;""))</f>
        <v/>
      </c>
      <c r="F238" s="484" t="str">
        <f aca="false">IF($E238="","",IFERROR(VLOOKUP($E238,PLANI_LLOGARIVE!$A:$I,2,FALSE()),DITARI!$E242))</f>
        <v/>
      </c>
      <c r="G238" s="484" t="str">
        <f aca="false">IF($E238="","",DITARI!$I242)</f>
        <v/>
      </c>
      <c r="H238" s="484" t="str">
        <f aca="false">IFERROR(IF($E238="","",DITARI!$H242),"")</f>
        <v/>
      </c>
      <c r="I238" s="487" t="n">
        <f aca="false">IF($E238="",0,IFERROR(DITARI!$F242,0))</f>
        <v>0</v>
      </c>
      <c r="J238" s="487" t="n">
        <f aca="false">IF($E238="",0,IFERROR(DITARI!$G242,0))</f>
        <v>0</v>
      </c>
      <c r="K238" s="484" t="str">
        <f aca="false">IF($E238="","",IFERROR(VLOOKUP($E238,PLANI_LLOGARIVE!$A:$I,9,FALSE()),""))</f>
        <v/>
      </c>
      <c r="L238" s="487" t="str">
        <f aca="false">IF($E238="","",$I238-$J238)</f>
        <v/>
      </c>
      <c r="M238" s="484" t="str">
        <f aca="false">IF($E238="","",IF($I238&gt;0,"DEBIT",IF($J238&gt;0,"KREDIT","ZERO")))</f>
        <v/>
      </c>
      <c r="N238" s="484" t="str">
        <f aca="false">IF($E238="","",TEXT($B238,"yyyymmdd")&amp;"-"&amp;TEXT(ROW(),"0000"))</f>
        <v/>
      </c>
      <c r="O238" s="101" t="str">
        <f aca="false">IF($E238="","",$E238&amp;"")</f>
        <v/>
      </c>
      <c r="P238" s="101" t="str">
        <f aca="false">IF(AND($O238&lt;&gt;"",$I238&lt;&gt;0),COUNTIFS($O$2:O238,$O238,$I$2:I238,"&gt;0"),"")</f>
        <v/>
      </c>
      <c r="Q238" s="101" t="str">
        <f aca="false">IF(AND($O238&lt;&gt;"",$J238&lt;&gt;0),COUNTIFS($O$2:O238,$O238,$J$2:J238,"&gt;0"),"")</f>
        <v/>
      </c>
      <c r="R238" s="101" t="str">
        <f aca="false">IF($P238="","",$O238&amp;"|"&amp;$P238)</f>
        <v/>
      </c>
      <c r="S238" s="101" t="str">
        <f aca="false">IF($Q238="","",$O238&amp;"|"&amp;$Q238)</f>
        <v/>
      </c>
      <c r="T238" s="101" t="str">
        <f aca="false">IF($O238="","",COUNTIF($O$2:O238,$O238))</f>
        <v/>
      </c>
      <c r="U238" s="101" t="str">
        <f aca="false">IF($O238="","",$O238&amp;"|"&amp;$T238)</f>
        <v/>
      </c>
      <c r="V238" s="488" t="n">
        <f aca="false">IF(OR(LEFT($D238,5)="MB-CL",LEFT($D238,6)="MB-RES"),0,$I238)</f>
        <v>0</v>
      </c>
      <c r="W238" s="488" t="n">
        <f aca="false">IF(OR(LEFT($D238,5)="MB-CL",LEFT($D238,6)="MB-RES"),0,$J238)</f>
        <v>0</v>
      </c>
      <c r="X238" s="101" t="str">
        <f aca="false">IF($E238="","",LEFT($E238,1))</f>
        <v/>
      </c>
      <c r="Y238" s="101" t="str">
        <f aca="false">IF($E238="","",LEFT($E238,2))</f>
        <v/>
      </c>
      <c r="Z238" s="101" t="str">
        <f aca="false">IF($E238="","",LEFT($E238,3))</f>
        <v/>
      </c>
      <c r="AA238" s="101" t="str">
        <f aca="false">IF($E238="","",LEFT($E238,4))</f>
        <v/>
      </c>
    </row>
    <row r="239" customFormat="false" ht="15" hidden="false" customHeight="true" outlineLevel="0" collapsed="false">
      <c r="A239" s="484" t="str">
        <f aca="false">IF(DITARI!$D243="","",ROW()-1)</f>
        <v/>
      </c>
      <c r="B239" s="485" t="str">
        <f aca="false">IF(DITARI!$D243="","",DITARI!$A243)</f>
        <v/>
      </c>
      <c r="C239" s="484" t="str">
        <f aca="false">IF(DITARI!$D243="","",DITARI!$B243)</f>
        <v/>
      </c>
      <c r="D239" s="484" t="str">
        <f aca="false">IF(DITARI!$D243="","",DITARI!$C243)</f>
        <v/>
      </c>
      <c r="E239" s="484" t="str">
        <f aca="false">IF(DITARI!$D243="","",TRIM(DITARI!$D243&amp;""))</f>
        <v/>
      </c>
      <c r="F239" s="484" t="str">
        <f aca="false">IF($E239="","",IFERROR(VLOOKUP($E239,PLANI_LLOGARIVE!$A:$I,2,FALSE()),DITARI!$E243))</f>
        <v/>
      </c>
      <c r="G239" s="484" t="str">
        <f aca="false">IF($E239="","",DITARI!$I243)</f>
        <v/>
      </c>
      <c r="H239" s="484" t="str">
        <f aca="false">IFERROR(IF($E239="","",DITARI!$H243),"")</f>
        <v/>
      </c>
      <c r="I239" s="487" t="n">
        <f aca="false">IF($E239="",0,IFERROR(DITARI!$F243,0))</f>
        <v>0</v>
      </c>
      <c r="J239" s="487" t="n">
        <f aca="false">IF($E239="",0,IFERROR(DITARI!$G243,0))</f>
        <v>0</v>
      </c>
      <c r="K239" s="484" t="str">
        <f aca="false">IF($E239="","",IFERROR(VLOOKUP($E239,PLANI_LLOGARIVE!$A:$I,9,FALSE()),""))</f>
        <v/>
      </c>
      <c r="L239" s="487" t="str">
        <f aca="false">IF($E239="","",$I239-$J239)</f>
        <v/>
      </c>
      <c r="M239" s="484" t="str">
        <f aca="false">IF($E239="","",IF($I239&gt;0,"DEBIT",IF($J239&gt;0,"KREDIT","ZERO")))</f>
        <v/>
      </c>
      <c r="N239" s="484" t="str">
        <f aca="false">IF($E239="","",TEXT($B239,"yyyymmdd")&amp;"-"&amp;TEXT(ROW(),"0000"))</f>
        <v/>
      </c>
      <c r="O239" s="101" t="str">
        <f aca="false">IF($E239="","",$E239&amp;"")</f>
        <v/>
      </c>
      <c r="P239" s="101" t="str">
        <f aca="false">IF(AND($O239&lt;&gt;"",$I239&lt;&gt;0),COUNTIFS($O$2:O239,$O239,$I$2:I239,"&gt;0"),"")</f>
        <v/>
      </c>
      <c r="Q239" s="101" t="str">
        <f aca="false">IF(AND($O239&lt;&gt;"",$J239&lt;&gt;0),COUNTIFS($O$2:O239,$O239,$J$2:J239,"&gt;0"),"")</f>
        <v/>
      </c>
      <c r="R239" s="101" t="str">
        <f aca="false">IF($P239="","",$O239&amp;"|"&amp;$P239)</f>
        <v/>
      </c>
      <c r="S239" s="101" t="str">
        <f aca="false">IF($Q239="","",$O239&amp;"|"&amp;$Q239)</f>
        <v/>
      </c>
      <c r="T239" s="101" t="str">
        <f aca="false">IF($O239="","",COUNTIF($O$2:O239,$O239))</f>
        <v/>
      </c>
      <c r="U239" s="101" t="str">
        <f aca="false">IF($O239="","",$O239&amp;"|"&amp;$T239)</f>
        <v/>
      </c>
      <c r="V239" s="488" t="n">
        <f aca="false">IF(OR(LEFT($D239,5)="MB-CL",LEFT($D239,6)="MB-RES"),0,$I239)</f>
        <v>0</v>
      </c>
      <c r="W239" s="488" t="n">
        <f aca="false">IF(OR(LEFT($D239,5)="MB-CL",LEFT($D239,6)="MB-RES"),0,$J239)</f>
        <v>0</v>
      </c>
      <c r="X239" s="101" t="str">
        <f aca="false">IF($E239="","",LEFT($E239,1))</f>
        <v/>
      </c>
      <c r="Y239" s="101" t="str">
        <f aca="false">IF($E239="","",LEFT($E239,2))</f>
        <v/>
      </c>
      <c r="Z239" s="101" t="str">
        <f aca="false">IF($E239="","",LEFT($E239,3))</f>
        <v/>
      </c>
      <c r="AA239" s="101" t="str">
        <f aca="false">IF($E239="","",LEFT($E239,4))</f>
        <v/>
      </c>
    </row>
    <row r="240" customFormat="false" ht="15" hidden="false" customHeight="true" outlineLevel="0" collapsed="false">
      <c r="A240" s="484" t="str">
        <f aca="false">IF(DITARI!$D244="","",ROW()-1)</f>
        <v/>
      </c>
      <c r="B240" s="485" t="str">
        <f aca="false">IF(DITARI!$D244="","",DITARI!$A244)</f>
        <v/>
      </c>
      <c r="C240" s="484" t="str">
        <f aca="false">IF(DITARI!$D244="","",DITARI!$B244)</f>
        <v/>
      </c>
      <c r="D240" s="484" t="str">
        <f aca="false">IF(DITARI!$D244="","",DITARI!$C244)</f>
        <v/>
      </c>
      <c r="E240" s="484" t="str">
        <f aca="false">IF(DITARI!$D244="","",TRIM(DITARI!$D244&amp;""))</f>
        <v/>
      </c>
      <c r="F240" s="484" t="str">
        <f aca="false">IF($E240="","",IFERROR(VLOOKUP($E240,PLANI_LLOGARIVE!$A:$I,2,FALSE()),DITARI!$E244))</f>
        <v/>
      </c>
      <c r="G240" s="484" t="str">
        <f aca="false">IF($E240="","",DITARI!$I244)</f>
        <v/>
      </c>
      <c r="H240" s="484" t="str">
        <f aca="false">IFERROR(IF($E240="","",DITARI!$H244),"")</f>
        <v/>
      </c>
      <c r="I240" s="487" t="n">
        <f aca="false">IF($E240="",0,IFERROR(DITARI!$F244,0))</f>
        <v>0</v>
      </c>
      <c r="J240" s="487" t="n">
        <f aca="false">IF($E240="",0,IFERROR(DITARI!$G244,0))</f>
        <v>0</v>
      </c>
      <c r="K240" s="484" t="str">
        <f aca="false">IF($E240="","",IFERROR(VLOOKUP($E240,PLANI_LLOGARIVE!$A:$I,9,FALSE()),""))</f>
        <v/>
      </c>
      <c r="L240" s="487" t="str">
        <f aca="false">IF($E240="","",$I240-$J240)</f>
        <v/>
      </c>
      <c r="M240" s="484" t="str">
        <f aca="false">IF($E240="","",IF($I240&gt;0,"DEBIT",IF($J240&gt;0,"KREDIT","ZERO")))</f>
        <v/>
      </c>
      <c r="N240" s="484" t="str">
        <f aca="false">IF($E240="","",TEXT($B240,"yyyymmdd")&amp;"-"&amp;TEXT(ROW(),"0000"))</f>
        <v/>
      </c>
      <c r="O240" s="101" t="str">
        <f aca="false">IF($E240="","",$E240&amp;"")</f>
        <v/>
      </c>
      <c r="P240" s="101" t="str">
        <f aca="false">IF(AND($O240&lt;&gt;"",$I240&lt;&gt;0),COUNTIFS($O$2:O240,$O240,$I$2:I240,"&gt;0"),"")</f>
        <v/>
      </c>
      <c r="Q240" s="101" t="str">
        <f aca="false">IF(AND($O240&lt;&gt;"",$J240&lt;&gt;0),COUNTIFS($O$2:O240,$O240,$J$2:J240,"&gt;0"),"")</f>
        <v/>
      </c>
      <c r="R240" s="101" t="str">
        <f aca="false">IF($P240="","",$O240&amp;"|"&amp;$P240)</f>
        <v/>
      </c>
      <c r="S240" s="101" t="str">
        <f aca="false">IF($Q240="","",$O240&amp;"|"&amp;$Q240)</f>
        <v/>
      </c>
      <c r="T240" s="101" t="str">
        <f aca="false">IF($O240="","",COUNTIF($O$2:O240,$O240))</f>
        <v/>
      </c>
      <c r="U240" s="101" t="str">
        <f aca="false">IF($O240="","",$O240&amp;"|"&amp;$T240)</f>
        <v/>
      </c>
      <c r="V240" s="488" t="n">
        <f aca="false">IF(OR(LEFT($D240,5)="MB-CL",LEFT($D240,6)="MB-RES"),0,$I240)</f>
        <v>0</v>
      </c>
      <c r="W240" s="488" t="n">
        <f aca="false">IF(OR(LEFT($D240,5)="MB-CL",LEFT($D240,6)="MB-RES"),0,$J240)</f>
        <v>0</v>
      </c>
      <c r="X240" s="101" t="str">
        <f aca="false">IF($E240="","",LEFT($E240,1))</f>
        <v/>
      </c>
      <c r="Y240" s="101" t="str">
        <f aca="false">IF($E240="","",LEFT($E240,2))</f>
        <v/>
      </c>
      <c r="Z240" s="101" t="str">
        <f aca="false">IF($E240="","",LEFT($E240,3))</f>
        <v/>
      </c>
      <c r="AA240" s="101" t="str">
        <f aca="false">IF($E240="","",LEFT($E240,4))</f>
        <v/>
      </c>
    </row>
    <row r="241" customFormat="false" ht="15" hidden="false" customHeight="true" outlineLevel="0" collapsed="false">
      <c r="A241" s="484" t="str">
        <f aca="false">IF(DITARI!$D245="","",ROW()-1)</f>
        <v/>
      </c>
      <c r="B241" s="485" t="str">
        <f aca="false">IF(DITARI!$D245="","",DITARI!$A245)</f>
        <v/>
      </c>
      <c r="C241" s="484" t="str">
        <f aca="false">IF(DITARI!$D245="","",DITARI!$B245)</f>
        <v/>
      </c>
      <c r="D241" s="484" t="str">
        <f aca="false">IF(DITARI!$D245="","",DITARI!$C245)</f>
        <v/>
      </c>
      <c r="E241" s="484" t="str">
        <f aca="false">IF(DITARI!$D245="","",TRIM(DITARI!$D245&amp;""))</f>
        <v/>
      </c>
      <c r="F241" s="484" t="str">
        <f aca="false">IF($E241="","",IFERROR(VLOOKUP($E241,PLANI_LLOGARIVE!$A:$I,2,FALSE()),DITARI!$E245))</f>
        <v/>
      </c>
      <c r="G241" s="484" t="str">
        <f aca="false">IF($E241="","",DITARI!$I245)</f>
        <v/>
      </c>
      <c r="H241" s="484" t="str">
        <f aca="false">IFERROR(IF($E241="","",DITARI!$H245),"")</f>
        <v/>
      </c>
      <c r="I241" s="487" t="n">
        <f aca="false">IF($E241="",0,IFERROR(DITARI!$F245,0))</f>
        <v>0</v>
      </c>
      <c r="J241" s="487" t="n">
        <f aca="false">IF($E241="",0,IFERROR(DITARI!$G245,0))</f>
        <v>0</v>
      </c>
      <c r="K241" s="484" t="str">
        <f aca="false">IF($E241="","",IFERROR(VLOOKUP($E241,PLANI_LLOGARIVE!$A:$I,9,FALSE()),""))</f>
        <v/>
      </c>
      <c r="L241" s="487" t="str">
        <f aca="false">IF($E241="","",$I241-$J241)</f>
        <v/>
      </c>
      <c r="M241" s="484" t="str">
        <f aca="false">IF($E241="","",IF($I241&gt;0,"DEBIT",IF($J241&gt;0,"KREDIT","ZERO")))</f>
        <v/>
      </c>
      <c r="N241" s="484" t="str">
        <f aca="false">IF($E241="","",TEXT($B241,"yyyymmdd")&amp;"-"&amp;TEXT(ROW(),"0000"))</f>
        <v/>
      </c>
      <c r="O241" s="101" t="str">
        <f aca="false">IF($E241="","",$E241&amp;"")</f>
        <v/>
      </c>
      <c r="P241" s="101" t="str">
        <f aca="false">IF(AND($O241&lt;&gt;"",$I241&lt;&gt;0),COUNTIFS($O$2:O241,$O241,$I$2:I241,"&gt;0"),"")</f>
        <v/>
      </c>
      <c r="Q241" s="101" t="str">
        <f aca="false">IF(AND($O241&lt;&gt;"",$J241&lt;&gt;0),COUNTIFS($O$2:O241,$O241,$J$2:J241,"&gt;0"),"")</f>
        <v/>
      </c>
      <c r="R241" s="101" t="str">
        <f aca="false">IF($P241="","",$O241&amp;"|"&amp;$P241)</f>
        <v/>
      </c>
      <c r="S241" s="101" t="str">
        <f aca="false">IF($Q241="","",$O241&amp;"|"&amp;$Q241)</f>
        <v/>
      </c>
      <c r="T241" s="101" t="str">
        <f aca="false">IF($O241="","",COUNTIF($O$2:O241,$O241))</f>
        <v/>
      </c>
      <c r="U241" s="101" t="str">
        <f aca="false">IF($O241="","",$O241&amp;"|"&amp;$T241)</f>
        <v/>
      </c>
      <c r="V241" s="488" t="n">
        <f aca="false">IF(OR(LEFT($D241,5)="MB-CL",LEFT($D241,6)="MB-RES"),0,$I241)</f>
        <v>0</v>
      </c>
      <c r="W241" s="488" t="n">
        <f aca="false">IF(OR(LEFT($D241,5)="MB-CL",LEFT($D241,6)="MB-RES"),0,$J241)</f>
        <v>0</v>
      </c>
      <c r="X241" s="101" t="str">
        <f aca="false">IF($E241="","",LEFT($E241,1))</f>
        <v/>
      </c>
      <c r="Y241" s="101" t="str">
        <f aca="false">IF($E241="","",LEFT($E241,2))</f>
        <v/>
      </c>
      <c r="Z241" s="101" t="str">
        <f aca="false">IF($E241="","",LEFT($E241,3))</f>
        <v/>
      </c>
      <c r="AA241" s="101" t="str">
        <f aca="false">IF($E241="","",LEFT($E241,4))</f>
        <v/>
      </c>
    </row>
    <row r="242" customFormat="false" ht="15" hidden="false" customHeight="true" outlineLevel="0" collapsed="false">
      <c r="A242" s="484" t="str">
        <f aca="false">IF(DITARI!$D246="","",ROW()-1)</f>
        <v/>
      </c>
      <c r="B242" s="485" t="str">
        <f aca="false">IF(DITARI!$D246="","",DITARI!$A246)</f>
        <v/>
      </c>
      <c r="C242" s="484" t="str">
        <f aca="false">IF(DITARI!$D246="","",DITARI!$B246)</f>
        <v/>
      </c>
      <c r="D242" s="484" t="str">
        <f aca="false">IF(DITARI!$D246="","",DITARI!$C246)</f>
        <v/>
      </c>
      <c r="E242" s="484" t="str">
        <f aca="false">IF(DITARI!$D246="","",TRIM(DITARI!$D246&amp;""))</f>
        <v/>
      </c>
      <c r="F242" s="484" t="str">
        <f aca="false">IF($E242="","",IFERROR(VLOOKUP($E242,PLANI_LLOGARIVE!$A:$I,2,FALSE()),DITARI!$E246))</f>
        <v/>
      </c>
      <c r="G242" s="484" t="str">
        <f aca="false">IF($E242="","",DITARI!$I246)</f>
        <v/>
      </c>
      <c r="H242" s="484" t="str">
        <f aca="false">IFERROR(IF($E242="","",DITARI!$H246),"")</f>
        <v/>
      </c>
      <c r="I242" s="487" t="n">
        <f aca="false">IF($E242="",0,IFERROR(DITARI!$F246,0))</f>
        <v>0</v>
      </c>
      <c r="J242" s="487" t="n">
        <f aca="false">IF($E242="",0,IFERROR(DITARI!$G246,0))</f>
        <v>0</v>
      </c>
      <c r="K242" s="484" t="str">
        <f aca="false">IF($E242="","",IFERROR(VLOOKUP($E242,PLANI_LLOGARIVE!$A:$I,9,FALSE()),""))</f>
        <v/>
      </c>
      <c r="L242" s="487" t="str">
        <f aca="false">IF($E242="","",$I242-$J242)</f>
        <v/>
      </c>
      <c r="M242" s="484" t="str">
        <f aca="false">IF($E242="","",IF($I242&gt;0,"DEBIT",IF($J242&gt;0,"KREDIT","ZERO")))</f>
        <v/>
      </c>
      <c r="N242" s="484" t="str">
        <f aca="false">IF($E242="","",TEXT($B242,"yyyymmdd")&amp;"-"&amp;TEXT(ROW(),"0000"))</f>
        <v/>
      </c>
      <c r="O242" s="101" t="str">
        <f aca="false">IF($E242="","",$E242&amp;"")</f>
        <v/>
      </c>
      <c r="P242" s="101" t="str">
        <f aca="false">IF(AND($O242&lt;&gt;"",$I242&lt;&gt;0),COUNTIFS($O$2:O242,$O242,$I$2:I242,"&gt;0"),"")</f>
        <v/>
      </c>
      <c r="Q242" s="101" t="str">
        <f aca="false">IF(AND($O242&lt;&gt;"",$J242&lt;&gt;0),COUNTIFS($O$2:O242,$O242,$J$2:J242,"&gt;0"),"")</f>
        <v/>
      </c>
      <c r="R242" s="101" t="str">
        <f aca="false">IF($P242="","",$O242&amp;"|"&amp;$P242)</f>
        <v/>
      </c>
      <c r="S242" s="101" t="str">
        <f aca="false">IF($Q242="","",$O242&amp;"|"&amp;$Q242)</f>
        <v/>
      </c>
      <c r="T242" s="101" t="str">
        <f aca="false">IF($O242="","",COUNTIF($O$2:O242,$O242))</f>
        <v/>
      </c>
      <c r="U242" s="101" t="str">
        <f aca="false">IF($O242="","",$O242&amp;"|"&amp;$T242)</f>
        <v/>
      </c>
      <c r="V242" s="488" t="n">
        <f aca="false">IF(OR(LEFT($D242,5)="MB-CL",LEFT($D242,6)="MB-RES"),0,$I242)</f>
        <v>0</v>
      </c>
      <c r="W242" s="488" t="n">
        <f aca="false">IF(OR(LEFT($D242,5)="MB-CL",LEFT($D242,6)="MB-RES"),0,$J242)</f>
        <v>0</v>
      </c>
      <c r="X242" s="101" t="str">
        <f aca="false">IF($E242="","",LEFT($E242,1))</f>
        <v/>
      </c>
      <c r="Y242" s="101" t="str">
        <f aca="false">IF($E242="","",LEFT($E242,2))</f>
        <v/>
      </c>
      <c r="Z242" s="101" t="str">
        <f aca="false">IF($E242="","",LEFT($E242,3))</f>
        <v/>
      </c>
      <c r="AA242" s="101" t="str">
        <f aca="false">IF($E242="","",LEFT($E242,4))</f>
        <v/>
      </c>
    </row>
    <row r="243" customFormat="false" ht="15" hidden="false" customHeight="true" outlineLevel="0" collapsed="false">
      <c r="A243" s="484" t="str">
        <f aca="false">IF(DITARI!$D247="","",ROW()-1)</f>
        <v/>
      </c>
      <c r="B243" s="485" t="str">
        <f aca="false">IF(DITARI!$D247="","",DITARI!$A247)</f>
        <v/>
      </c>
      <c r="C243" s="484" t="str">
        <f aca="false">IF(DITARI!$D247="","",DITARI!$B247)</f>
        <v/>
      </c>
      <c r="D243" s="484" t="str">
        <f aca="false">IF(DITARI!$D247="","",DITARI!$C247)</f>
        <v/>
      </c>
      <c r="E243" s="484" t="str">
        <f aca="false">IF(DITARI!$D247="","",TRIM(DITARI!$D247&amp;""))</f>
        <v/>
      </c>
      <c r="F243" s="484" t="str">
        <f aca="false">IF($E243="","",IFERROR(VLOOKUP($E243,PLANI_LLOGARIVE!$A:$I,2,FALSE()),DITARI!$E247))</f>
        <v/>
      </c>
      <c r="G243" s="484" t="str">
        <f aca="false">IF($E243="","",DITARI!$I247)</f>
        <v/>
      </c>
      <c r="H243" s="484" t="str">
        <f aca="false">IFERROR(IF($E243="","",DITARI!$H247),"")</f>
        <v/>
      </c>
      <c r="I243" s="487" t="n">
        <f aca="false">IF($E243="",0,IFERROR(DITARI!$F247,0))</f>
        <v>0</v>
      </c>
      <c r="J243" s="487" t="n">
        <f aca="false">IF($E243="",0,IFERROR(DITARI!$G247,0))</f>
        <v>0</v>
      </c>
      <c r="K243" s="484" t="str">
        <f aca="false">IF($E243="","",IFERROR(VLOOKUP($E243,PLANI_LLOGARIVE!$A:$I,9,FALSE()),""))</f>
        <v/>
      </c>
      <c r="L243" s="487" t="str">
        <f aca="false">IF($E243="","",$I243-$J243)</f>
        <v/>
      </c>
      <c r="M243" s="484" t="str">
        <f aca="false">IF($E243="","",IF($I243&gt;0,"DEBIT",IF($J243&gt;0,"KREDIT","ZERO")))</f>
        <v/>
      </c>
      <c r="N243" s="484" t="str">
        <f aca="false">IF($E243="","",TEXT($B243,"yyyymmdd")&amp;"-"&amp;TEXT(ROW(),"0000"))</f>
        <v/>
      </c>
      <c r="O243" s="101" t="str">
        <f aca="false">IF($E243="","",$E243&amp;"")</f>
        <v/>
      </c>
      <c r="P243" s="101" t="str">
        <f aca="false">IF(AND($O243&lt;&gt;"",$I243&lt;&gt;0),COUNTIFS($O$2:O243,$O243,$I$2:I243,"&gt;0"),"")</f>
        <v/>
      </c>
      <c r="Q243" s="101" t="str">
        <f aca="false">IF(AND($O243&lt;&gt;"",$J243&lt;&gt;0),COUNTIFS($O$2:O243,$O243,$J$2:J243,"&gt;0"),"")</f>
        <v/>
      </c>
      <c r="R243" s="101" t="str">
        <f aca="false">IF($P243="","",$O243&amp;"|"&amp;$P243)</f>
        <v/>
      </c>
      <c r="S243" s="101" t="str">
        <f aca="false">IF($Q243="","",$O243&amp;"|"&amp;$Q243)</f>
        <v/>
      </c>
      <c r="T243" s="101" t="str">
        <f aca="false">IF($O243="","",COUNTIF($O$2:O243,$O243))</f>
        <v/>
      </c>
      <c r="U243" s="101" t="str">
        <f aca="false">IF($O243="","",$O243&amp;"|"&amp;$T243)</f>
        <v/>
      </c>
      <c r="V243" s="488" t="n">
        <f aca="false">IF(OR(LEFT($D243,5)="MB-CL",LEFT($D243,6)="MB-RES"),0,$I243)</f>
        <v>0</v>
      </c>
      <c r="W243" s="488" t="n">
        <f aca="false">IF(OR(LEFT($D243,5)="MB-CL",LEFT($D243,6)="MB-RES"),0,$J243)</f>
        <v>0</v>
      </c>
      <c r="X243" s="101" t="str">
        <f aca="false">IF($E243="","",LEFT($E243,1))</f>
        <v/>
      </c>
      <c r="Y243" s="101" t="str">
        <f aca="false">IF($E243="","",LEFT($E243,2))</f>
        <v/>
      </c>
      <c r="Z243" s="101" t="str">
        <f aca="false">IF($E243="","",LEFT($E243,3))</f>
        <v/>
      </c>
      <c r="AA243" s="101" t="str">
        <f aca="false">IF($E243="","",LEFT($E243,4))</f>
        <v/>
      </c>
    </row>
    <row r="244" customFormat="false" ht="15" hidden="false" customHeight="true" outlineLevel="0" collapsed="false">
      <c r="A244" s="484" t="str">
        <f aca="false">IF(DITARI!$D248="","",ROW()-1)</f>
        <v/>
      </c>
      <c r="B244" s="485" t="str">
        <f aca="false">IF(DITARI!$D248="","",DITARI!$A248)</f>
        <v/>
      </c>
      <c r="C244" s="484" t="str">
        <f aca="false">IF(DITARI!$D248="","",DITARI!$B248)</f>
        <v/>
      </c>
      <c r="D244" s="484" t="str">
        <f aca="false">IF(DITARI!$D248="","",DITARI!$C248)</f>
        <v/>
      </c>
      <c r="E244" s="484" t="str">
        <f aca="false">IF(DITARI!$D248="","",TRIM(DITARI!$D248&amp;""))</f>
        <v/>
      </c>
      <c r="F244" s="484" t="str">
        <f aca="false">IF($E244="","",IFERROR(VLOOKUP($E244,PLANI_LLOGARIVE!$A:$I,2,FALSE()),DITARI!$E248))</f>
        <v/>
      </c>
      <c r="G244" s="484" t="str">
        <f aca="false">IF($E244="","",DITARI!$I248)</f>
        <v/>
      </c>
      <c r="H244" s="484" t="str">
        <f aca="false">IFERROR(IF($E244="","",DITARI!$H248),"")</f>
        <v/>
      </c>
      <c r="I244" s="487" t="n">
        <f aca="false">IF($E244="",0,IFERROR(DITARI!$F248,0))</f>
        <v>0</v>
      </c>
      <c r="J244" s="487" t="n">
        <f aca="false">IF($E244="",0,IFERROR(DITARI!$G248,0))</f>
        <v>0</v>
      </c>
      <c r="K244" s="484" t="str">
        <f aca="false">IF($E244="","",IFERROR(VLOOKUP($E244,PLANI_LLOGARIVE!$A:$I,9,FALSE()),""))</f>
        <v/>
      </c>
      <c r="L244" s="487" t="str">
        <f aca="false">IF($E244="","",$I244-$J244)</f>
        <v/>
      </c>
      <c r="M244" s="484" t="str">
        <f aca="false">IF($E244="","",IF($I244&gt;0,"DEBIT",IF($J244&gt;0,"KREDIT","ZERO")))</f>
        <v/>
      </c>
      <c r="N244" s="484" t="str">
        <f aca="false">IF($E244="","",TEXT($B244,"yyyymmdd")&amp;"-"&amp;TEXT(ROW(),"0000"))</f>
        <v/>
      </c>
      <c r="O244" s="101" t="str">
        <f aca="false">IF($E244="","",$E244&amp;"")</f>
        <v/>
      </c>
      <c r="P244" s="101" t="str">
        <f aca="false">IF(AND($O244&lt;&gt;"",$I244&lt;&gt;0),COUNTIFS($O$2:O244,$O244,$I$2:I244,"&gt;0"),"")</f>
        <v/>
      </c>
      <c r="Q244" s="101" t="str">
        <f aca="false">IF(AND($O244&lt;&gt;"",$J244&lt;&gt;0),COUNTIFS($O$2:O244,$O244,$J$2:J244,"&gt;0"),"")</f>
        <v/>
      </c>
      <c r="R244" s="101" t="str">
        <f aca="false">IF($P244="","",$O244&amp;"|"&amp;$P244)</f>
        <v/>
      </c>
      <c r="S244" s="101" t="str">
        <f aca="false">IF($Q244="","",$O244&amp;"|"&amp;$Q244)</f>
        <v/>
      </c>
      <c r="T244" s="101" t="str">
        <f aca="false">IF($O244="","",COUNTIF($O$2:O244,$O244))</f>
        <v/>
      </c>
      <c r="U244" s="101" t="str">
        <f aca="false">IF($O244="","",$O244&amp;"|"&amp;$T244)</f>
        <v/>
      </c>
      <c r="V244" s="488" t="n">
        <f aca="false">IF(OR(LEFT($D244,5)="MB-CL",LEFT($D244,6)="MB-RES"),0,$I244)</f>
        <v>0</v>
      </c>
      <c r="W244" s="488" t="n">
        <f aca="false">IF(OR(LEFT($D244,5)="MB-CL",LEFT($D244,6)="MB-RES"),0,$J244)</f>
        <v>0</v>
      </c>
      <c r="X244" s="101" t="str">
        <f aca="false">IF($E244="","",LEFT($E244,1))</f>
        <v/>
      </c>
      <c r="Y244" s="101" t="str">
        <f aca="false">IF($E244="","",LEFT($E244,2))</f>
        <v/>
      </c>
      <c r="Z244" s="101" t="str">
        <f aca="false">IF($E244="","",LEFT($E244,3))</f>
        <v/>
      </c>
      <c r="AA244" s="101" t="str">
        <f aca="false">IF($E244="","",LEFT($E244,4))</f>
        <v/>
      </c>
    </row>
    <row r="245" customFormat="false" ht="15" hidden="false" customHeight="true" outlineLevel="0" collapsed="false">
      <c r="A245" s="484" t="str">
        <f aca="false">IF(DITARI!$D249="","",ROW()-1)</f>
        <v/>
      </c>
      <c r="B245" s="485" t="str">
        <f aca="false">IF(DITARI!$D249="","",DITARI!$A249)</f>
        <v/>
      </c>
      <c r="C245" s="484" t="str">
        <f aca="false">IF(DITARI!$D249="","",DITARI!$B249)</f>
        <v/>
      </c>
      <c r="D245" s="484" t="str">
        <f aca="false">IF(DITARI!$D249="","",DITARI!$C249)</f>
        <v/>
      </c>
      <c r="E245" s="484" t="str">
        <f aca="false">IF(DITARI!$D249="","",TRIM(DITARI!$D249&amp;""))</f>
        <v/>
      </c>
      <c r="F245" s="484" t="str">
        <f aca="false">IF($E245="","",IFERROR(VLOOKUP($E245,PLANI_LLOGARIVE!$A:$I,2,FALSE()),DITARI!$E249))</f>
        <v/>
      </c>
      <c r="G245" s="484" t="str">
        <f aca="false">IF($E245="","",DITARI!$I249)</f>
        <v/>
      </c>
      <c r="H245" s="484" t="str">
        <f aca="false">IFERROR(IF($E245="","",DITARI!$H249),"")</f>
        <v/>
      </c>
      <c r="I245" s="487" t="n">
        <f aca="false">IF($E245="",0,IFERROR(DITARI!$F249,0))</f>
        <v>0</v>
      </c>
      <c r="J245" s="487" t="n">
        <f aca="false">IF($E245="",0,IFERROR(DITARI!$G249,0))</f>
        <v>0</v>
      </c>
      <c r="K245" s="484" t="str">
        <f aca="false">IF($E245="","",IFERROR(VLOOKUP($E245,PLANI_LLOGARIVE!$A:$I,9,FALSE()),""))</f>
        <v/>
      </c>
      <c r="L245" s="487" t="str">
        <f aca="false">IF($E245="","",$I245-$J245)</f>
        <v/>
      </c>
      <c r="M245" s="484" t="str">
        <f aca="false">IF($E245="","",IF($I245&gt;0,"DEBIT",IF($J245&gt;0,"KREDIT","ZERO")))</f>
        <v/>
      </c>
      <c r="N245" s="484" t="str">
        <f aca="false">IF($E245="","",TEXT($B245,"yyyymmdd")&amp;"-"&amp;TEXT(ROW(),"0000"))</f>
        <v/>
      </c>
      <c r="O245" s="101" t="str">
        <f aca="false">IF($E245="","",$E245&amp;"")</f>
        <v/>
      </c>
      <c r="P245" s="101" t="str">
        <f aca="false">IF(AND($O245&lt;&gt;"",$I245&lt;&gt;0),COUNTIFS($O$2:O245,$O245,$I$2:I245,"&gt;0"),"")</f>
        <v/>
      </c>
      <c r="Q245" s="101" t="str">
        <f aca="false">IF(AND($O245&lt;&gt;"",$J245&lt;&gt;0),COUNTIFS($O$2:O245,$O245,$J$2:J245,"&gt;0"),"")</f>
        <v/>
      </c>
      <c r="R245" s="101" t="str">
        <f aca="false">IF($P245="","",$O245&amp;"|"&amp;$P245)</f>
        <v/>
      </c>
      <c r="S245" s="101" t="str">
        <f aca="false">IF($Q245="","",$O245&amp;"|"&amp;$Q245)</f>
        <v/>
      </c>
      <c r="T245" s="101" t="str">
        <f aca="false">IF($O245="","",COUNTIF($O$2:O245,$O245))</f>
        <v/>
      </c>
      <c r="U245" s="101" t="str">
        <f aca="false">IF($O245="","",$O245&amp;"|"&amp;$T245)</f>
        <v/>
      </c>
      <c r="V245" s="488" t="n">
        <f aca="false">IF(OR(LEFT($D245,5)="MB-CL",LEFT($D245,6)="MB-RES"),0,$I245)</f>
        <v>0</v>
      </c>
      <c r="W245" s="488" t="n">
        <f aca="false">IF(OR(LEFT($D245,5)="MB-CL",LEFT($D245,6)="MB-RES"),0,$J245)</f>
        <v>0</v>
      </c>
      <c r="X245" s="101" t="str">
        <f aca="false">IF($E245="","",LEFT($E245,1))</f>
        <v/>
      </c>
      <c r="Y245" s="101" t="str">
        <f aca="false">IF($E245="","",LEFT($E245,2))</f>
        <v/>
      </c>
      <c r="Z245" s="101" t="str">
        <f aca="false">IF($E245="","",LEFT($E245,3))</f>
        <v/>
      </c>
      <c r="AA245" s="101" t="str">
        <f aca="false">IF($E245="","",LEFT($E245,4))</f>
        <v/>
      </c>
    </row>
    <row r="246" customFormat="false" ht="15" hidden="false" customHeight="true" outlineLevel="0" collapsed="false">
      <c r="A246" s="484" t="str">
        <f aca="false">IF(DITARI!$D250="","",ROW()-1)</f>
        <v/>
      </c>
      <c r="B246" s="485" t="str">
        <f aca="false">IF(DITARI!$D250="","",DITARI!$A250)</f>
        <v/>
      </c>
      <c r="C246" s="484" t="str">
        <f aca="false">IF(DITARI!$D250="","",DITARI!$B250)</f>
        <v/>
      </c>
      <c r="D246" s="484" t="str">
        <f aca="false">IF(DITARI!$D250="","",DITARI!$C250)</f>
        <v/>
      </c>
      <c r="E246" s="484" t="str">
        <f aca="false">IF(DITARI!$D250="","",TRIM(DITARI!$D250&amp;""))</f>
        <v/>
      </c>
      <c r="F246" s="484" t="str">
        <f aca="false">IF($E246="","",IFERROR(VLOOKUP($E246,PLANI_LLOGARIVE!$A:$I,2,FALSE()),DITARI!$E250))</f>
        <v/>
      </c>
      <c r="G246" s="484" t="str">
        <f aca="false">IF($E246="","",DITARI!$I250)</f>
        <v/>
      </c>
      <c r="H246" s="484" t="str">
        <f aca="false">IFERROR(IF($E246="","",DITARI!$H250),"")</f>
        <v/>
      </c>
      <c r="I246" s="487" t="n">
        <f aca="false">IF($E246="",0,IFERROR(DITARI!$F250,0))</f>
        <v>0</v>
      </c>
      <c r="J246" s="487" t="n">
        <f aca="false">IF($E246="",0,IFERROR(DITARI!$G250,0))</f>
        <v>0</v>
      </c>
      <c r="K246" s="484" t="str">
        <f aca="false">IF($E246="","",IFERROR(VLOOKUP($E246,PLANI_LLOGARIVE!$A:$I,9,FALSE()),""))</f>
        <v/>
      </c>
      <c r="L246" s="487" t="str">
        <f aca="false">IF($E246="","",$I246-$J246)</f>
        <v/>
      </c>
      <c r="M246" s="484" t="str">
        <f aca="false">IF($E246="","",IF($I246&gt;0,"DEBIT",IF($J246&gt;0,"KREDIT","ZERO")))</f>
        <v/>
      </c>
      <c r="N246" s="484" t="str">
        <f aca="false">IF($E246="","",TEXT($B246,"yyyymmdd")&amp;"-"&amp;TEXT(ROW(),"0000"))</f>
        <v/>
      </c>
      <c r="O246" s="101" t="str">
        <f aca="false">IF($E246="","",$E246&amp;"")</f>
        <v/>
      </c>
      <c r="P246" s="101" t="str">
        <f aca="false">IF(AND($O246&lt;&gt;"",$I246&lt;&gt;0),COUNTIFS($O$2:O246,$O246,$I$2:I246,"&gt;0"),"")</f>
        <v/>
      </c>
      <c r="Q246" s="101" t="str">
        <f aca="false">IF(AND($O246&lt;&gt;"",$J246&lt;&gt;0),COUNTIFS($O$2:O246,$O246,$J$2:J246,"&gt;0"),"")</f>
        <v/>
      </c>
      <c r="R246" s="101" t="str">
        <f aca="false">IF($P246="","",$O246&amp;"|"&amp;$P246)</f>
        <v/>
      </c>
      <c r="S246" s="101" t="str">
        <f aca="false">IF($Q246="","",$O246&amp;"|"&amp;$Q246)</f>
        <v/>
      </c>
      <c r="T246" s="101" t="str">
        <f aca="false">IF($O246="","",COUNTIF($O$2:O246,$O246))</f>
        <v/>
      </c>
      <c r="U246" s="101" t="str">
        <f aca="false">IF($O246="","",$O246&amp;"|"&amp;$T246)</f>
        <v/>
      </c>
      <c r="V246" s="488" t="n">
        <f aca="false">IF(OR(LEFT($D246,5)="MB-CL",LEFT($D246,6)="MB-RES"),0,$I246)</f>
        <v>0</v>
      </c>
      <c r="W246" s="488" t="n">
        <f aca="false">IF(OR(LEFT($D246,5)="MB-CL",LEFT($D246,6)="MB-RES"),0,$J246)</f>
        <v>0</v>
      </c>
      <c r="X246" s="101" t="str">
        <f aca="false">IF($E246="","",LEFT($E246,1))</f>
        <v/>
      </c>
      <c r="Y246" s="101" t="str">
        <f aca="false">IF($E246="","",LEFT($E246,2))</f>
        <v/>
      </c>
      <c r="Z246" s="101" t="str">
        <f aca="false">IF($E246="","",LEFT($E246,3))</f>
        <v/>
      </c>
      <c r="AA246" s="101" t="str">
        <f aca="false">IF($E246="","",LEFT($E246,4))</f>
        <v/>
      </c>
    </row>
    <row r="247" customFormat="false" ht="15" hidden="false" customHeight="true" outlineLevel="0" collapsed="false">
      <c r="A247" s="484" t="str">
        <f aca="false">IF(DITARI!$D251="","",ROW()-1)</f>
        <v/>
      </c>
      <c r="B247" s="485" t="str">
        <f aca="false">IF(DITARI!$D251="","",DITARI!$A251)</f>
        <v/>
      </c>
      <c r="C247" s="484" t="str">
        <f aca="false">IF(DITARI!$D251="","",DITARI!$B251)</f>
        <v/>
      </c>
      <c r="D247" s="484" t="str">
        <f aca="false">IF(DITARI!$D251="","",DITARI!$C251)</f>
        <v/>
      </c>
      <c r="E247" s="484" t="str">
        <f aca="false">IF(DITARI!$D251="","",TRIM(DITARI!$D251&amp;""))</f>
        <v/>
      </c>
      <c r="F247" s="484" t="str">
        <f aca="false">IF($E247="","",IFERROR(VLOOKUP($E247,PLANI_LLOGARIVE!$A:$I,2,FALSE()),DITARI!$E251))</f>
        <v/>
      </c>
      <c r="G247" s="484" t="str">
        <f aca="false">IF($E247="","",DITARI!$I251)</f>
        <v/>
      </c>
      <c r="H247" s="484" t="str">
        <f aca="false">IFERROR(IF($E247="","",DITARI!$H251),"")</f>
        <v/>
      </c>
      <c r="I247" s="487" t="n">
        <f aca="false">IF($E247="",0,IFERROR(DITARI!$F251,0))</f>
        <v>0</v>
      </c>
      <c r="J247" s="487" t="n">
        <f aca="false">IF($E247="",0,IFERROR(DITARI!$G251,0))</f>
        <v>0</v>
      </c>
      <c r="K247" s="484" t="str">
        <f aca="false">IF($E247="","",IFERROR(VLOOKUP($E247,PLANI_LLOGARIVE!$A:$I,9,FALSE()),""))</f>
        <v/>
      </c>
      <c r="L247" s="487" t="str">
        <f aca="false">IF($E247="","",$I247-$J247)</f>
        <v/>
      </c>
      <c r="M247" s="484" t="str">
        <f aca="false">IF($E247="","",IF($I247&gt;0,"DEBIT",IF($J247&gt;0,"KREDIT","ZERO")))</f>
        <v/>
      </c>
      <c r="N247" s="484" t="str">
        <f aca="false">IF($E247="","",TEXT($B247,"yyyymmdd")&amp;"-"&amp;TEXT(ROW(),"0000"))</f>
        <v/>
      </c>
      <c r="O247" s="101" t="str">
        <f aca="false">IF($E247="","",$E247&amp;"")</f>
        <v/>
      </c>
      <c r="P247" s="101" t="str">
        <f aca="false">IF(AND($O247&lt;&gt;"",$I247&lt;&gt;0),COUNTIFS($O$2:O247,$O247,$I$2:I247,"&gt;0"),"")</f>
        <v/>
      </c>
      <c r="Q247" s="101" t="str">
        <f aca="false">IF(AND($O247&lt;&gt;"",$J247&lt;&gt;0),COUNTIFS($O$2:O247,$O247,$J$2:J247,"&gt;0"),"")</f>
        <v/>
      </c>
      <c r="R247" s="101" t="str">
        <f aca="false">IF($P247="","",$O247&amp;"|"&amp;$P247)</f>
        <v/>
      </c>
      <c r="S247" s="101" t="str">
        <f aca="false">IF($Q247="","",$O247&amp;"|"&amp;$Q247)</f>
        <v/>
      </c>
      <c r="T247" s="101" t="str">
        <f aca="false">IF($O247="","",COUNTIF($O$2:O247,$O247))</f>
        <v/>
      </c>
      <c r="U247" s="101" t="str">
        <f aca="false">IF($O247="","",$O247&amp;"|"&amp;$T247)</f>
        <v/>
      </c>
      <c r="V247" s="488" t="n">
        <f aca="false">IF(OR(LEFT($D247,5)="MB-CL",LEFT($D247,6)="MB-RES"),0,$I247)</f>
        <v>0</v>
      </c>
      <c r="W247" s="488" t="n">
        <f aca="false">IF(OR(LEFT($D247,5)="MB-CL",LEFT($D247,6)="MB-RES"),0,$J247)</f>
        <v>0</v>
      </c>
      <c r="X247" s="101" t="str">
        <f aca="false">IF($E247="","",LEFT($E247,1))</f>
        <v/>
      </c>
      <c r="Y247" s="101" t="str">
        <f aca="false">IF($E247="","",LEFT($E247,2))</f>
        <v/>
      </c>
      <c r="Z247" s="101" t="str">
        <f aca="false">IF($E247="","",LEFT($E247,3))</f>
        <v/>
      </c>
      <c r="AA247" s="101" t="str">
        <f aca="false">IF($E247="","",LEFT($E247,4))</f>
        <v/>
      </c>
    </row>
    <row r="248" customFormat="false" ht="15" hidden="false" customHeight="true" outlineLevel="0" collapsed="false">
      <c r="A248" s="484" t="str">
        <f aca="false">IF(DITARI!$D252="","",ROW()-1)</f>
        <v/>
      </c>
      <c r="B248" s="485" t="str">
        <f aca="false">IF(DITARI!$D252="","",DITARI!$A252)</f>
        <v/>
      </c>
      <c r="C248" s="484" t="str">
        <f aca="false">IF(DITARI!$D252="","",DITARI!$B252)</f>
        <v/>
      </c>
      <c r="D248" s="484" t="str">
        <f aca="false">IF(DITARI!$D252="","",DITARI!$C252)</f>
        <v/>
      </c>
      <c r="E248" s="484" t="str">
        <f aca="false">IF(DITARI!$D252="","",TRIM(DITARI!$D252&amp;""))</f>
        <v/>
      </c>
      <c r="F248" s="484" t="str">
        <f aca="false">IF($E248="","",IFERROR(VLOOKUP($E248,PLANI_LLOGARIVE!$A:$I,2,FALSE()),DITARI!$E252))</f>
        <v/>
      </c>
      <c r="G248" s="484" t="str">
        <f aca="false">IF($E248="","",DITARI!$I252)</f>
        <v/>
      </c>
      <c r="H248" s="484" t="str">
        <f aca="false">IFERROR(IF($E248="","",DITARI!$H252),"")</f>
        <v/>
      </c>
      <c r="I248" s="487" t="n">
        <f aca="false">IF($E248="",0,IFERROR(DITARI!$F252,0))</f>
        <v>0</v>
      </c>
      <c r="J248" s="487" t="n">
        <f aca="false">IF($E248="",0,IFERROR(DITARI!$G252,0))</f>
        <v>0</v>
      </c>
      <c r="K248" s="484" t="str">
        <f aca="false">IF($E248="","",IFERROR(VLOOKUP($E248,PLANI_LLOGARIVE!$A:$I,9,FALSE()),""))</f>
        <v/>
      </c>
      <c r="L248" s="487" t="str">
        <f aca="false">IF($E248="","",$I248-$J248)</f>
        <v/>
      </c>
      <c r="M248" s="484" t="str">
        <f aca="false">IF($E248="","",IF($I248&gt;0,"DEBIT",IF($J248&gt;0,"KREDIT","ZERO")))</f>
        <v/>
      </c>
      <c r="N248" s="484" t="str">
        <f aca="false">IF($E248="","",TEXT($B248,"yyyymmdd")&amp;"-"&amp;TEXT(ROW(),"0000"))</f>
        <v/>
      </c>
      <c r="O248" s="101" t="str">
        <f aca="false">IF($E248="","",$E248&amp;"")</f>
        <v/>
      </c>
      <c r="P248" s="101" t="str">
        <f aca="false">IF(AND($O248&lt;&gt;"",$I248&lt;&gt;0),COUNTIFS($O$2:O248,$O248,$I$2:I248,"&gt;0"),"")</f>
        <v/>
      </c>
      <c r="Q248" s="101" t="str">
        <f aca="false">IF(AND($O248&lt;&gt;"",$J248&lt;&gt;0),COUNTIFS($O$2:O248,$O248,$J$2:J248,"&gt;0"),"")</f>
        <v/>
      </c>
      <c r="R248" s="101" t="str">
        <f aca="false">IF($P248="","",$O248&amp;"|"&amp;$P248)</f>
        <v/>
      </c>
      <c r="S248" s="101" t="str">
        <f aca="false">IF($Q248="","",$O248&amp;"|"&amp;$Q248)</f>
        <v/>
      </c>
      <c r="T248" s="101" t="str">
        <f aca="false">IF($O248="","",COUNTIF($O$2:O248,$O248))</f>
        <v/>
      </c>
      <c r="U248" s="101" t="str">
        <f aca="false">IF($O248="","",$O248&amp;"|"&amp;$T248)</f>
        <v/>
      </c>
      <c r="V248" s="488" t="n">
        <f aca="false">IF(OR(LEFT($D248,5)="MB-CL",LEFT($D248,6)="MB-RES"),0,$I248)</f>
        <v>0</v>
      </c>
      <c r="W248" s="488" t="n">
        <f aca="false">IF(OR(LEFT($D248,5)="MB-CL",LEFT($D248,6)="MB-RES"),0,$J248)</f>
        <v>0</v>
      </c>
      <c r="X248" s="101" t="str">
        <f aca="false">IF($E248="","",LEFT($E248,1))</f>
        <v/>
      </c>
      <c r="Y248" s="101" t="str">
        <f aca="false">IF($E248="","",LEFT($E248,2))</f>
        <v/>
      </c>
      <c r="Z248" s="101" t="str">
        <f aca="false">IF($E248="","",LEFT($E248,3))</f>
        <v/>
      </c>
      <c r="AA248" s="101" t="str">
        <f aca="false">IF($E248="","",LEFT($E248,4))</f>
        <v/>
      </c>
    </row>
    <row r="249" customFormat="false" ht="15" hidden="false" customHeight="true" outlineLevel="0" collapsed="false">
      <c r="A249" s="484" t="str">
        <f aca="false">IF(DITARI!$D253="","",ROW()-1)</f>
        <v/>
      </c>
      <c r="B249" s="485" t="str">
        <f aca="false">IF(DITARI!$D253="","",DITARI!$A253)</f>
        <v/>
      </c>
      <c r="C249" s="484" t="str">
        <f aca="false">IF(DITARI!$D253="","",DITARI!$B253)</f>
        <v/>
      </c>
      <c r="D249" s="484" t="str">
        <f aca="false">IF(DITARI!$D253="","",DITARI!$C253)</f>
        <v/>
      </c>
      <c r="E249" s="484" t="str">
        <f aca="false">IF(DITARI!$D253="","",TRIM(DITARI!$D253&amp;""))</f>
        <v/>
      </c>
      <c r="F249" s="484" t="str">
        <f aca="false">IF($E249="","",IFERROR(VLOOKUP($E249,PLANI_LLOGARIVE!$A:$I,2,FALSE()),DITARI!$E253))</f>
        <v/>
      </c>
      <c r="G249" s="484" t="str">
        <f aca="false">IF($E249="","",DITARI!$I253)</f>
        <v/>
      </c>
      <c r="H249" s="484" t="str">
        <f aca="false">IFERROR(IF($E249="","",DITARI!$H253),"")</f>
        <v/>
      </c>
      <c r="I249" s="487" t="n">
        <f aca="false">IF($E249="",0,IFERROR(DITARI!$F253,0))</f>
        <v>0</v>
      </c>
      <c r="J249" s="487" t="n">
        <f aca="false">IF($E249="",0,IFERROR(DITARI!$G253,0))</f>
        <v>0</v>
      </c>
      <c r="K249" s="484" t="str">
        <f aca="false">IF($E249="","",IFERROR(VLOOKUP($E249,PLANI_LLOGARIVE!$A:$I,9,FALSE()),""))</f>
        <v/>
      </c>
      <c r="L249" s="487" t="str">
        <f aca="false">IF($E249="","",$I249-$J249)</f>
        <v/>
      </c>
      <c r="M249" s="484" t="str">
        <f aca="false">IF($E249="","",IF($I249&gt;0,"DEBIT",IF($J249&gt;0,"KREDIT","ZERO")))</f>
        <v/>
      </c>
      <c r="N249" s="484" t="str">
        <f aca="false">IF($E249="","",TEXT($B249,"yyyymmdd")&amp;"-"&amp;TEXT(ROW(),"0000"))</f>
        <v/>
      </c>
      <c r="O249" s="101" t="str">
        <f aca="false">IF($E249="","",$E249&amp;"")</f>
        <v/>
      </c>
      <c r="P249" s="101" t="str">
        <f aca="false">IF(AND($O249&lt;&gt;"",$I249&lt;&gt;0),COUNTIFS($O$2:O249,$O249,$I$2:I249,"&gt;0"),"")</f>
        <v/>
      </c>
      <c r="Q249" s="101" t="str">
        <f aca="false">IF(AND($O249&lt;&gt;"",$J249&lt;&gt;0),COUNTIFS($O$2:O249,$O249,$J$2:J249,"&gt;0"),"")</f>
        <v/>
      </c>
      <c r="R249" s="101" t="str">
        <f aca="false">IF($P249="","",$O249&amp;"|"&amp;$P249)</f>
        <v/>
      </c>
      <c r="S249" s="101" t="str">
        <f aca="false">IF($Q249="","",$O249&amp;"|"&amp;$Q249)</f>
        <v/>
      </c>
      <c r="T249" s="101" t="str">
        <f aca="false">IF($O249="","",COUNTIF($O$2:O249,$O249))</f>
        <v/>
      </c>
      <c r="U249" s="101" t="str">
        <f aca="false">IF($O249="","",$O249&amp;"|"&amp;$T249)</f>
        <v/>
      </c>
      <c r="V249" s="488" t="n">
        <f aca="false">IF(OR(LEFT($D249,5)="MB-CL",LEFT($D249,6)="MB-RES"),0,$I249)</f>
        <v>0</v>
      </c>
      <c r="W249" s="488" t="n">
        <f aca="false">IF(OR(LEFT($D249,5)="MB-CL",LEFT($D249,6)="MB-RES"),0,$J249)</f>
        <v>0</v>
      </c>
      <c r="X249" s="101" t="str">
        <f aca="false">IF($E249="","",LEFT($E249,1))</f>
        <v/>
      </c>
      <c r="Y249" s="101" t="str">
        <f aca="false">IF($E249="","",LEFT($E249,2))</f>
        <v/>
      </c>
      <c r="Z249" s="101" t="str">
        <f aca="false">IF($E249="","",LEFT($E249,3))</f>
        <v/>
      </c>
      <c r="AA249" s="101" t="str">
        <f aca="false">IF($E249="","",LEFT($E249,4))</f>
        <v/>
      </c>
    </row>
    <row r="250" customFormat="false" ht="15" hidden="false" customHeight="true" outlineLevel="0" collapsed="false">
      <c r="A250" s="484" t="str">
        <f aca="false">IF(DITARI!$D254="","",ROW()-1)</f>
        <v/>
      </c>
      <c r="B250" s="485" t="str">
        <f aca="false">IF(DITARI!$D254="","",DITARI!$A254)</f>
        <v/>
      </c>
      <c r="C250" s="484" t="str">
        <f aca="false">IF(DITARI!$D254="","",DITARI!$B254)</f>
        <v/>
      </c>
      <c r="D250" s="484" t="str">
        <f aca="false">IF(DITARI!$D254="","",DITARI!$C254)</f>
        <v/>
      </c>
      <c r="E250" s="484" t="str">
        <f aca="false">IF(DITARI!$D254="","",TRIM(DITARI!$D254&amp;""))</f>
        <v/>
      </c>
      <c r="F250" s="484" t="str">
        <f aca="false">IF($E250="","",IFERROR(VLOOKUP($E250,PLANI_LLOGARIVE!$A:$I,2,FALSE()),DITARI!$E254))</f>
        <v/>
      </c>
      <c r="G250" s="484" t="str">
        <f aca="false">IF($E250="","",DITARI!$I254)</f>
        <v/>
      </c>
      <c r="H250" s="484" t="str">
        <f aca="false">IFERROR(IF($E250="","",DITARI!$H254),"")</f>
        <v/>
      </c>
      <c r="I250" s="487" t="n">
        <f aca="false">IF($E250="",0,IFERROR(DITARI!$F254,0))</f>
        <v>0</v>
      </c>
      <c r="J250" s="487" t="n">
        <f aca="false">IF($E250="",0,IFERROR(DITARI!$G254,0))</f>
        <v>0</v>
      </c>
      <c r="K250" s="484" t="str">
        <f aca="false">IF($E250="","",IFERROR(VLOOKUP($E250,PLANI_LLOGARIVE!$A:$I,9,FALSE()),""))</f>
        <v/>
      </c>
      <c r="L250" s="487" t="str">
        <f aca="false">IF($E250="","",$I250-$J250)</f>
        <v/>
      </c>
      <c r="M250" s="484" t="str">
        <f aca="false">IF($E250="","",IF($I250&gt;0,"DEBIT",IF($J250&gt;0,"KREDIT","ZERO")))</f>
        <v/>
      </c>
      <c r="N250" s="484" t="str">
        <f aca="false">IF($E250="","",TEXT($B250,"yyyymmdd")&amp;"-"&amp;TEXT(ROW(),"0000"))</f>
        <v/>
      </c>
      <c r="O250" s="101" t="str">
        <f aca="false">IF($E250="","",$E250&amp;"")</f>
        <v/>
      </c>
      <c r="P250" s="101" t="str">
        <f aca="false">IF(AND($O250&lt;&gt;"",$I250&lt;&gt;0),COUNTIFS($O$2:O250,$O250,$I$2:I250,"&gt;0"),"")</f>
        <v/>
      </c>
      <c r="Q250" s="101" t="str">
        <f aca="false">IF(AND($O250&lt;&gt;"",$J250&lt;&gt;0),COUNTIFS($O$2:O250,$O250,$J$2:J250,"&gt;0"),"")</f>
        <v/>
      </c>
      <c r="R250" s="101" t="str">
        <f aca="false">IF($P250="","",$O250&amp;"|"&amp;$P250)</f>
        <v/>
      </c>
      <c r="S250" s="101" t="str">
        <f aca="false">IF($Q250="","",$O250&amp;"|"&amp;$Q250)</f>
        <v/>
      </c>
      <c r="T250" s="101" t="str">
        <f aca="false">IF($O250="","",COUNTIF($O$2:O250,$O250))</f>
        <v/>
      </c>
      <c r="U250" s="101" t="str">
        <f aca="false">IF($O250="","",$O250&amp;"|"&amp;$T250)</f>
        <v/>
      </c>
      <c r="V250" s="488" t="n">
        <f aca="false">IF(OR(LEFT($D250,5)="MB-CL",LEFT($D250,6)="MB-RES"),0,$I250)</f>
        <v>0</v>
      </c>
      <c r="W250" s="488" t="n">
        <f aca="false">IF(OR(LEFT($D250,5)="MB-CL",LEFT($D250,6)="MB-RES"),0,$J250)</f>
        <v>0</v>
      </c>
      <c r="X250" s="101" t="str">
        <f aca="false">IF($E250="","",LEFT($E250,1))</f>
        <v/>
      </c>
      <c r="Y250" s="101" t="str">
        <f aca="false">IF($E250="","",LEFT($E250,2))</f>
        <v/>
      </c>
      <c r="Z250" s="101" t="str">
        <f aca="false">IF($E250="","",LEFT($E250,3))</f>
        <v/>
      </c>
      <c r="AA250" s="101" t="str">
        <f aca="false">IF($E250="","",LEFT($E250,4))</f>
        <v/>
      </c>
    </row>
    <row r="251" customFormat="false" ht="15" hidden="false" customHeight="true" outlineLevel="0" collapsed="false">
      <c r="A251" s="484" t="str">
        <f aca="false">IF(DITARI!$D255="","",ROW()-1)</f>
        <v/>
      </c>
      <c r="B251" s="485" t="str">
        <f aca="false">IF(DITARI!$D255="","",DITARI!$A255)</f>
        <v/>
      </c>
      <c r="C251" s="484" t="str">
        <f aca="false">IF(DITARI!$D255="","",DITARI!$B255)</f>
        <v/>
      </c>
      <c r="D251" s="484" t="str">
        <f aca="false">IF(DITARI!$D255="","",DITARI!$C255)</f>
        <v/>
      </c>
      <c r="E251" s="484" t="str">
        <f aca="false">IF(DITARI!$D255="","",TRIM(DITARI!$D255&amp;""))</f>
        <v/>
      </c>
      <c r="F251" s="484" t="str">
        <f aca="false">IF($E251="","",IFERROR(VLOOKUP($E251,PLANI_LLOGARIVE!$A:$I,2,FALSE()),DITARI!$E255))</f>
        <v/>
      </c>
      <c r="G251" s="484" t="str">
        <f aca="false">IF($E251="","",DITARI!$I255)</f>
        <v/>
      </c>
      <c r="H251" s="484" t="str">
        <f aca="false">IFERROR(IF($E251="","",DITARI!$H255),"")</f>
        <v/>
      </c>
      <c r="I251" s="487" t="n">
        <f aca="false">IF($E251="",0,IFERROR(DITARI!$F255,0))</f>
        <v>0</v>
      </c>
      <c r="J251" s="487" t="n">
        <f aca="false">IF($E251="",0,IFERROR(DITARI!$G255,0))</f>
        <v>0</v>
      </c>
      <c r="K251" s="484" t="str">
        <f aca="false">IF($E251="","",IFERROR(VLOOKUP($E251,PLANI_LLOGARIVE!$A:$I,9,FALSE()),""))</f>
        <v/>
      </c>
      <c r="L251" s="487" t="str">
        <f aca="false">IF($E251="","",$I251-$J251)</f>
        <v/>
      </c>
      <c r="M251" s="484" t="str">
        <f aca="false">IF($E251="","",IF($I251&gt;0,"DEBIT",IF($J251&gt;0,"KREDIT","ZERO")))</f>
        <v/>
      </c>
      <c r="N251" s="484" t="str">
        <f aca="false">IF($E251="","",TEXT($B251,"yyyymmdd")&amp;"-"&amp;TEXT(ROW(),"0000"))</f>
        <v/>
      </c>
      <c r="O251" s="101" t="str">
        <f aca="false">IF($E251="","",$E251&amp;"")</f>
        <v/>
      </c>
      <c r="P251" s="101" t="str">
        <f aca="false">IF(AND($O251&lt;&gt;"",$I251&lt;&gt;0),COUNTIFS($O$2:O251,$O251,$I$2:I251,"&gt;0"),"")</f>
        <v/>
      </c>
      <c r="Q251" s="101" t="str">
        <f aca="false">IF(AND($O251&lt;&gt;"",$J251&lt;&gt;0),COUNTIFS($O$2:O251,$O251,$J$2:J251,"&gt;0"),"")</f>
        <v/>
      </c>
      <c r="R251" s="101" t="str">
        <f aca="false">IF($P251="","",$O251&amp;"|"&amp;$P251)</f>
        <v/>
      </c>
      <c r="S251" s="101" t="str">
        <f aca="false">IF($Q251="","",$O251&amp;"|"&amp;$Q251)</f>
        <v/>
      </c>
      <c r="T251" s="101" t="str">
        <f aca="false">IF($O251="","",COUNTIF($O$2:O251,$O251))</f>
        <v/>
      </c>
      <c r="U251" s="101" t="str">
        <f aca="false">IF($O251="","",$O251&amp;"|"&amp;$T251)</f>
        <v/>
      </c>
      <c r="V251" s="488" t="n">
        <f aca="false">IF(OR(LEFT($D251,5)="MB-CL",LEFT($D251,6)="MB-RES"),0,$I251)</f>
        <v>0</v>
      </c>
      <c r="W251" s="488" t="n">
        <f aca="false">IF(OR(LEFT($D251,5)="MB-CL",LEFT($D251,6)="MB-RES"),0,$J251)</f>
        <v>0</v>
      </c>
      <c r="X251" s="101" t="str">
        <f aca="false">IF($E251="","",LEFT($E251,1))</f>
        <v/>
      </c>
      <c r="Y251" s="101" t="str">
        <f aca="false">IF($E251="","",LEFT($E251,2))</f>
        <v/>
      </c>
      <c r="Z251" s="101" t="str">
        <f aca="false">IF($E251="","",LEFT($E251,3))</f>
        <v/>
      </c>
      <c r="AA251" s="101" t="str">
        <f aca="false">IF($E251="","",LEFT($E251,4))</f>
        <v/>
      </c>
    </row>
    <row r="252" customFormat="false" ht="15" hidden="false" customHeight="true" outlineLevel="0" collapsed="false">
      <c r="A252" s="484" t="str">
        <f aca="false">IF(DITARI!$D256="","",ROW()-1)</f>
        <v/>
      </c>
      <c r="B252" s="485" t="str">
        <f aca="false">IF(DITARI!$D256="","",DITARI!$A256)</f>
        <v/>
      </c>
      <c r="C252" s="484" t="str">
        <f aca="false">IF(DITARI!$D256="","",DITARI!$B256)</f>
        <v/>
      </c>
      <c r="D252" s="484" t="str">
        <f aca="false">IF(DITARI!$D256="","",DITARI!$C256)</f>
        <v/>
      </c>
      <c r="E252" s="484" t="str">
        <f aca="false">IF(DITARI!$D256="","",TRIM(DITARI!$D256&amp;""))</f>
        <v/>
      </c>
      <c r="F252" s="484" t="str">
        <f aca="false">IF($E252="","",IFERROR(VLOOKUP($E252,PLANI_LLOGARIVE!$A:$I,2,FALSE()),DITARI!$E256))</f>
        <v/>
      </c>
      <c r="G252" s="484" t="str">
        <f aca="false">IF($E252="","",DITARI!$I256)</f>
        <v/>
      </c>
      <c r="H252" s="484" t="str">
        <f aca="false">IFERROR(IF($E252="","",DITARI!$H256),"")</f>
        <v/>
      </c>
      <c r="I252" s="487" t="n">
        <f aca="false">IF($E252="",0,IFERROR(DITARI!$F256,0))</f>
        <v>0</v>
      </c>
      <c r="J252" s="487" t="n">
        <f aca="false">IF($E252="",0,IFERROR(DITARI!$G256,0))</f>
        <v>0</v>
      </c>
      <c r="K252" s="484" t="str">
        <f aca="false">IF($E252="","",IFERROR(VLOOKUP($E252,PLANI_LLOGARIVE!$A:$I,9,FALSE()),""))</f>
        <v/>
      </c>
      <c r="L252" s="487" t="str">
        <f aca="false">IF($E252="","",$I252-$J252)</f>
        <v/>
      </c>
      <c r="M252" s="484" t="str">
        <f aca="false">IF($E252="","",IF($I252&gt;0,"DEBIT",IF($J252&gt;0,"KREDIT","ZERO")))</f>
        <v/>
      </c>
      <c r="N252" s="484" t="str">
        <f aca="false">IF($E252="","",TEXT($B252,"yyyymmdd")&amp;"-"&amp;TEXT(ROW(),"0000"))</f>
        <v/>
      </c>
      <c r="O252" s="101" t="str">
        <f aca="false">IF($E252="","",$E252&amp;"")</f>
        <v/>
      </c>
      <c r="P252" s="101" t="str">
        <f aca="false">IF(AND($O252&lt;&gt;"",$I252&lt;&gt;0),COUNTIFS($O$2:O252,$O252,$I$2:I252,"&gt;0"),"")</f>
        <v/>
      </c>
      <c r="Q252" s="101" t="str">
        <f aca="false">IF(AND($O252&lt;&gt;"",$J252&lt;&gt;0),COUNTIFS($O$2:O252,$O252,$J$2:J252,"&gt;0"),"")</f>
        <v/>
      </c>
      <c r="R252" s="101" t="str">
        <f aca="false">IF($P252="","",$O252&amp;"|"&amp;$P252)</f>
        <v/>
      </c>
      <c r="S252" s="101" t="str">
        <f aca="false">IF($Q252="","",$O252&amp;"|"&amp;$Q252)</f>
        <v/>
      </c>
      <c r="T252" s="101" t="str">
        <f aca="false">IF($O252="","",COUNTIF($O$2:O252,$O252))</f>
        <v/>
      </c>
      <c r="U252" s="101" t="str">
        <f aca="false">IF($O252="","",$O252&amp;"|"&amp;$T252)</f>
        <v/>
      </c>
      <c r="V252" s="488" t="n">
        <f aca="false">IF(OR(LEFT($D252,5)="MB-CL",LEFT($D252,6)="MB-RES"),0,$I252)</f>
        <v>0</v>
      </c>
      <c r="W252" s="488" t="n">
        <f aca="false">IF(OR(LEFT($D252,5)="MB-CL",LEFT($D252,6)="MB-RES"),0,$J252)</f>
        <v>0</v>
      </c>
      <c r="X252" s="101" t="str">
        <f aca="false">IF($E252="","",LEFT($E252,1))</f>
        <v/>
      </c>
      <c r="Y252" s="101" t="str">
        <f aca="false">IF($E252="","",LEFT($E252,2))</f>
        <v/>
      </c>
      <c r="Z252" s="101" t="str">
        <f aca="false">IF($E252="","",LEFT($E252,3))</f>
        <v/>
      </c>
      <c r="AA252" s="101" t="str">
        <f aca="false">IF($E252="","",LEFT($E252,4))</f>
        <v/>
      </c>
    </row>
    <row r="253" customFormat="false" ht="15" hidden="false" customHeight="true" outlineLevel="0" collapsed="false">
      <c r="A253" s="484" t="str">
        <f aca="false">IF(DITARI!$D257="","",ROW()-1)</f>
        <v/>
      </c>
      <c r="B253" s="485" t="str">
        <f aca="false">IF(DITARI!$D257="","",DITARI!$A257)</f>
        <v/>
      </c>
      <c r="C253" s="484" t="str">
        <f aca="false">IF(DITARI!$D257="","",DITARI!$B257)</f>
        <v/>
      </c>
      <c r="D253" s="484" t="str">
        <f aca="false">IF(DITARI!$D257="","",DITARI!$C257)</f>
        <v/>
      </c>
      <c r="E253" s="484" t="str">
        <f aca="false">IF(DITARI!$D257="","",TRIM(DITARI!$D257&amp;""))</f>
        <v/>
      </c>
      <c r="F253" s="484" t="str">
        <f aca="false">IF($E253="","",IFERROR(VLOOKUP($E253,PLANI_LLOGARIVE!$A:$I,2,FALSE()),DITARI!$E257))</f>
        <v/>
      </c>
      <c r="G253" s="484" t="str">
        <f aca="false">IF($E253="","",DITARI!$I257)</f>
        <v/>
      </c>
      <c r="H253" s="484" t="str">
        <f aca="false">IFERROR(IF($E253="","",DITARI!$H257),"")</f>
        <v/>
      </c>
      <c r="I253" s="487" t="n">
        <f aca="false">IF($E253="",0,IFERROR(DITARI!$F257,0))</f>
        <v>0</v>
      </c>
      <c r="J253" s="487" t="n">
        <f aca="false">IF($E253="",0,IFERROR(DITARI!$G257,0))</f>
        <v>0</v>
      </c>
      <c r="K253" s="484" t="str">
        <f aca="false">IF($E253="","",IFERROR(VLOOKUP($E253,PLANI_LLOGARIVE!$A:$I,9,FALSE()),""))</f>
        <v/>
      </c>
      <c r="L253" s="487" t="str">
        <f aca="false">IF($E253="","",$I253-$J253)</f>
        <v/>
      </c>
      <c r="M253" s="484" t="str">
        <f aca="false">IF($E253="","",IF($I253&gt;0,"DEBIT",IF($J253&gt;0,"KREDIT","ZERO")))</f>
        <v/>
      </c>
      <c r="N253" s="484" t="str">
        <f aca="false">IF($E253="","",TEXT($B253,"yyyymmdd")&amp;"-"&amp;TEXT(ROW(),"0000"))</f>
        <v/>
      </c>
      <c r="O253" s="101" t="str">
        <f aca="false">IF($E253="","",$E253&amp;"")</f>
        <v/>
      </c>
      <c r="P253" s="101" t="str">
        <f aca="false">IF(AND($O253&lt;&gt;"",$I253&lt;&gt;0),COUNTIFS($O$2:O253,$O253,$I$2:I253,"&gt;0"),"")</f>
        <v/>
      </c>
      <c r="Q253" s="101" t="str">
        <f aca="false">IF(AND($O253&lt;&gt;"",$J253&lt;&gt;0),COUNTIFS($O$2:O253,$O253,$J$2:J253,"&gt;0"),"")</f>
        <v/>
      </c>
      <c r="R253" s="101" t="str">
        <f aca="false">IF($P253="","",$O253&amp;"|"&amp;$P253)</f>
        <v/>
      </c>
      <c r="S253" s="101" t="str">
        <f aca="false">IF($Q253="","",$O253&amp;"|"&amp;$Q253)</f>
        <v/>
      </c>
      <c r="T253" s="101" t="str">
        <f aca="false">IF($O253="","",COUNTIF($O$2:O253,$O253))</f>
        <v/>
      </c>
      <c r="U253" s="101" t="str">
        <f aca="false">IF($O253="","",$O253&amp;"|"&amp;$T253)</f>
        <v/>
      </c>
      <c r="V253" s="488" t="n">
        <f aca="false">IF(OR(LEFT($D253,5)="MB-CL",LEFT($D253,6)="MB-RES"),0,$I253)</f>
        <v>0</v>
      </c>
      <c r="W253" s="488" t="n">
        <f aca="false">IF(OR(LEFT($D253,5)="MB-CL",LEFT($D253,6)="MB-RES"),0,$J253)</f>
        <v>0</v>
      </c>
      <c r="X253" s="101" t="str">
        <f aca="false">IF($E253="","",LEFT($E253,1))</f>
        <v/>
      </c>
      <c r="Y253" s="101" t="str">
        <f aca="false">IF($E253="","",LEFT($E253,2))</f>
        <v/>
      </c>
      <c r="Z253" s="101" t="str">
        <f aca="false">IF($E253="","",LEFT($E253,3))</f>
        <v/>
      </c>
      <c r="AA253" s="101" t="str">
        <f aca="false">IF($E253="","",LEFT($E253,4))</f>
        <v/>
      </c>
    </row>
    <row r="254" customFormat="false" ht="15" hidden="false" customHeight="true" outlineLevel="0" collapsed="false">
      <c r="A254" s="484" t="str">
        <f aca="false">IF(DITARI!$D258="","",ROW()-1)</f>
        <v/>
      </c>
      <c r="B254" s="485" t="str">
        <f aca="false">IF(DITARI!$D258="","",DITARI!$A258)</f>
        <v/>
      </c>
      <c r="C254" s="484" t="str">
        <f aca="false">IF(DITARI!$D258="","",DITARI!$B258)</f>
        <v/>
      </c>
      <c r="D254" s="484" t="str">
        <f aca="false">IF(DITARI!$D258="","",DITARI!$C258)</f>
        <v/>
      </c>
      <c r="E254" s="484" t="str">
        <f aca="false">IF(DITARI!$D258="","",TRIM(DITARI!$D258&amp;""))</f>
        <v/>
      </c>
      <c r="F254" s="484" t="str">
        <f aca="false">IF($E254="","",IFERROR(VLOOKUP($E254,PLANI_LLOGARIVE!$A:$I,2,FALSE()),DITARI!$E258))</f>
        <v/>
      </c>
      <c r="G254" s="484" t="str">
        <f aca="false">IF($E254="","",DITARI!$I258)</f>
        <v/>
      </c>
      <c r="H254" s="484" t="str">
        <f aca="false">IFERROR(IF($E254="","",DITARI!$H258),"")</f>
        <v/>
      </c>
      <c r="I254" s="487" t="n">
        <f aca="false">IF($E254="",0,IFERROR(DITARI!$F258,0))</f>
        <v>0</v>
      </c>
      <c r="J254" s="487" t="n">
        <f aca="false">IF($E254="",0,IFERROR(DITARI!$G258,0))</f>
        <v>0</v>
      </c>
      <c r="K254" s="484" t="str">
        <f aca="false">IF($E254="","",IFERROR(VLOOKUP($E254,PLANI_LLOGARIVE!$A:$I,9,FALSE()),""))</f>
        <v/>
      </c>
      <c r="L254" s="487" t="str">
        <f aca="false">IF($E254="","",$I254-$J254)</f>
        <v/>
      </c>
      <c r="M254" s="484" t="str">
        <f aca="false">IF($E254="","",IF($I254&gt;0,"DEBIT",IF($J254&gt;0,"KREDIT","ZERO")))</f>
        <v/>
      </c>
      <c r="N254" s="484" t="str">
        <f aca="false">IF($E254="","",TEXT($B254,"yyyymmdd")&amp;"-"&amp;TEXT(ROW(),"0000"))</f>
        <v/>
      </c>
      <c r="O254" s="101" t="str">
        <f aca="false">IF($E254="","",$E254&amp;"")</f>
        <v/>
      </c>
      <c r="P254" s="101" t="str">
        <f aca="false">IF(AND($O254&lt;&gt;"",$I254&lt;&gt;0),COUNTIFS($O$2:O254,$O254,$I$2:I254,"&gt;0"),"")</f>
        <v/>
      </c>
      <c r="Q254" s="101" t="str">
        <f aca="false">IF(AND($O254&lt;&gt;"",$J254&lt;&gt;0),COUNTIFS($O$2:O254,$O254,$J$2:J254,"&gt;0"),"")</f>
        <v/>
      </c>
      <c r="R254" s="101" t="str">
        <f aca="false">IF($P254="","",$O254&amp;"|"&amp;$P254)</f>
        <v/>
      </c>
      <c r="S254" s="101" t="str">
        <f aca="false">IF($Q254="","",$O254&amp;"|"&amp;$Q254)</f>
        <v/>
      </c>
      <c r="T254" s="101" t="str">
        <f aca="false">IF($O254="","",COUNTIF($O$2:O254,$O254))</f>
        <v/>
      </c>
      <c r="U254" s="101" t="str">
        <f aca="false">IF($O254="","",$O254&amp;"|"&amp;$T254)</f>
        <v/>
      </c>
      <c r="V254" s="488" t="n">
        <f aca="false">IF(OR(LEFT($D254,5)="MB-CL",LEFT($D254,6)="MB-RES"),0,$I254)</f>
        <v>0</v>
      </c>
      <c r="W254" s="488" t="n">
        <f aca="false">IF(OR(LEFT($D254,5)="MB-CL",LEFT($D254,6)="MB-RES"),0,$J254)</f>
        <v>0</v>
      </c>
      <c r="X254" s="101" t="str">
        <f aca="false">IF($E254="","",LEFT($E254,1))</f>
        <v/>
      </c>
      <c r="Y254" s="101" t="str">
        <f aca="false">IF($E254="","",LEFT($E254,2))</f>
        <v/>
      </c>
      <c r="Z254" s="101" t="str">
        <f aca="false">IF($E254="","",LEFT($E254,3))</f>
        <v/>
      </c>
      <c r="AA254" s="101" t="str">
        <f aca="false">IF($E254="","",LEFT($E254,4))</f>
        <v/>
      </c>
    </row>
    <row r="255" customFormat="false" ht="15" hidden="false" customHeight="true" outlineLevel="0" collapsed="false">
      <c r="A255" s="484" t="str">
        <f aca="false">IF(DITARI!$D259="","",ROW()-1)</f>
        <v/>
      </c>
      <c r="B255" s="485" t="str">
        <f aca="false">IF(DITARI!$D259="","",DITARI!$A259)</f>
        <v/>
      </c>
      <c r="C255" s="484" t="str">
        <f aca="false">IF(DITARI!$D259="","",DITARI!$B259)</f>
        <v/>
      </c>
      <c r="D255" s="484" t="str">
        <f aca="false">IF(DITARI!$D259="","",DITARI!$C259)</f>
        <v/>
      </c>
      <c r="E255" s="484" t="str">
        <f aca="false">IF(DITARI!$D259="","",TRIM(DITARI!$D259&amp;""))</f>
        <v/>
      </c>
      <c r="F255" s="484" t="str">
        <f aca="false">IF($E255="","",IFERROR(VLOOKUP($E255,PLANI_LLOGARIVE!$A:$I,2,FALSE()),DITARI!$E259))</f>
        <v/>
      </c>
      <c r="G255" s="484" t="str">
        <f aca="false">IF($E255="","",DITARI!$I259)</f>
        <v/>
      </c>
      <c r="H255" s="484" t="str">
        <f aca="false">IFERROR(IF($E255="","",DITARI!$H259),"")</f>
        <v/>
      </c>
      <c r="I255" s="487" t="n">
        <f aca="false">IF($E255="",0,IFERROR(DITARI!$F259,0))</f>
        <v>0</v>
      </c>
      <c r="J255" s="487" t="n">
        <f aca="false">IF($E255="",0,IFERROR(DITARI!$G259,0))</f>
        <v>0</v>
      </c>
      <c r="K255" s="484" t="str">
        <f aca="false">IF($E255="","",IFERROR(VLOOKUP($E255,PLANI_LLOGARIVE!$A:$I,9,FALSE()),""))</f>
        <v/>
      </c>
      <c r="L255" s="487" t="str">
        <f aca="false">IF($E255="","",$I255-$J255)</f>
        <v/>
      </c>
      <c r="M255" s="484" t="str">
        <f aca="false">IF($E255="","",IF($I255&gt;0,"DEBIT",IF($J255&gt;0,"KREDIT","ZERO")))</f>
        <v/>
      </c>
      <c r="N255" s="484" t="str">
        <f aca="false">IF($E255="","",TEXT($B255,"yyyymmdd")&amp;"-"&amp;TEXT(ROW(),"0000"))</f>
        <v/>
      </c>
      <c r="O255" s="101" t="str">
        <f aca="false">IF($E255="","",$E255&amp;"")</f>
        <v/>
      </c>
      <c r="P255" s="101" t="str">
        <f aca="false">IF(AND($O255&lt;&gt;"",$I255&lt;&gt;0),COUNTIFS($O$2:O255,$O255,$I$2:I255,"&gt;0"),"")</f>
        <v/>
      </c>
      <c r="Q255" s="101" t="str">
        <f aca="false">IF(AND($O255&lt;&gt;"",$J255&lt;&gt;0),COUNTIFS($O$2:O255,$O255,$J$2:J255,"&gt;0"),"")</f>
        <v/>
      </c>
      <c r="R255" s="101" t="str">
        <f aca="false">IF($P255="","",$O255&amp;"|"&amp;$P255)</f>
        <v/>
      </c>
      <c r="S255" s="101" t="str">
        <f aca="false">IF($Q255="","",$O255&amp;"|"&amp;$Q255)</f>
        <v/>
      </c>
      <c r="T255" s="101" t="str">
        <f aca="false">IF($O255="","",COUNTIF($O$2:O255,$O255))</f>
        <v/>
      </c>
      <c r="U255" s="101" t="str">
        <f aca="false">IF($O255="","",$O255&amp;"|"&amp;$T255)</f>
        <v/>
      </c>
      <c r="V255" s="488" t="n">
        <f aca="false">IF(OR(LEFT($D255,5)="MB-CL",LEFT($D255,6)="MB-RES"),0,$I255)</f>
        <v>0</v>
      </c>
      <c r="W255" s="488" t="n">
        <f aca="false">IF(OR(LEFT($D255,5)="MB-CL",LEFT($D255,6)="MB-RES"),0,$J255)</f>
        <v>0</v>
      </c>
      <c r="X255" s="101" t="str">
        <f aca="false">IF($E255="","",LEFT($E255,1))</f>
        <v/>
      </c>
      <c r="Y255" s="101" t="str">
        <f aca="false">IF($E255="","",LEFT($E255,2))</f>
        <v/>
      </c>
      <c r="Z255" s="101" t="str">
        <f aca="false">IF($E255="","",LEFT($E255,3))</f>
        <v/>
      </c>
      <c r="AA255" s="101" t="str">
        <f aca="false">IF($E255="","",LEFT($E255,4))</f>
        <v/>
      </c>
    </row>
    <row r="256" customFormat="false" ht="15" hidden="false" customHeight="true" outlineLevel="0" collapsed="false">
      <c r="A256" s="484" t="str">
        <f aca="false">IF(DITARI!$D260="","",ROW()-1)</f>
        <v/>
      </c>
      <c r="B256" s="485" t="str">
        <f aca="false">IF(DITARI!$D260="","",DITARI!$A260)</f>
        <v/>
      </c>
      <c r="C256" s="484" t="str">
        <f aca="false">IF(DITARI!$D260="","",DITARI!$B260)</f>
        <v/>
      </c>
      <c r="D256" s="484" t="str">
        <f aca="false">IF(DITARI!$D260="","",DITARI!$C260)</f>
        <v/>
      </c>
      <c r="E256" s="484" t="str">
        <f aca="false">IF(DITARI!$D260="","",TRIM(DITARI!$D260&amp;""))</f>
        <v/>
      </c>
      <c r="F256" s="484" t="str">
        <f aca="false">IF($E256="","",IFERROR(VLOOKUP($E256,PLANI_LLOGARIVE!$A:$I,2,FALSE()),DITARI!$E260))</f>
        <v/>
      </c>
      <c r="G256" s="484" t="str">
        <f aca="false">IF($E256="","",DITARI!$I260)</f>
        <v/>
      </c>
      <c r="H256" s="484" t="str">
        <f aca="false">IFERROR(IF($E256="","",DITARI!$H260),"")</f>
        <v/>
      </c>
      <c r="I256" s="487" t="n">
        <f aca="false">IF($E256="",0,IFERROR(DITARI!$F260,0))</f>
        <v>0</v>
      </c>
      <c r="J256" s="487" t="n">
        <f aca="false">IF($E256="",0,IFERROR(DITARI!$G260,0))</f>
        <v>0</v>
      </c>
      <c r="K256" s="484" t="str">
        <f aca="false">IF($E256="","",IFERROR(VLOOKUP($E256,PLANI_LLOGARIVE!$A:$I,9,FALSE()),""))</f>
        <v/>
      </c>
      <c r="L256" s="487" t="str">
        <f aca="false">IF($E256="","",$I256-$J256)</f>
        <v/>
      </c>
      <c r="M256" s="484" t="str">
        <f aca="false">IF($E256="","",IF($I256&gt;0,"DEBIT",IF($J256&gt;0,"KREDIT","ZERO")))</f>
        <v/>
      </c>
      <c r="N256" s="484" t="str">
        <f aca="false">IF($E256="","",TEXT($B256,"yyyymmdd")&amp;"-"&amp;TEXT(ROW(),"0000"))</f>
        <v/>
      </c>
      <c r="O256" s="101" t="str">
        <f aca="false">IF($E256="","",$E256&amp;"")</f>
        <v/>
      </c>
      <c r="P256" s="101" t="str">
        <f aca="false">IF(AND($O256&lt;&gt;"",$I256&lt;&gt;0),COUNTIFS($O$2:O256,$O256,$I$2:I256,"&gt;0"),"")</f>
        <v/>
      </c>
      <c r="Q256" s="101" t="str">
        <f aca="false">IF(AND($O256&lt;&gt;"",$J256&lt;&gt;0),COUNTIFS($O$2:O256,$O256,$J$2:J256,"&gt;0"),"")</f>
        <v/>
      </c>
      <c r="R256" s="101" t="str">
        <f aca="false">IF($P256="","",$O256&amp;"|"&amp;$P256)</f>
        <v/>
      </c>
      <c r="S256" s="101" t="str">
        <f aca="false">IF($Q256="","",$O256&amp;"|"&amp;$Q256)</f>
        <v/>
      </c>
      <c r="T256" s="101" t="str">
        <f aca="false">IF($O256="","",COUNTIF($O$2:O256,$O256))</f>
        <v/>
      </c>
      <c r="U256" s="101" t="str">
        <f aca="false">IF($O256="","",$O256&amp;"|"&amp;$T256)</f>
        <v/>
      </c>
      <c r="V256" s="488" t="n">
        <f aca="false">IF(OR(LEFT($D256,5)="MB-CL",LEFT($D256,6)="MB-RES"),0,$I256)</f>
        <v>0</v>
      </c>
      <c r="W256" s="488" t="n">
        <f aca="false">IF(OR(LEFT($D256,5)="MB-CL",LEFT($D256,6)="MB-RES"),0,$J256)</f>
        <v>0</v>
      </c>
      <c r="X256" s="101" t="str">
        <f aca="false">IF($E256="","",LEFT($E256,1))</f>
        <v/>
      </c>
      <c r="Y256" s="101" t="str">
        <f aca="false">IF($E256="","",LEFT($E256,2))</f>
        <v/>
      </c>
      <c r="Z256" s="101" t="str">
        <f aca="false">IF($E256="","",LEFT($E256,3))</f>
        <v/>
      </c>
      <c r="AA256" s="101" t="str">
        <f aca="false">IF($E256="","",LEFT($E256,4))</f>
        <v/>
      </c>
    </row>
    <row r="257" customFormat="false" ht="15" hidden="false" customHeight="true" outlineLevel="0" collapsed="false">
      <c r="A257" s="484" t="str">
        <f aca="false">IF(DITARI!$D261="","",ROW()-1)</f>
        <v/>
      </c>
      <c r="B257" s="485" t="str">
        <f aca="false">IF(DITARI!$D261="","",DITARI!$A261)</f>
        <v/>
      </c>
      <c r="C257" s="484" t="str">
        <f aca="false">IF(DITARI!$D261="","",DITARI!$B261)</f>
        <v/>
      </c>
      <c r="D257" s="484" t="str">
        <f aca="false">IF(DITARI!$D261="","",DITARI!$C261)</f>
        <v/>
      </c>
      <c r="E257" s="484" t="str">
        <f aca="false">IF(DITARI!$D261="","",TRIM(DITARI!$D261&amp;""))</f>
        <v/>
      </c>
      <c r="F257" s="484" t="str">
        <f aca="false">IF($E257="","",IFERROR(VLOOKUP($E257,PLANI_LLOGARIVE!$A:$I,2,FALSE()),DITARI!$E261))</f>
        <v/>
      </c>
      <c r="G257" s="484" t="str">
        <f aca="false">IF($E257="","",DITARI!$I261)</f>
        <v/>
      </c>
      <c r="H257" s="484" t="str">
        <f aca="false">IFERROR(IF($E257="","",DITARI!$H261),"")</f>
        <v/>
      </c>
      <c r="I257" s="487" t="n">
        <f aca="false">IF($E257="",0,IFERROR(DITARI!$F261,0))</f>
        <v>0</v>
      </c>
      <c r="J257" s="487" t="n">
        <f aca="false">IF($E257="",0,IFERROR(DITARI!$G261,0))</f>
        <v>0</v>
      </c>
      <c r="K257" s="484" t="str">
        <f aca="false">IF($E257="","",IFERROR(VLOOKUP($E257,PLANI_LLOGARIVE!$A:$I,9,FALSE()),""))</f>
        <v/>
      </c>
      <c r="L257" s="487" t="str">
        <f aca="false">IF($E257="","",$I257-$J257)</f>
        <v/>
      </c>
      <c r="M257" s="484" t="str">
        <f aca="false">IF($E257="","",IF($I257&gt;0,"DEBIT",IF($J257&gt;0,"KREDIT","ZERO")))</f>
        <v/>
      </c>
      <c r="N257" s="484" t="str">
        <f aca="false">IF($E257="","",TEXT($B257,"yyyymmdd")&amp;"-"&amp;TEXT(ROW(),"0000"))</f>
        <v/>
      </c>
      <c r="O257" s="101" t="str">
        <f aca="false">IF($E257="","",$E257&amp;"")</f>
        <v/>
      </c>
      <c r="P257" s="101" t="str">
        <f aca="false">IF(AND($O257&lt;&gt;"",$I257&lt;&gt;0),COUNTIFS($O$2:O257,$O257,$I$2:I257,"&gt;0"),"")</f>
        <v/>
      </c>
      <c r="Q257" s="101" t="str">
        <f aca="false">IF(AND($O257&lt;&gt;"",$J257&lt;&gt;0),COUNTIFS($O$2:O257,$O257,$J$2:J257,"&gt;0"),"")</f>
        <v/>
      </c>
      <c r="R257" s="101" t="str">
        <f aca="false">IF($P257="","",$O257&amp;"|"&amp;$P257)</f>
        <v/>
      </c>
      <c r="S257" s="101" t="str">
        <f aca="false">IF($Q257="","",$O257&amp;"|"&amp;$Q257)</f>
        <v/>
      </c>
      <c r="T257" s="101" t="str">
        <f aca="false">IF($O257="","",COUNTIF($O$2:O257,$O257))</f>
        <v/>
      </c>
      <c r="U257" s="101" t="str">
        <f aca="false">IF($O257="","",$O257&amp;"|"&amp;$T257)</f>
        <v/>
      </c>
      <c r="V257" s="488" t="n">
        <f aca="false">IF(OR(LEFT($D257,5)="MB-CL",LEFT($D257,6)="MB-RES"),0,$I257)</f>
        <v>0</v>
      </c>
      <c r="W257" s="488" t="n">
        <f aca="false">IF(OR(LEFT($D257,5)="MB-CL",LEFT($D257,6)="MB-RES"),0,$J257)</f>
        <v>0</v>
      </c>
      <c r="X257" s="101" t="str">
        <f aca="false">IF($E257="","",LEFT($E257,1))</f>
        <v/>
      </c>
      <c r="Y257" s="101" t="str">
        <f aca="false">IF($E257="","",LEFT($E257,2))</f>
        <v/>
      </c>
      <c r="Z257" s="101" t="str">
        <f aca="false">IF($E257="","",LEFT($E257,3))</f>
        <v/>
      </c>
      <c r="AA257" s="101" t="str">
        <f aca="false">IF($E257="","",LEFT($E257,4))</f>
        <v/>
      </c>
    </row>
    <row r="258" customFormat="false" ht="15" hidden="false" customHeight="true" outlineLevel="0" collapsed="false">
      <c r="A258" s="484" t="str">
        <f aca="false">IF(DITARI!$D262="","",ROW()-1)</f>
        <v/>
      </c>
      <c r="B258" s="485" t="str">
        <f aca="false">IF(DITARI!$D262="","",DITARI!$A262)</f>
        <v/>
      </c>
      <c r="C258" s="484" t="str">
        <f aca="false">IF(DITARI!$D262="","",DITARI!$B262)</f>
        <v/>
      </c>
      <c r="D258" s="484" t="str">
        <f aca="false">IF(DITARI!$D262="","",DITARI!$C262)</f>
        <v/>
      </c>
      <c r="E258" s="484" t="str">
        <f aca="false">IF(DITARI!$D262="","",TRIM(DITARI!$D262&amp;""))</f>
        <v/>
      </c>
      <c r="F258" s="484" t="str">
        <f aca="false">IF($E258="","",IFERROR(VLOOKUP($E258,PLANI_LLOGARIVE!$A:$I,2,FALSE()),DITARI!$E262))</f>
        <v/>
      </c>
      <c r="G258" s="484" t="str">
        <f aca="false">IF($E258="","",DITARI!$I262)</f>
        <v/>
      </c>
      <c r="H258" s="484" t="str">
        <f aca="false">IFERROR(IF($E258="","",DITARI!$H262),"")</f>
        <v/>
      </c>
      <c r="I258" s="487" t="n">
        <f aca="false">IF($E258="",0,IFERROR(DITARI!$F262,0))</f>
        <v>0</v>
      </c>
      <c r="J258" s="487" t="n">
        <f aca="false">IF($E258="",0,IFERROR(DITARI!$G262,0))</f>
        <v>0</v>
      </c>
      <c r="K258" s="484" t="str">
        <f aca="false">IF($E258="","",IFERROR(VLOOKUP($E258,PLANI_LLOGARIVE!$A:$I,9,FALSE()),""))</f>
        <v/>
      </c>
      <c r="L258" s="487" t="str">
        <f aca="false">IF($E258="","",$I258-$J258)</f>
        <v/>
      </c>
      <c r="M258" s="484" t="str">
        <f aca="false">IF($E258="","",IF($I258&gt;0,"DEBIT",IF($J258&gt;0,"KREDIT","ZERO")))</f>
        <v/>
      </c>
      <c r="N258" s="484" t="str">
        <f aca="false">IF($E258="","",TEXT($B258,"yyyymmdd")&amp;"-"&amp;TEXT(ROW(),"0000"))</f>
        <v/>
      </c>
      <c r="O258" s="101" t="str">
        <f aca="false">IF($E258="","",$E258&amp;"")</f>
        <v/>
      </c>
      <c r="P258" s="101" t="str">
        <f aca="false">IF(AND($O258&lt;&gt;"",$I258&lt;&gt;0),COUNTIFS($O$2:O258,$O258,$I$2:I258,"&gt;0"),"")</f>
        <v/>
      </c>
      <c r="Q258" s="101" t="str">
        <f aca="false">IF(AND($O258&lt;&gt;"",$J258&lt;&gt;0),COUNTIFS($O$2:O258,$O258,$J$2:J258,"&gt;0"),"")</f>
        <v/>
      </c>
      <c r="R258" s="101" t="str">
        <f aca="false">IF($P258="","",$O258&amp;"|"&amp;$P258)</f>
        <v/>
      </c>
      <c r="S258" s="101" t="str">
        <f aca="false">IF($Q258="","",$O258&amp;"|"&amp;$Q258)</f>
        <v/>
      </c>
      <c r="T258" s="101" t="str">
        <f aca="false">IF($O258="","",COUNTIF($O$2:O258,$O258))</f>
        <v/>
      </c>
      <c r="U258" s="101" t="str">
        <f aca="false">IF($O258="","",$O258&amp;"|"&amp;$T258)</f>
        <v/>
      </c>
      <c r="V258" s="488" t="n">
        <f aca="false">IF(OR(LEFT($D258,5)="MB-CL",LEFT($D258,6)="MB-RES"),0,$I258)</f>
        <v>0</v>
      </c>
      <c r="W258" s="488" t="n">
        <f aca="false">IF(OR(LEFT($D258,5)="MB-CL",LEFT($D258,6)="MB-RES"),0,$J258)</f>
        <v>0</v>
      </c>
      <c r="X258" s="101" t="str">
        <f aca="false">IF($E258="","",LEFT($E258,1))</f>
        <v/>
      </c>
      <c r="Y258" s="101" t="str">
        <f aca="false">IF($E258="","",LEFT($E258,2))</f>
        <v/>
      </c>
      <c r="Z258" s="101" t="str">
        <f aca="false">IF($E258="","",LEFT($E258,3))</f>
        <v/>
      </c>
      <c r="AA258" s="101" t="str">
        <f aca="false">IF($E258="","",LEFT($E258,4))</f>
        <v/>
      </c>
    </row>
    <row r="259" customFormat="false" ht="15" hidden="false" customHeight="true" outlineLevel="0" collapsed="false">
      <c r="A259" s="484" t="str">
        <f aca="false">IF(DITARI!$D263="","",ROW()-1)</f>
        <v/>
      </c>
      <c r="B259" s="485" t="str">
        <f aca="false">IF(DITARI!$D263="","",DITARI!$A263)</f>
        <v/>
      </c>
      <c r="C259" s="484" t="str">
        <f aca="false">IF(DITARI!$D263="","",DITARI!$B263)</f>
        <v/>
      </c>
      <c r="D259" s="484" t="str">
        <f aca="false">IF(DITARI!$D263="","",DITARI!$C263)</f>
        <v/>
      </c>
      <c r="E259" s="484" t="str">
        <f aca="false">IF(DITARI!$D263="","",TRIM(DITARI!$D263&amp;""))</f>
        <v/>
      </c>
      <c r="F259" s="484" t="str">
        <f aca="false">IF($E259="","",IFERROR(VLOOKUP($E259,PLANI_LLOGARIVE!$A:$I,2,FALSE()),DITARI!$E263))</f>
        <v/>
      </c>
      <c r="G259" s="484" t="str">
        <f aca="false">IF($E259="","",DITARI!$I263)</f>
        <v/>
      </c>
      <c r="H259" s="484" t="str">
        <f aca="false">IFERROR(IF($E259="","",DITARI!$H263),"")</f>
        <v/>
      </c>
      <c r="I259" s="487" t="n">
        <f aca="false">IF($E259="",0,IFERROR(DITARI!$F263,0))</f>
        <v>0</v>
      </c>
      <c r="J259" s="487" t="n">
        <f aca="false">IF($E259="",0,IFERROR(DITARI!$G263,0))</f>
        <v>0</v>
      </c>
      <c r="K259" s="484" t="str">
        <f aca="false">IF($E259="","",IFERROR(VLOOKUP($E259,PLANI_LLOGARIVE!$A:$I,9,FALSE()),""))</f>
        <v/>
      </c>
      <c r="L259" s="487" t="str">
        <f aca="false">IF($E259="","",$I259-$J259)</f>
        <v/>
      </c>
      <c r="M259" s="484" t="str">
        <f aca="false">IF($E259="","",IF($I259&gt;0,"DEBIT",IF($J259&gt;0,"KREDIT","ZERO")))</f>
        <v/>
      </c>
      <c r="N259" s="484" t="str">
        <f aca="false">IF($E259="","",TEXT($B259,"yyyymmdd")&amp;"-"&amp;TEXT(ROW(),"0000"))</f>
        <v/>
      </c>
      <c r="O259" s="101" t="str">
        <f aca="false">IF($E259="","",$E259&amp;"")</f>
        <v/>
      </c>
      <c r="P259" s="101" t="str">
        <f aca="false">IF(AND($O259&lt;&gt;"",$I259&lt;&gt;0),COUNTIFS($O$2:O259,$O259,$I$2:I259,"&gt;0"),"")</f>
        <v/>
      </c>
      <c r="Q259" s="101" t="str">
        <f aca="false">IF(AND($O259&lt;&gt;"",$J259&lt;&gt;0),COUNTIFS($O$2:O259,$O259,$J$2:J259,"&gt;0"),"")</f>
        <v/>
      </c>
      <c r="R259" s="101" t="str">
        <f aca="false">IF($P259="","",$O259&amp;"|"&amp;$P259)</f>
        <v/>
      </c>
      <c r="S259" s="101" t="str">
        <f aca="false">IF($Q259="","",$O259&amp;"|"&amp;$Q259)</f>
        <v/>
      </c>
      <c r="T259" s="101" t="str">
        <f aca="false">IF($O259="","",COUNTIF($O$2:O259,$O259))</f>
        <v/>
      </c>
      <c r="U259" s="101" t="str">
        <f aca="false">IF($O259="","",$O259&amp;"|"&amp;$T259)</f>
        <v/>
      </c>
      <c r="V259" s="488" t="n">
        <f aca="false">IF(OR(LEFT($D259,5)="MB-CL",LEFT($D259,6)="MB-RES"),0,$I259)</f>
        <v>0</v>
      </c>
      <c r="W259" s="488" t="n">
        <f aca="false">IF(OR(LEFT($D259,5)="MB-CL",LEFT($D259,6)="MB-RES"),0,$J259)</f>
        <v>0</v>
      </c>
      <c r="X259" s="101" t="str">
        <f aca="false">IF($E259="","",LEFT($E259,1))</f>
        <v/>
      </c>
      <c r="Y259" s="101" t="str">
        <f aca="false">IF($E259="","",LEFT($E259,2))</f>
        <v/>
      </c>
      <c r="Z259" s="101" t="str">
        <f aca="false">IF($E259="","",LEFT($E259,3))</f>
        <v/>
      </c>
      <c r="AA259" s="101" t="str">
        <f aca="false">IF($E259="","",LEFT($E259,4))</f>
        <v/>
      </c>
    </row>
    <row r="260" customFormat="false" ht="15" hidden="false" customHeight="true" outlineLevel="0" collapsed="false">
      <c r="A260" s="484" t="str">
        <f aca="false">IF(DITARI!$D264="","",ROW()-1)</f>
        <v/>
      </c>
      <c r="B260" s="485" t="str">
        <f aca="false">IF(DITARI!$D264="","",DITARI!$A264)</f>
        <v/>
      </c>
      <c r="C260" s="484" t="str">
        <f aca="false">IF(DITARI!$D264="","",DITARI!$B264)</f>
        <v/>
      </c>
      <c r="D260" s="484" t="str">
        <f aca="false">IF(DITARI!$D264="","",DITARI!$C264)</f>
        <v/>
      </c>
      <c r="E260" s="484" t="str">
        <f aca="false">IF(DITARI!$D264="","",TRIM(DITARI!$D264&amp;""))</f>
        <v/>
      </c>
      <c r="F260" s="484" t="str">
        <f aca="false">IF($E260="","",IFERROR(VLOOKUP($E260,PLANI_LLOGARIVE!$A:$I,2,FALSE()),DITARI!$E264))</f>
        <v/>
      </c>
      <c r="G260" s="484" t="str">
        <f aca="false">IF($E260="","",DITARI!$I264)</f>
        <v/>
      </c>
      <c r="H260" s="484" t="str">
        <f aca="false">IFERROR(IF($E260="","",DITARI!$H264),"")</f>
        <v/>
      </c>
      <c r="I260" s="487" t="n">
        <f aca="false">IF($E260="",0,IFERROR(DITARI!$F264,0))</f>
        <v>0</v>
      </c>
      <c r="J260" s="487" t="n">
        <f aca="false">IF($E260="",0,IFERROR(DITARI!$G264,0))</f>
        <v>0</v>
      </c>
      <c r="K260" s="484" t="str">
        <f aca="false">IF($E260="","",IFERROR(VLOOKUP($E260,PLANI_LLOGARIVE!$A:$I,9,FALSE()),""))</f>
        <v/>
      </c>
      <c r="L260" s="487" t="str">
        <f aca="false">IF($E260="","",$I260-$J260)</f>
        <v/>
      </c>
      <c r="M260" s="484" t="str">
        <f aca="false">IF($E260="","",IF($I260&gt;0,"DEBIT",IF($J260&gt;0,"KREDIT","ZERO")))</f>
        <v/>
      </c>
      <c r="N260" s="484" t="str">
        <f aca="false">IF($E260="","",TEXT($B260,"yyyymmdd")&amp;"-"&amp;TEXT(ROW(),"0000"))</f>
        <v/>
      </c>
      <c r="O260" s="101" t="str">
        <f aca="false">IF($E260="","",$E260&amp;"")</f>
        <v/>
      </c>
      <c r="P260" s="101" t="str">
        <f aca="false">IF(AND($O260&lt;&gt;"",$I260&lt;&gt;0),COUNTIFS($O$2:O260,$O260,$I$2:I260,"&gt;0"),"")</f>
        <v/>
      </c>
      <c r="Q260" s="101" t="str">
        <f aca="false">IF(AND($O260&lt;&gt;"",$J260&lt;&gt;0),COUNTIFS($O$2:O260,$O260,$J$2:J260,"&gt;0"),"")</f>
        <v/>
      </c>
      <c r="R260" s="101" t="str">
        <f aca="false">IF($P260="","",$O260&amp;"|"&amp;$P260)</f>
        <v/>
      </c>
      <c r="S260" s="101" t="str">
        <f aca="false">IF($Q260="","",$O260&amp;"|"&amp;$Q260)</f>
        <v/>
      </c>
      <c r="T260" s="101" t="str">
        <f aca="false">IF($O260="","",COUNTIF($O$2:O260,$O260))</f>
        <v/>
      </c>
      <c r="U260" s="101" t="str">
        <f aca="false">IF($O260="","",$O260&amp;"|"&amp;$T260)</f>
        <v/>
      </c>
      <c r="V260" s="488" t="n">
        <f aca="false">IF(OR(LEFT($D260,5)="MB-CL",LEFT($D260,6)="MB-RES"),0,$I260)</f>
        <v>0</v>
      </c>
      <c r="W260" s="488" t="n">
        <f aca="false">IF(OR(LEFT($D260,5)="MB-CL",LEFT($D260,6)="MB-RES"),0,$J260)</f>
        <v>0</v>
      </c>
      <c r="X260" s="101" t="str">
        <f aca="false">IF($E260="","",LEFT($E260,1))</f>
        <v/>
      </c>
      <c r="Y260" s="101" t="str">
        <f aca="false">IF($E260="","",LEFT($E260,2))</f>
        <v/>
      </c>
      <c r="Z260" s="101" t="str">
        <f aca="false">IF($E260="","",LEFT($E260,3))</f>
        <v/>
      </c>
      <c r="AA260" s="101" t="str">
        <f aca="false">IF($E260="","",LEFT($E260,4))</f>
        <v/>
      </c>
    </row>
    <row r="261" customFormat="false" ht="15" hidden="false" customHeight="true" outlineLevel="0" collapsed="false">
      <c r="A261" s="484" t="str">
        <f aca="false">IF(DITARI!$D265="","",ROW()-1)</f>
        <v/>
      </c>
      <c r="B261" s="485" t="str">
        <f aca="false">IF(DITARI!$D265="","",DITARI!$A265)</f>
        <v/>
      </c>
      <c r="C261" s="484" t="str">
        <f aca="false">IF(DITARI!$D265="","",DITARI!$B265)</f>
        <v/>
      </c>
      <c r="D261" s="484" t="str">
        <f aca="false">IF(DITARI!$D265="","",DITARI!$C265)</f>
        <v/>
      </c>
      <c r="E261" s="484" t="str">
        <f aca="false">IF(DITARI!$D265="","",TRIM(DITARI!$D265&amp;""))</f>
        <v/>
      </c>
      <c r="F261" s="484" t="str">
        <f aca="false">IF($E261="","",IFERROR(VLOOKUP($E261,PLANI_LLOGARIVE!$A:$I,2,FALSE()),DITARI!$E265))</f>
        <v/>
      </c>
      <c r="G261" s="484" t="str">
        <f aca="false">IF($E261="","",DITARI!$I265)</f>
        <v/>
      </c>
      <c r="H261" s="484" t="str">
        <f aca="false">IFERROR(IF($E261="","",DITARI!$H265),"")</f>
        <v/>
      </c>
      <c r="I261" s="487" t="n">
        <f aca="false">IF($E261="",0,IFERROR(DITARI!$F265,0))</f>
        <v>0</v>
      </c>
      <c r="J261" s="487" t="n">
        <f aca="false">IF($E261="",0,IFERROR(DITARI!$G265,0))</f>
        <v>0</v>
      </c>
      <c r="K261" s="484" t="str">
        <f aca="false">IF($E261="","",IFERROR(VLOOKUP($E261,PLANI_LLOGARIVE!$A:$I,9,FALSE()),""))</f>
        <v/>
      </c>
      <c r="L261" s="487" t="str">
        <f aca="false">IF($E261="","",$I261-$J261)</f>
        <v/>
      </c>
      <c r="M261" s="484" t="str">
        <f aca="false">IF($E261="","",IF($I261&gt;0,"DEBIT",IF($J261&gt;0,"KREDIT","ZERO")))</f>
        <v/>
      </c>
      <c r="N261" s="484" t="str">
        <f aca="false">IF($E261="","",TEXT($B261,"yyyymmdd")&amp;"-"&amp;TEXT(ROW(),"0000"))</f>
        <v/>
      </c>
      <c r="O261" s="101" t="str">
        <f aca="false">IF($E261="","",$E261&amp;"")</f>
        <v/>
      </c>
      <c r="P261" s="101" t="str">
        <f aca="false">IF(AND($O261&lt;&gt;"",$I261&lt;&gt;0),COUNTIFS($O$2:O261,$O261,$I$2:I261,"&gt;0"),"")</f>
        <v/>
      </c>
      <c r="Q261" s="101" t="str">
        <f aca="false">IF(AND($O261&lt;&gt;"",$J261&lt;&gt;0),COUNTIFS($O$2:O261,$O261,$J$2:J261,"&gt;0"),"")</f>
        <v/>
      </c>
      <c r="R261" s="101" t="str">
        <f aca="false">IF($P261="","",$O261&amp;"|"&amp;$P261)</f>
        <v/>
      </c>
      <c r="S261" s="101" t="str">
        <f aca="false">IF($Q261="","",$O261&amp;"|"&amp;$Q261)</f>
        <v/>
      </c>
      <c r="T261" s="101" t="str">
        <f aca="false">IF($O261="","",COUNTIF($O$2:O261,$O261))</f>
        <v/>
      </c>
      <c r="U261" s="101" t="str">
        <f aca="false">IF($O261="","",$O261&amp;"|"&amp;$T261)</f>
        <v/>
      </c>
      <c r="V261" s="488" t="n">
        <f aca="false">IF(OR(LEFT($D261,5)="MB-CL",LEFT($D261,6)="MB-RES"),0,$I261)</f>
        <v>0</v>
      </c>
      <c r="W261" s="488" t="n">
        <f aca="false">IF(OR(LEFT($D261,5)="MB-CL",LEFT($D261,6)="MB-RES"),0,$J261)</f>
        <v>0</v>
      </c>
      <c r="X261" s="101" t="str">
        <f aca="false">IF($E261="","",LEFT($E261,1))</f>
        <v/>
      </c>
      <c r="Y261" s="101" t="str">
        <f aca="false">IF($E261="","",LEFT($E261,2))</f>
        <v/>
      </c>
      <c r="Z261" s="101" t="str">
        <f aca="false">IF($E261="","",LEFT($E261,3))</f>
        <v/>
      </c>
      <c r="AA261" s="101" t="str">
        <f aca="false">IF($E261="","",LEFT($E261,4))</f>
        <v/>
      </c>
    </row>
    <row r="262" customFormat="false" ht="15" hidden="false" customHeight="true" outlineLevel="0" collapsed="false">
      <c r="A262" s="484" t="str">
        <f aca="false">IF(DITARI!$D266="","",ROW()-1)</f>
        <v/>
      </c>
      <c r="B262" s="485" t="str">
        <f aca="false">IF(DITARI!$D266="","",DITARI!$A266)</f>
        <v/>
      </c>
      <c r="C262" s="484" t="str">
        <f aca="false">IF(DITARI!$D266="","",DITARI!$B266)</f>
        <v/>
      </c>
      <c r="D262" s="484" t="str">
        <f aca="false">IF(DITARI!$D266="","",DITARI!$C266)</f>
        <v/>
      </c>
      <c r="E262" s="484" t="str">
        <f aca="false">IF(DITARI!$D266="","",TRIM(DITARI!$D266&amp;""))</f>
        <v/>
      </c>
      <c r="F262" s="484" t="str">
        <f aca="false">IF($E262="","",IFERROR(VLOOKUP($E262,PLANI_LLOGARIVE!$A:$I,2,FALSE()),DITARI!$E266))</f>
        <v/>
      </c>
      <c r="G262" s="484" t="str">
        <f aca="false">IF($E262="","",DITARI!$I266)</f>
        <v/>
      </c>
      <c r="H262" s="484" t="str">
        <f aca="false">IFERROR(IF($E262="","",DITARI!$H266),"")</f>
        <v/>
      </c>
      <c r="I262" s="487" t="n">
        <f aca="false">IF($E262="",0,IFERROR(DITARI!$F266,0))</f>
        <v>0</v>
      </c>
      <c r="J262" s="487" t="n">
        <f aca="false">IF($E262="",0,IFERROR(DITARI!$G266,0))</f>
        <v>0</v>
      </c>
      <c r="K262" s="484" t="str">
        <f aca="false">IF($E262="","",IFERROR(VLOOKUP($E262,PLANI_LLOGARIVE!$A:$I,9,FALSE()),""))</f>
        <v/>
      </c>
      <c r="L262" s="487" t="str">
        <f aca="false">IF($E262="","",$I262-$J262)</f>
        <v/>
      </c>
      <c r="M262" s="484" t="str">
        <f aca="false">IF($E262="","",IF($I262&gt;0,"DEBIT",IF($J262&gt;0,"KREDIT","ZERO")))</f>
        <v/>
      </c>
      <c r="N262" s="484" t="str">
        <f aca="false">IF($E262="","",TEXT($B262,"yyyymmdd")&amp;"-"&amp;TEXT(ROW(),"0000"))</f>
        <v/>
      </c>
      <c r="O262" s="101" t="str">
        <f aca="false">IF($E262="","",$E262&amp;"")</f>
        <v/>
      </c>
      <c r="P262" s="101" t="str">
        <f aca="false">IF(AND($O262&lt;&gt;"",$I262&lt;&gt;0),COUNTIFS($O$2:O262,$O262,$I$2:I262,"&gt;0"),"")</f>
        <v/>
      </c>
      <c r="Q262" s="101" t="str">
        <f aca="false">IF(AND($O262&lt;&gt;"",$J262&lt;&gt;0),COUNTIFS($O$2:O262,$O262,$J$2:J262,"&gt;0"),"")</f>
        <v/>
      </c>
      <c r="R262" s="101" t="str">
        <f aca="false">IF($P262="","",$O262&amp;"|"&amp;$P262)</f>
        <v/>
      </c>
      <c r="S262" s="101" t="str">
        <f aca="false">IF($Q262="","",$O262&amp;"|"&amp;$Q262)</f>
        <v/>
      </c>
      <c r="T262" s="101" t="str">
        <f aca="false">IF($O262="","",COUNTIF($O$2:O262,$O262))</f>
        <v/>
      </c>
      <c r="U262" s="101" t="str">
        <f aca="false">IF($O262="","",$O262&amp;"|"&amp;$T262)</f>
        <v/>
      </c>
      <c r="V262" s="488" t="n">
        <f aca="false">IF(OR(LEFT($D262,5)="MB-CL",LEFT($D262,6)="MB-RES"),0,$I262)</f>
        <v>0</v>
      </c>
      <c r="W262" s="488" t="n">
        <f aca="false">IF(OR(LEFT($D262,5)="MB-CL",LEFT($D262,6)="MB-RES"),0,$J262)</f>
        <v>0</v>
      </c>
      <c r="X262" s="101" t="str">
        <f aca="false">IF($E262="","",LEFT($E262,1))</f>
        <v/>
      </c>
      <c r="Y262" s="101" t="str">
        <f aca="false">IF($E262="","",LEFT($E262,2))</f>
        <v/>
      </c>
      <c r="Z262" s="101" t="str">
        <f aca="false">IF($E262="","",LEFT($E262,3))</f>
        <v/>
      </c>
      <c r="AA262" s="101" t="str">
        <f aca="false">IF($E262="","",LEFT($E262,4))</f>
        <v/>
      </c>
    </row>
    <row r="263" customFormat="false" ht="15" hidden="false" customHeight="true" outlineLevel="0" collapsed="false">
      <c r="A263" s="484" t="str">
        <f aca="false">IF(DITARI!$D267="","",ROW()-1)</f>
        <v/>
      </c>
      <c r="B263" s="485" t="str">
        <f aca="false">IF(DITARI!$D267="","",DITARI!$A267)</f>
        <v/>
      </c>
      <c r="C263" s="484" t="str">
        <f aca="false">IF(DITARI!$D267="","",DITARI!$B267)</f>
        <v/>
      </c>
      <c r="D263" s="484" t="str">
        <f aca="false">IF(DITARI!$D267="","",DITARI!$C267)</f>
        <v/>
      </c>
      <c r="E263" s="484" t="str">
        <f aca="false">IF(DITARI!$D267="","",TRIM(DITARI!$D267&amp;""))</f>
        <v/>
      </c>
      <c r="F263" s="484" t="str">
        <f aca="false">IF($E263="","",IFERROR(VLOOKUP($E263,PLANI_LLOGARIVE!$A:$I,2,FALSE()),DITARI!$E267))</f>
        <v/>
      </c>
      <c r="G263" s="484" t="str">
        <f aca="false">IF($E263="","",DITARI!$I267)</f>
        <v/>
      </c>
      <c r="H263" s="484" t="str">
        <f aca="false">IFERROR(IF($E263="","",DITARI!$H267),"")</f>
        <v/>
      </c>
      <c r="I263" s="487" t="n">
        <f aca="false">IF($E263="",0,IFERROR(DITARI!$F267,0))</f>
        <v>0</v>
      </c>
      <c r="J263" s="487" t="n">
        <f aca="false">IF($E263="",0,IFERROR(DITARI!$G267,0))</f>
        <v>0</v>
      </c>
      <c r="K263" s="484" t="str">
        <f aca="false">IF($E263="","",IFERROR(VLOOKUP($E263,PLANI_LLOGARIVE!$A:$I,9,FALSE()),""))</f>
        <v/>
      </c>
      <c r="L263" s="487" t="str">
        <f aca="false">IF($E263="","",$I263-$J263)</f>
        <v/>
      </c>
      <c r="M263" s="484" t="str">
        <f aca="false">IF($E263="","",IF($I263&gt;0,"DEBIT",IF($J263&gt;0,"KREDIT","ZERO")))</f>
        <v/>
      </c>
      <c r="N263" s="484" t="str">
        <f aca="false">IF($E263="","",TEXT($B263,"yyyymmdd")&amp;"-"&amp;TEXT(ROW(),"0000"))</f>
        <v/>
      </c>
      <c r="O263" s="101" t="str">
        <f aca="false">IF($E263="","",$E263&amp;"")</f>
        <v/>
      </c>
      <c r="P263" s="101" t="str">
        <f aca="false">IF(AND($O263&lt;&gt;"",$I263&lt;&gt;0),COUNTIFS($O$2:O263,$O263,$I$2:I263,"&gt;0"),"")</f>
        <v/>
      </c>
      <c r="Q263" s="101" t="str">
        <f aca="false">IF(AND($O263&lt;&gt;"",$J263&lt;&gt;0),COUNTIFS($O$2:O263,$O263,$J$2:J263,"&gt;0"),"")</f>
        <v/>
      </c>
      <c r="R263" s="101" t="str">
        <f aca="false">IF($P263="","",$O263&amp;"|"&amp;$P263)</f>
        <v/>
      </c>
      <c r="S263" s="101" t="str">
        <f aca="false">IF($Q263="","",$O263&amp;"|"&amp;$Q263)</f>
        <v/>
      </c>
      <c r="T263" s="101" t="str">
        <f aca="false">IF($O263="","",COUNTIF($O$2:O263,$O263))</f>
        <v/>
      </c>
      <c r="U263" s="101" t="str">
        <f aca="false">IF($O263="","",$O263&amp;"|"&amp;$T263)</f>
        <v/>
      </c>
      <c r="V263" s="488" t="n">
        <f aca="false">IF(OR(LEFT($D263,5)="MB-CL",LEFT($D263,6)="MB-RES"),0,$I263)</f>
        <v>0</v>
      </c>
      <c r="W263" s="488" t="n">
        <f aca="false">IF(OR(LEFT($D263,5)="MB-CL",LEFT($D263,6)="MB-RES"),0,$J263)</f>
        <v>0</v>
      </c>
      <c r="X263" s="101" t="str">
        <f aca="false">IF($E263="","",LEFT($E263,1))</f>
        <v/>
      </c>
      <c r="Y263" s="101" t="str">
        <f aca="false">IF($E263="","",LEFT($E263,2))</f>
        <v/>
      </c>
      <c r="Z263" s="101" t="str">
        <f aca="false">IF($E263="","",LEFT($E263,3))</f>
        <v/>
      </c>
      <c r="AA263" s="101" t="str">
        <f aca="false">IF($E263="","",LEFT($E263,4))</f>
        <v/>
      </c>
    </row>
    <row r="264" customFormat="false" ht="15" hidden="false" customHeight="true" outlineLevel="0" collapsed="false">
      <c r="A264" s="484" t="str">
        <f aca="false">IF(DITARI!$D268="","",ROW()-1)</f>
        <v/>
      </c>
      <c r="B264" s="485" t="str">
        <f aca="false">IF(DITARI!$D268="","",DITARI!$A268)</f>
        <v/>
      </c>
      <c r="C264" s="484" t="str">
        <f aca="false">IF(DITARI!$D268="","",DITARI!$B268)</f>
        <v/>
      </c>
      <c r="D264" s="484" t="str">
        <f aca="false">IF(DITARI!$D268="","",DITARI!$C268)</f>
        <v/>
      </c>
      <c r="E264" s="484" t="str">
        <f aca="false">IF(DITARI!$D268="","",TRIM(DITARI!$D268&amp;""))</f>
        <v/>
      </c>
      <c r="F264" s="484" t="str">
        <f aca="false">IF($E264="","",IFERROR(VLOOKUP($E264,PLANI_LLOGARIVE!$A:$I,2,FALSE()),DITARI!$E268))</f>
        <v/>
      </c>
      <c r="G264" s="484" t="str">
        <f aca="false">IF($E264="","",DITARI!$I268)</f>
        <v/>
      </c>
      <c r="H264" s="484" t="str">
        <f aca="false">IFERROR(IF($E264="","",DITARI!$H268),"")</f>
        <v/>
      </c>
      <c r="I264" s="487" t="n">
        <f aca="false">IF($E264="",0,IFERROR(DITARI!$F268,0))</f>
        <v>0</v>
      </c>
      <c r="J264" s="487" t="n">
        <f aca="false">IF($E264="",0,IFERROR(DITARI!$G268,0))</f>
        <v>0</v>
      </c>
      <c r="K264" s="484" t="str">
        <f aca="false">IF($E264="","",IFERROR(VLOOKUP($E264,PLANI_LLOGARIVE!$A:$I,9,FALSE()),""))</f>
        <v/>
      </c>
      <c r="L264" s="487" t="str">
        <f aca="false">IF($E264="","",$I264-$J264)</f>
        <v/>
      </c>
      <c r="M264" s="484" t="str">
        <f aca="false">IF($E264="","",IF($I264&gt;0,"DEBIT",IF($J264&gt;0,"KREDIT","ZERO")))</f>
        <v/>
      </c>
      <c r="N264" s="484" t="str">
        <f aca="false">IF($E264="","",TEXT($B264,"yyyymmdd")&amp;"-"&amp;TEXT(ROW(),"0000"))</f>
        <v/>
      </c>
      <c r="O264" s="101" t="str">
        <f aca="false">IF($E264="","",$E264&amp;"")</f>
        <v/>
      </c>
      <c r="P264" s="101" t="str">
        <f aca="false">IF(AND($O264&lt;&gt;"",$I264&lt;&gt;0),COUNTIFS($O$2:O264,$O264,$I$2:I264,"&gt;0"),"")</f>
        <v/>
      </c>
      <c r="Q264" s="101" t="str">
        <f aca="false">IF(AND($O264&lt;&gt;"",$J264&lt;&gt;0),COUNTIFS($O$2:O264,$O264,$J$2:J264,"&gt;0"),"")</f>
        <v/>
      </c>
      <c r="R264" s="101" t="str">
        <f aca="false">IF($P264="","",$O264&amp;"|"&amp;$P264)</f>
        <v/>
      </c>
      <c r="S264" s="101" t="str">
        <f aca="false">IF($Q264="","",$O264&amp;"|"&amp;$Q264)</f>
        <v/>
      </c>
      <c r="T264" s="101" t="str">
        <f aca="false">IF($O264="","",COUNTIF($O$2:O264,$O264))</f>
        <v/>
      </c>
      <c r="U264" s="101" t="str">
        <f aca="false">IF($O264="","",$O264&amp;"|"&amp;$T264)</f>
        <v/>
      </c>
      <c r="V264" s="488" t="n">
        <f aca="false">IF(OR(LEFT($D264,5)="MB-CL",LEFT($D264,6)="MB-RES"),0,$I264)</f>
        <v>0</v>
      </c>
      <c r="W264" s="488" t="n">
        <f aca="false">IF(OR(LEFT($D264,5)="MB-CL",LEFT($D264,6)="MB-RES"),0,$J264)</f>
        <v>0</v>
      </c>
      <c r="X264" s="101" t="str">
        <f aca="false">IF($E264="","",LEFT($E264,1))</f>
        <v/>
      </c>
      <c r="Y264" s="101" t="str">
        <f aca="false">IF($E264="","",LEFT($E264,2))</f>
        <v/>
      </c>
      <c r="Z264" s="101" t="str">
        <f aca="false">IF($E264="","",LEFT($E264,3))</f>
        <v/>
      </c>
      <c r="AA264" s="101" t="str">
        <f aca="false">IF($E264="","",LEFT($E264,4))</f>
        <v/>
      </c>
    </row>
    <row r="265" customFormat="false" ht="15" hidden="false" customHeight="true" outlineLevel="0" collapsed="false">
      <c r="A265" s="484" t="str">
        <f aca="false">IF(DITARI!$D269="","",ROW()-1)</f>
        <v/>
      </c>
      <c r="B265" s="485" t="str">
        <f aca="false">IF(DITARI!$D269="","",DITARI!$A269)</f>
        <v/>
      </c>
      <c r="C265" s="484" t="str">
        <f aca="false">IF(DITARI!$D269="","",DITARI!$B269)</f>
        <v/>
      </c>
      <c r="D265" s="484" t="str">
        <f aca="false">IF(DITARI!$D269="","",DITARI!$C269)</f>
        <v/>
      </c>
      <c r="E265" s="484" t="str">
        <f aca="false">IF(DITARI!$D269="","",TRIM(DITARI!$D269&amp;""))</f>
        <v/>
      </c>
      <c r="F265" s="484" t="str">
        <f aca="false">IF($E265="","",IFERROR(VLOOKUP($E265,PLANI_LLOGARIVE!$A:$I,2,FALSE()),DITARI!$E269))</f>
        <v/>
      </c>
      <c r="G265" s="484" t="str">
        <f aca="false">IF($E265="","",DITARI!$I269)</f>
        <v/>
      </c>
      <c r="H265" s="484" t="str">
        <f aca="false">IFERROR(IF($E265="","",DITARI!$H269),"")</f>
        <v/>
      </c>
      <c r="I265" s="487" t="n">
        <f aca="false">IF($E265="",0,IFERROR(DITARI!$F269,0))</f>
        <v>0</v>
      </c>
      <c r="J265" s="487" t="n">
        <f aca="false">IF($E265="",0,IFERROR(DITARI!$G269,0))</f>
        <v>0</v>
      </c>
      <c r="K265" s="484" t="str">
        <f aca="false">IF($E265="","",IFERROR(VLOOKUP($E265,PLANI_LLOGARIVE!$A:$I,9,FALSE()),""))</f>
        <v/>
      </c>
      <c r="L265" s="487" t="str">
        <f aca="false">IF($E265="","",$I265-$J265)</f>
        <v/>
      </c>
      <c r="M265" s="484" t="str">
        <f aca="false">IF($E265="","",IF($I265&gt;0,"DEBIT",IF($J265&gt;0,"KREDIT","ZERO")))</f>
        <v/>
      </c>
      <c r="N265" s="484" t="str">
        <f aca="false">IF($E265="","",TEXT($B265,"yyyymmdd")&amp;"-"&amp;TEXT(ROW(),"0000"))</f>
        <v/>
      </c>
      <c r="O265" s="101" t="str">
        <f aca="false">IF($E265="","",$E265&amp;"")</f>
        <v/>
      </c>
      <c r="P265" s="101" t="str">
        <f aca="false">IF(AND($O265&lt;&gt;"",$I265&lt;&gt;0),COUNTIFS($O$2:O265,$O265,$I$2:I265,"&gt;0"),"")</f>
        <v/>
      </c>
      <c r="Q265" s="101" t="str">
        <f aca="false">IF(AND($O265&lt;&gt;"",$J265&lt;&gt;0),COUNTIFS($O$2:O265,$O265,$J$2:J265,"&gt;0"),"")</f>
        <v/>
      </c>
      <c r="R265" s="101" t="str">
        <f aca="false">IF($P265="","",$O265&amp;"|"&amp;$P265)</f>
        <v/>
      </c>
      <c r="S265" s="101" t="str">
        <f aca="false">IF($Q265="","",$O265&amp;"|"&amp;$Q265)</f>
        <v/>
      </c>
      <c r="T265" s="101" t="str">
        <f aca="false">IF($O265="","",COUNTIF($O$2:O265,$O265))</f>
        <v/>
      </c>
      <c r="U265" s="101" t="str">
        <f aca="false">IF($O265="","",$O265&amp;"|"&amp;$T265)</f>
        <v/>
      </c>
      <c r="V265" s="488" t="n">
        <f aca="false">IF(OR(LEFT($D265,5)="MB-CL",LEFT($D265,6)="MB-RES"),0,$I265)</f>
        <v>0</v>
      </c>
      <c r="W265" s="488" t="n">
        <f aca="false">IF(OR(LEFT($D265,5)="MB-CL",LEFT($D265,6)="MB-RES"),0,$J265)</f>
        <v>0</v>
      </c>
      <c r="X265" s="101" t="str">
        <f aca="false">IF($E265="","",LEFT($E265,1))</f>
        <v/>
      </c>
      <c r="Y265" s="101" t="str">
        <f aca="false">IF($E265="","",LEFT($E265,2))</f>
        <v/>
      </c>
      <c r="Z265" s="101" t="str">
        <f aca="false">IF($E265="","",LEFT($E265,3))</f>
        <v/>
      </c>
      <c r="AA265" s="101" t="str">
        <f aca="false">IF($E265="","",LEFT($E265,4))</f>
        <v/>
      </c>
    </row>
    <row r="266" customFormat="false" ht="15" hidden="false" customHeight="true" outlineLevel="0" collapsed="false">
      <c r="A266" s="484" t="str">
        <f aca="false">IF(DITARI!$D270="","",ROW()-1)</f>
        <v/>
      </c>
      <c r="B266" s="485" t="str">
        <f aca="false">IF(DITARI!$D270="","",DITARI!$A270)</f>
        <v/>
      </c>
      <c r="C266" s="484" t="str">
        <f aca="false">IF(DITARI!$D270="","",DITARI!$B270)</f>
        <v/>
      </c>
      <c r="D266" s="484" t="str">
        <f aca="false">IF(DITARI!$D270="","",DITARI!$C270)</f>
        <v/>
      </c>
      <c r="E266" s="484" t="str">
        <f aca="false">IF(DITARI!$D270="","",TRIM(DITARI!$D270&amp;""))</f>
        <v/>
      </c>
      <c r="F266" s="484" t="str">
        <f aca="false">IF($E266="","",IFERROR(VLOOKUP($E266,PLANI_LLOGARIVE!$A:$I,2,FALSE()),DITARI!$E270))</f>
        <v/>
      </c>
      <c r="G266" s="484" t="str">
        <f aca="false">IF($E266="","",DITARI!$I270)</f>
        <v/>
      </c>
      <c r="H266" s="484" t="str">
        <f aca="false">IFERROR(IF($E266="","",DITARI!$H270),"")</f>
        <v/>
      </c>
      <c r="I266" s="487" t="n">
        <f aca="false">IF($E266="",0,IFERROR(DITARI!$F270,0))</f>
        <v>0</v>
      </c>
      <c r="J266" s="487" t="n">
        <f aca="false">IF($E266="",0,IFERROR(DITARI!$G270,0))</f>
        <v>0</v>
      </c>
      <c r="K266" s="484" t="str">
        <f aca="false">IF($E266="","",IFERROR(VLOOKUP($E266,PLANI_LLOGARIVE!$A:$I,9,FALSE()),""))</f>
        <v/>
      </c>
      <c r="L266" s="487" t="str">
        <f aca="false">IF($E266="","",$I266-$J266)</f>
        <v/>
      </c>
      <c r="M266" s="484" t="str">
        <f aca="false">IF($E266="","",IF($I266&gt;0,"DEBIT",IF($J266&gt;0,"KREDIT","ZERO")))</f>
        <v/>
      </c>
      <c r="N266" s="484" t="str">
        <f aca="false">IF($E266="","",TEXT($B266,"yyyymmdd")&amp;"-"&amp;TEXT(ROW(),"0000"))</f>
        <v/>
      </c>
      <c r="O266" s="101" t="str">
        <f aca="false">IF($E266="","",$E266&amp;"")</f>
        <v/>
      </c>
      <c r="P266" s="101" t="str">
        <f aca="false">IF(AND($O266&lt;&gt;"",$I266&lt;&gt;0),COUNTIFS($O$2:O266,$O266,$I$2:I266,"&gt;0"),"")</f>
        <v/>
      </c>
      <c r="Q266" s="101" t="str">
        <f aca="false">IF(AND($O266&lt;&gt;"",$J266&lt;&gt;0),COUNTIFS($O$2:O266,$O266,$J$2:J266,"&gt;0"),"")</f>
        <v/>
      </c>
      <c r="R266" s="101" t="str">
        <f aca="false">IF($P266="","",$O266&amp;"|"&amp;$P266)</f>
        <v/>
      </c>
      <c r="S266" s="101" t="str">
        <f aca="false">IF($Q266="","",$O266&amp;"|"&amp;$Q266)</f>
        <v/>
      </c>
      <c r="T266" s="101" t="str">
        <f aca="false">IF($O266="","",COUNTIF($O$2:O266,$O266))</f>
        <v/>
      </c>
      <c r="U266" s="101" t="str">
        <f aca="false">IF($O266="","",$O266&amp;"|"&amp;$T266)</f>
        <v/>
      </c>
      <c r="V266" s="488" t="n">
        <f aca="false">IF(OR(LEFT($D266,5)="MB-CL",LEFT($D266,6)="MB-RES"),0,$I266)</f>
        <v>0</v>
      </c>
      <c r="W266" s="488" t="n">
        <f aca="false">IF(OR(LEFT($D266,5)="MB-CL",LEFT($D266,6)="MB-RES"),0,$J266)</f>
        <v>0</v>
      </c>
      <c r="X266" s="101" t="str">
        <f aca="false">IF($E266="","",LEFT($E266,1))</f>
        <v/>
      </c>
      <c r="Y266" s="101" t="str">
        <f aca="false">IF($E266="","",LEFT($E266,2))</f>
        <v/>
      </c>
      <c r="Z266" s="101" t="str">
        <f aca="false">IF($E266="","",LEFT($E266,3))</f>
        <v/>
      </c>
      <c r="AA266" s="101" t="str">
        <f aca="false">IF($E266="","",LEFT($E266,4))</f>
        <v/>
      </c>
    </row>
    <row r="267" customFormat="false" ht="15" hidden="false" customHeight="true" outlineLevel="0" collapsed="false">
      <c r="A267" s="484" t="str">
        <f aca="false">IF(DITARI!$D271="","",ROW()-1)</f>
        <v/>
      </c>
      <c r="B267" s="485" t="str">
        <f aca="false">IF(DITARI!$D271="","",DITARI!$A271)</f>
        <v/>
      </c>
      <c r="C267" s="484" t="str">
        <f aca="false">IF(DITARI!$D271="","",DITARI!$B271)</f>
        <v/>
      </c>
      <c r="D267" s="484" t="str">
        <f aca="false">IF(DITARI!$D271="","",DITARI!$C271)</f>
        <v/>
      </c>
      <c r="E267" s="484" t="str">
        <f aca="false">IF(DITARI!$D271="","",TRIM(DITARI!$D271&amp;""))</f>
        <v/>
      </c>
      <c r="F267" s="484" t="str">
        <f aca="false">IF($E267="","",IFERROR(VLOOKUP($E267,PLANI_LLOGARIVE!$A:$I,2,FALSE()),DITARI!$E271))</f>
        <v/>
      </c>
      <c r="G267" s="484" t="str">
        <f aca="false">IF($E267="","",DITARI!$I271)</f>
        <v/>
      </c>
      <c r="H267" s="484" t="str">
        <f aca="false">IFERROR(IF($E267="","",DITARI!$H271),"")</f>
        <v/>
      </c>
      <c r="I267" s="487" t="n">
        <f aca="false">IF($E267="",0,IFERROR(DITARI!$F271,0))</f>
        <v>0</v>
      </c>
      <c r="J267" s="487" t="n">
        <f aca="false">IF($E267="",0,IFERROR(DITARI!$G271,0))</f>
        <v>0</v>
      </c>
      <c r="K267" s="484" t="str">
        <f aca="false">IF($E267="","",IFERROR(VLOOKUP($E267,PLANI_LLOGARIVE!$A:$I,9,FALSE()),""))</f>
        <v/>
      </c>
      <c r="L267" s="487" t="str">
        <f aca="false">IF($E267="","",$I267-$J267)</f>
        <v/>
      </c>
      <c r="M267" s="484" t="str">
        <f aca="false">IF($E267="","",IF($I267&gt;0,"DEBIT",IF($J267&gt;0,"KREDIT","ZERO")))</f>
        <v/>
      </c>
      <c r="N267" s="484" t="str">
        <f aca="false">IF($E267="","",TEXT($B267,"yyyymmdd")&amp;"-"&amp;TEXT(ROW(),"0000"))</f>
        <v/>
      </c>
      <c r="O267" s="101" t="str">
        <f aca="false">IF($E267="","",$E267&amp;"")</f>
        <v/>
      </c>
      <c r="P267" s="101" t="str">
        <f aca="false">IF(AND($O267&lt;&gt;"",$I267&lt;&gt;0),COUNTIFS($O$2:O267,$O267,$I$2:I267,"&gt;0"),"")</f>
        <v/>
      </c>
      <c r="Q267" s="101" t="str">
        <f aca="false">IF(AND($O267&lt;&gt;"",$J267&lt;&gt;0),COUNTIFS($O$2:O267,$O267,$J$2:J267,"&gt;0"),"")</f>
        <v/>
      </c>
      <c r="R267" s="101" t="str">
        <f aca="false">IF($P267="","",$O267&amp;"|"&amp;$P267)</f>
        <v/>
      </c>
      <c r="S267" s="101" t="str">
        <f aca="false">IF($Q267="","",$O267&amp;"|"&amp;$Q267)</f>
        <v/>
      </c>
      <c r="T267" s="101" t="str">
        <f aca="false">IF($O267="","",COUNTIF($O$2:O267,$O267))</f>
        <v/>
      </c>
      <c r="U267" s="101" t="str">
        <f aca="false">IF($O267="","",$O267&amp;"|"&amp;$T267)</f>
        <v/>
      </c>
      <c r="V267" s="488" t="n">
        <f aca="false">IF(OR(LEFT($D267,5)="MB-CL",LEFT($D267,6)="MB-RES"),0,$I267)</f>
        <v>0</v>
      </c>
      <c r="W267" s="488" t="n">
        <f aca="false">IF(OR(LEFT($D267,5)="MB-CL",LEFT($D267,6)="MB-RES"),0,$J267)</f>
        <v>0</v>
      </c>
      <c r="X267" s="101" t="str">
        <f aca="false">IF($E267="","",LEFT($E267,1))</f>
        <v/>
      </c>
      <c r="Y267" s="101" t="str">
        <f aca="false">IF($E267="","",LEFT($E267,2))</f>
        <v/>
      </c>
      <c r="Z267" s="101" t="str">
        <f aca="false">IF($E267="","",LEFT($E267,3))</f>
        <v/>
      </c>
      <c r="AA267" s="101" t="str">
        <f aca="false">IF($E267="","",LEFT($E267,4))</f>
        <v/>
      </c>
    </row>
    <row r="268" customFormat="false" ht="15" hidden="false" customHeight="true" outlineLevel="0" collapsed="false">
      <c r="A268" s="484" t="str">
        <f aca="false">IF(DITARI!$D272="","",ROW()-1)</f>
        <v/>
      </c>
      <c r="B268" s="485" t="str">
        <f aca="false">IF(DITARI!$D272="","",DITARI!$A272)</f>
        <v/>
      </c>
      <c r="C268" s="484" t="str">
        <f aca="false">IF(DITARI!$D272="","",DITARI!$B272)</f>
        <v/>
      </c>
      <c r="D268" s="484" t="str">
        <f aca="false">IF(DITARI!$D272="","",DITARI!$C272)</f>
        <v/>
      </c>
      <c r="E268" s="484" t="str">
        <f aca="false">IF(DITARI!$D272="","",TRIM(DITARI!$D272&amp;""))</f>
        <v/>
      </c>
      <c r="F268" s="484" t="str">
        <f aca="false">IF($E268="","",IFERROR(VLOOKUP($E268,PLANI_LLOGARIVE!$A:$I,2,FALSE()),DITARI!$E272))</f>
        <v/>
      </c>
      <c r="G268" s="484" t="str">
        <f aca="false">IF($E268="","",DITARI!$I272)</f>
        <v/>
      </c>
      <c r="H268" s="484" t="str">
        <f aca="false">IFERROR(IF($E268="","",DITARI!$H272),"")</f>
        <v/>
      </c>
      <c r="I268" s="487" t="n">
        <f aca="false">IF($E268="",0,IFERROR(DITARI!$F272,0))</f>
        <v>0</v>
      </c>
      <c r="J268" s="487" t="n">
        <f aca="false">IF($E268="",0,IFERROR(DITARI!$G272,0))</f>
        <v>0</v>
      </c>
      <c r="K268" s="484" t="str">
        <f aca="false">IF($E268="","",IFERROR(VLOOKUP($E268,PLANI_LLOGARIVE!$A:$I,9,FALSE()),""))</f>
        <v/>
      </c>
      <c r="L268" s="487" t="str">
        <f aca="false">IF($E268="","",$I268-$J268)</f>
        <v/>
      </c>
      <c r="M268" s="484" t="str">
        <f aca="false">IF($E268="","",IF($I268&gt;0,"DEBIT",IF($J268&gt;0,"KREDIT","ZERO")))</f>
        <v/>
      </c>
      <c r="N268" s="484" t="str">
        <f aca="false">IF($E268="","",TEXT($B268,"yyyymmdd")&amp;"-"&amp;TEXT(ROW(),"0000"))</f>
        <v/>
      </c>
      <c r="O268" s="101" t="str">
        <f aca="false">IF($E268="","",$E268&amp;"")</f>
        <v/>
      </c>
      <c r="P268" s="101" t="str">
        <f aca="false">IF(AND($O268&lt;&gt;"",$I268&lt;&gt;0),COUNTIFS($O$2:O268,$O268,$I$2:I268,"&gt;0"),"")</f>
        <v/>
      </c>
      <c r="Q268" s="101" t="str">
        <f aca="false">IF(AND($O268&lt;&gt;"",$J268&lt;&gt;0),COUNTIFS($O$2:O268,$O268,$J$2:J268,"&gt;0"),"")</f>
        <v/>
      </c>
      <c r="R268" s="101" t="str">
        <f aca="false">IF($P268="","",$O268&amp;"|"&amp;$P268)</f>
        <v/>
      </c>
      <c r="S268" s="101" t="str">
        <f aca="false">IF($Q268="","",$O268&amp;"|"&amp;$Q268)</f>
        <v/>
      </c>
      <c r="T268" s="101" t="str">
        <f aca="false">IF($O268="","",COUNTIF($O$2:O268,$O268))</f>
        <v/>
      </c>
      <c r="U268" s="101" t="str">
        <f aca="false">IF($O268="","",$O268&amp;"|"&amp;$T268)</f>
        <v/>
      </c>
      <c r="V268" s="488" t="n">
        <f aca="false">IF(OR(LEFT($D268,5)="MB-CL",LEFT($D268,6)="MB-RES"),0,$I268)</f>
        <v>0</v>
      </c>
      <c r="W268" s="488" t="n">
        <f aca="false">IF(OR(LEFT($D268,5)="MB-CL",LEFT($D268,6)="MB-RES"),0,$J268)</f>
        <v>0</v>
      </c>
      <c r="X268" s="101" t="str">
        <f aca="false">IF($E268="","",LEFT($E268,1))</f>
        <v/>
      </c>
      <c r="Y268" s="101" t="str">
        <f aca="false">IF($E268="","",LEFT($E268,2))</f>
        <v/>
      </c>
      <c r="Z268" s="101" t="str">
        <f aca="false">IF($E268="","",LEFT($E268,3))</f>
        <v/>
      </c>
      <c r="AA268" s="101" t="str">
        <f aca="false">IF($E268="","",LEFT($E268,4))</f>
        <v/>
      </c>
    </row>
    <row r="269" customFormat="false" ht="15" hidden="false" customHeight="true" outlineLevel="0" collapsed="false">
      <c r="A269" s="484" t="str">
        <f aca="false">IF(DITARI!$D273="","",ROW()-1)</f>
        <v/>
      </c>
      <c r="B269" s="485" t="str">
        <f aca="false">IF(DITARI!$D273="","",DITARI!$A273)</f>
        <v/>
      </c>
      <c r="C269" s="484" t="str">
        <f aca="false">IF(DITARI!$D273="","",DITARI!$B273)</f>
        <v/>
      </c>
      <c r="D269" s="484" t="str">
        <f aca="false">IF(DITARI!$D273="","",DITARI!$C273)</f>
        <v/>
      </c>
      <c r="E269" s="484" t="str">
        <f aca="false">IF(DITARI!$D273="","",TRIM(DITARI!$D273&amp;""))</f>
        <v/>
      </c>
      <c r="F269" s="484" t="str">
        <f aca="false">IF($E269="","",IFERROR(VLOOKUP($E269,PLANI_LLOGARIVE!$A:$I,2,FALSE()),DITARI!$E273))</f>
        <v/>
      </c>
      <c r="G269" s="484" t="str">
        <f aca="false">IF($E269="","",DITARI!$I273)</f>
        <v/>
      </c>
      <c r="H269" s="484" t="str">
        <f aca="false">IFERROR(IF($E269="","",DITARI!$H273),"")</f>
        <v/>
      </c>
      <c r="I269" s="487" t="n">
        <f aca="false">IF($E269="",0,IFERROR(DITARI!$F273,0))</f>
        <v>0</v>
      </c>
      <c r="J269" s="487" t="n">
        <f aca="false">IF($E269="",0,IFERROR(DITARI!$G273,0))</f>
        <v>0</v>
      </c>
      <c r="K269" s="484" t="str">
        <f aca="false">IF($E269="","",IFERROR(VLOOKUP($E269,PLANI_LLOGARIVE!$A:$I,9,FALSE()),""))</f>
        <v/>
      </c>
      <c r="L269" s="487" t="str">
        <f aca="false">IF($E269="","",$I269-$J269)</f>
        <v/>
      </c>
      <c r="M269" s="484" t="str">
        <f aca="false">IF($E269="","",IF($I269&gt;0,"DEBIT",IF($J269&gt;0,"KREDIT","ZERO")))</f>
        <v/>
      </c>
      <c r="N269" s="484" t="str">
        <f aca="false">IF($E269="","",TEXT($B269,"yyyymmdd")&amp;"-"&amp;TEXT(ROW(),"0000"))</f>
        <v/>
      </c>
      <c r="O269" s="101" t="str">
        <f aca="false">IF($E269="","",$E269&amp;"")</f>
        <v/>
      </c>
      <c r="P269" s="101" t="str">
        <f aca="false">IF(AND($O269&lt;&gt;"",$I269&lt;&gt;0),COUNTIFS($O$2:O269,$O269,$I$2:I269,"&gt;0"),"")</f>
        <v/>
      </c>
      <c r="Q269" s="101" t="str">
        <f aca="false">IF(AND($O269&lt;&gt;"",$J269&lt;&gt;0),COUNTIFS($O$2:O269,$O269,$J$2:J269,"&gt;0"),"")</f>
        <v/>
      </c>
      <c r="R269" s="101" t="str">
        <f aca="false">IF($P269="","",$O269&amp;"|"&amp;$P269)</f>
        <v/>
      </c>
      <c r="S269" s="101" t="str">
        <f aca="false">IF($Q269="","",$O269&amp;"|"&amp;$Q269)</f>
        <v/>
      </c>
      <c r="T269" s="101" t="str">
        <f aca="false">IF($O269="","",COUNTIF($O$2:O269,$O269))</f>
        <v/>
      </c>
      <c r="U269" s="101" t="str">
        <f aca="false">IF($O269="","",$O269&amp;"|"&amp;$T269)</f>
        <v/>
      </c>
      <c r="V269" s="488" t="n">
        <f aca="false">IF(OR(LEFT($D269,5)="MB-CL",LEFT($D269,6)="MB-RES"),0,$I269)</f>
        <v>0</v>
      </c>
      <c r="W269" s="488" t="n">
        <f aca="false">IF(OR(LEFT($D269,5)="MB-CL",LEFT($D269,6)="MB-RES"),0,$J269)</f>
        <v>0</v>
      </c>
      <c r="X269" s="101" t="str">
        <f aca="false">IF($E269="","",LEFT($E269,1))</f>
        <v/>
      </c>
      <c r="Y269" s="101" t="str">
        <f aca="false">IF($E269="","",LEFT($E269,2))</f>
        <v/>
      </c>
      <c r="Z269" s="101" t="str">
        <f aca="false">IF($E269="","",LEFT($E269,3))</f>
        <v/>
      </c>
      <c r="AA269" s="101" t="str">
        <f aca="false">IF($E269="","",LEFT($E269,4))</f>
        <v/>
      </c>
    </row>
    <row r="270" customFormat="false" ht="15" hidden="false" customHeight="true" outlineLevel="0" collapsed="false">
      <c r="A270" s="484" t="str">
        <f aca="false">IF(DITARI!$D274="","",ROW()-1)</f>
        <v/>
      </c>
      <c r="B270" s="485" t="str">
        <f aca="false">IF(DITARI!$D274="","",DITARI!$A274)</f>
        <v/>
      </c>
      <c r="C270" s="484" t="str">
        <f aca="false">IF(DITARI!$D274="","",DITARI!$B274)</f>
        <v/>
      </c>
      <c r="D270" s="484" t="str">
        <f aca="false">IF(DITARI!$D274="","",DITARI!$C274)</f>
        <v/>
      </c>
      <c r="E270" s="484" t="str">
        <f aca="false">IF(DITARI!$D274="","",TRIM(DITARI!$D274&amp;""))</f>
        <v/>
      </c>
      <c r="F270" s="484" t="str">
        <f aca="false">IF($E270="","",IFERROR(VLOOKUP($E270,PLANI_LLOGARIVE!$A:$I,2,FALSE()),DITARI!$E274))</f>
        <v/>
      </c>
      <c r="G270" s="484" t="str">
        <f aca="false">IF($E270="","",DITARI!$I274)</f>
        <v/>
      </c>
      <c r="H270" s="484" t="str">
        <f aca="false">IFERROR(IF($E270="","",DITARI!$H274),"")</f>
        <v/>
      </c>
      <c r="I270" s="487" t="n">
        <f aca="false">IF($E270="",0,IFERROR(DITARI!$F274,0))</f>
        <v>0</v>
      </c>
      <c r="J270" s="487" t="n">
        <f aca="false">IF($E270="",0,IFERROR(DITARI!$G274,0))</f>
        <v>0</v>
      </c>
      <c r="K270" s="484" t="str">
        <f aca="false">IF($E270="","",IFERROR(VLOOKUP($E270,PLANI_LLOGARIVE!$A:$I,9,FALSE()),""))</f>
        <v/>
      </c>
      <c r="L270" s="487" t="str">
        <f aca="false">IF($E270="","",$I270-$J270)</f>
        <v/>
      </c>
      <c r="M270" s="484" t="str">
        <f aca="false">IF($E270="","",IF($I270&gt;0,"DEBIT",IF($J270&gt;0,"KREDIT","ZERO")))</f>
        <v/>
      </c>
      <c r="N270" s="484" t="str">
        <f aca="false">IF($E270="","",TEXT($B270,"yyyymmdd")&amp;"-"&amp;TEXT(ROW(),"0000"))</f>
        <v/>
      </c>
      <c r="O270" s="101" t="str">
        <f aca="false">IF($E270="","",$E270&amp;"")</f>
        <v/>
      </c>
      <c r="P270" s="101" t="str">
        <f aca="false">IF(AND($O270&lt;&gt;"",$I270&lt;&gt;0),COUNTIFS($O$2:O270,$O270,$I$2:I270,"&gt;0"),"")</f>
        <v/>
      </c>
      <c r="Q270" s="101" t="str">
        <f aca="false">IF(AND($O270&lt;&gt;"",$J270&lt;&gt;0),COUNTIFS($O$2:O270,$O270,$J$2:J270,"&gt;0"),"")</f>
        <v/>
      </c>
      <c r="R270" s="101" t="str">
        <f aca="false">IF($P270="","",$O270&amp;"|"&amp;$P270)</f>
        <v/>
      </c>
      <c r="S270" s="101" t="str">
        <f aca="false">IF($Q270="","",$O270&amp;"|"&amp;$Q270)</f>
        <v/>
      </c>
      <c r="T270" s="101" t="str">
        <f aca="false">IF($O270="","",COUNTIF($O$2:O270,$O270))</f>
        <v/>
      </c>
      <c r="U270" s="101" t="str">
        <f aca="false">IF($O270="","",$O270&amp;"|"&amp;$T270)</f>
        <v/>
      </c>
      <c r="V270" s="488" t="n">
        <f aca="false">IF(OR(LEFT($D270,5)="MB-CL",LEFT($D270,6)="MB-RES"),0,$I270)</f>
        <v>0</v>
      </c>
      <c r="W270" s="488" t="n">
        <f aca="false">IF(OR(LEFT($D270,5)="MB-CL",LEFT($D270,6)="MB-RES"),0,$J270)</f>
        <v>0</v>
      </c>
      <c r="X270" s="101" t="str">
        <f aca="false">IF($E270="","",LEFT($E270,1))</f>
        <v/>
      </c>
      <c r="Y270" s="101" t="str">
        <f aca="false">IF($E270="","",LEFT($E270,2))</f>
        <v/>
      </c>
      <c r="Z270" s="101" t="str">
        <f aca="false">IF($E270="","",LEFT($E270,3))</f>
        <v/>
      </c>
      <c r="AA270" s="101" t="str">
        <f aca="false">IF($E270="","",LEFT($E270,4))</f>
        <v/>
      </c>
    </row>
    <row r="271" customFormat="false" ht="15" hidden="false" customHeight="true" outlineLevel="0" collapsed="false">
      <c r="A271" s="484" t="str">
        <f aca="false">IF(DITARI!$D275="","",ROW()-1)</f>
        <v/>
      </c>
      <c r="B271" s="485" t="str">
        <f aca="false">IF(DITARI!$D275="","",DITARI!$A275)</f>
        <v/>
      </c>
      <c r="C271" s="484" t="str">
        <f aca="false">IF(DITARI!$D275="","",DITARI!$B275)</f>
        <v/>
      </c>
      <c r="D271" s="484" t="str">
        <f aca="false">IF(DITARI!$D275="","",DITARI!$C275)</f>
        <v/>
      </c>
      <c r="E271" s="484" t="str">
        <f aca="false">IF(DITARI!$D275="","",TRIM(DITARI!$D275&amp;""))</f>
        <v/>
      </c>
      <c r="F271" s="484" t="str">
        <f aca="false">IF($E271="","",IFERROR(VLOOKUP($E271,PLANI_LLOGARIVE!$A:$I,2,FALSE()),DITARI!$E275))</f>
        <v/>
      </c>
      <c r="G271" s="484" t="str">
        <f aca="false">IF($E271="","",DITARI!$I275)</f>
        <v/>
      </c>
      <c r="H271" s="484" t="str">
        <f aca="false">IFERROR(IF($E271="","",DITARI!$H275),"")</f>
        <v/>
      </c>
      <c r="I271" s="487" t="n">
        <f aca="false">IF($E271="",0,IFERROR(DITARI!$F275,0))</f>
        <v>0</v>
      </c>
      <c r="J271" s="487" t="n">
        <f aca="false">IF($E271="",0,IFERROR(DITARI!$G275,0))</f>
        <v>0</v>
      </c>
      <c r="K271" s="484" t="str">
        <f aca="false">IF($E271="","",IFERROR(VLOOKUP($E271,PLANI_LLOGARIVE!$A:$I,9,FALSE()),""))</f>
        <v/>
      </c>
      <c r="L271" s="487" t="str">
        <f aca="false">IF($E271="","",$I271-$J271)</f>
        <v/>
      </c>
      <c r="M271" s="484" t="str">
        <f aca="false">IF($E271="","",IF($I271&gt;0,"DEBIT",IF($J271&gt;0,"KREDIT","ZERO")))</f>
        <v/>
      </c>
      <c r="N271" s="484" t="str">
        <f aca="false">IF($E271="","",TEXT($B271,"yyyymmdd")&amp;"-"&amp;TEXT(ROW(),"0000"))</f>
        <v/>
      </c>
      <c r="O271" s="101" t="str">
        <f aca="false">IF($E271="","",$E271&amp;"")</f>
        <v/>
      </c>
      <c r="P271" s="101" t="str">
        <f aca="false">IF(AND($O271&lt;&gt;"",$I271&lt;&gt;0),COUNTIFS($O$2:O271,$O271,$I$2:I271,"&gt;0"),"")</f>
        <v/>
      </c>
      <c r="Q271" s="101" t="str">
        <f aca="false">IF(AND($O271&lt;&gt;"",$J271&lt;&gt;0),COUNTIFS($O$2:O271,$O271,$J$2:J271,"&gt;0"),"")</f>
        <v/>
      </c>
      <c r="R271" s="101" t="str">
        <f aca="false">IF($P271="","",$O271&amp;"|"&amp;$P271)</f>
        <v/>
      </c>
      <c r="S271" s="101" t="str">
        <f aca="false">IF($Q271="","",$O271&amp;"|"&amp;$Q271)</f>
        <v/>
      </c>
      <c r="T271" s="101" t="str">
        <f aca="false">IF($O271="","",COUNTIF($O$2:O271,$O271))</f>
        <v/>
      </c>
      <c r="U271" s="101" t="str">
        <f aca="false">IF($O271="","",$O271&amp;"|"&amp;$T271)</f>
        <v/>
      </c>
      <c r="V271" s="488" t="n">
        <f aca="false">IF(OR(LEFT($D271,5)="MB-CL",LEFT($D271,6)="MB-RES"),0,$I271)</f>
        <v>0</v>
      </c>
      <c r="W271" s="488" t="n">
        <f aca="false">IF(OR(LEFT($D271,5)="MB-CL",LEFT($D271,6)="MB-RES"),0,$J271)</f>
        <v>0</v>
      </c>
      <c r="X271" s="101" t="str">
        <f aca="false">IF($E271="","",LEFT($E271,1))</f>
        <v/>
      </c>
      <c r="Y271" s="101" t="str">
        <f aca="false">IF($E271="","",LEFT($E271,2))</f>
        <v/>
      </c>
      <c r="Z271" s="101" t="str">
        <f aca="false">IF($E271="","",LEFT($E271,3))</f>
        <v/>
      </c>
      <c r="AA271" s="101" t="str">
        <f aca="false">IF($E271="","",LEFT($E271,4))</f>
        <v/>
      </c>
    </row>
    <row r="272" customFormat="false" ht="15" hidden="false" customHeight="true" outlineLevel="0" collapsed="false">
      <c r="A272" s="484" t="str">
        <f aca="false">IF(DITARI!$D276="","",ROW()-1)</f>
        <v/>
      </c>
      <c r="B272" s="485" t="str">
        <f aca="false">IF(DITARI!$D276="","",DITARI!$A276)</f>
        <v/>
      </c>
      <c r="C272" s="484" t="str">
        <f aca="false">IF(DITARI!$D276="","",DITARI!$B276)</f>
        <v/>
      </c>
      <c r="D272" s="484" t="str">
        <f aca="false">IF(DITARI!$D276="","",DITARI!$C276)</f>
        <v/>
      </c>
      <c r="E272" s="484" t="str">
        <f aca="false">IF(DITARI!$D276="","",TRIM(DITARI!$D276&amp;""))</f>
        <v/>
      </c>
      <c r="F272" s="484" t="str">
        <f aca="false">IF($E272="","",IFERROR(VLOOKUP($E272,PLANI_LLOGARIVE!$A:$I,2,FALSE()),DITARI!$E276))</f>
        <v/>
      </c>
      <c r="G272" s="484" t="str">
        <f aca="false">IF($E272="","",DITARI!$I276)</f>
        <v/>
      </c>
      <c r="H272" s="484" t="str">
        <f aca="false">IFERROR(IF($E272="","",DITARI!$H276),"")</f>
        <v/>
      </c>
      <c r="I272" s="487" t="n">
        <f aca="false">IF($E272="",0,IFERROR(DITARI!$F276,0))</f>
        <v>0</v>
      </c>
      <c r="J272" s="487" t="n">
        <f aca="false">IF($E272="",0,IFERROR(DITARI!$G276,0))</f>
        <v>0</v>
      </c>
      <c r="K272" s="484" t="str">
        <f aca="false">IF($E272="","",IFERROR(VLOOKUP($E272,PLANI_LLOGARIVE!$A:$I,9,FALSE()),""))</f>
        <v/>
      </c>
      <c r="L272" s="487" t="str">
        <f aca="false">IF($E272="","",$I272-$J272)</f>
        <v/>
      </c>
      <c r="M272" s="484" t="str">
        <f aca="false">IF($E272="","",IF($I272&gt;0,"DEBIT",IF($J272&gt;0,"KREDIT","ZERO")))</f>
        <v/>
      </c>
      <c r="N272" s="484" t="str">
        <f aca="false">IF($E272="","",TEXT($B272,"yyyymmdd")&amp;"-"&amp;TEXT(ROW(),"0000"))</f>
        <v/>
      </c>
      <c r="O272" s="101" t="str">
        <f aca="false">IF($E272="","",$E272&amp;"")</f>
        <v/>
      </c>
      <c r="P272" s="101" t="str">
        <f aca="false">IF(AND($O272&lt;&gt;"",$I272&lt;&gt;0),COUNTIFS($O$2:O272,$O272,$I$2:I272,"&gt;0"),"")</f>
        <v/>
      </c>
      <c r="Q272" s="101" t="str">
        <f aca="false">IF(AND($O272&lt;&gt;"",$J272&lt;&gt;0),COUNTIFS($O$2:O272,$O272,$J$2:J272,"&gt;0"),"")</f>
        <v/>
      </c>
      <c r="R272" s="101" t="str">
        <f aca="false">IF($P272="","",$O272&amp;"|"&amp;$P272)</f>
        <v/>
      </c>
      <c r="S272" s="101" t="str">
        <f aca="false">IF($Q272="","",$O272&amp;"|"&amp;$Q272)</f>
        <v/>
      </c>
      <c r="T272" s="101" t="str">
        <f aca="false">IF($O272="","",COUNTIF($O$2:O272,$O272))</f>
        <v/>
      </c>
      <c r="U272" s="101" t="str">
        <f aca="false">IF($O272="","",$O272&amp;"|"&amp;$T272)</f>
        <v/>
      </c>
      <c r="V272" s="488" t="n">
        <f aca="false">IF(OR(LEFT($D272,5)="MB-CL",LEFT($D272,6)="MB-RES"),0,$I272)</f>
        <v>0</v>
      </c>
      <c r="W272" s="488" t="n">
        <f aca="false">IF(OR(LEFT($D272,5)="MB-CL",LEFT($D272,6)="MB-RES"),0,$J272)</f>
        <v>0</v>
      </c>
      <c r="X272" s="101" t="str">
        <f aca="false">IF($E272="","",LEFT($E272,1))</f>
        <v/>
      </c>
      <c r="Y272" s="101" t="str">
        <f aca="false">IF($E272="","",LEFT($E272,2))</f>
        <v/>
      </c>
      <c r="Z272" s="101" t="str">
        <f aca="false">IF($E272="","",LEFT($E272,3))</f>
        <v/>
      </c>
      <c r="AA272" s="101" t="str">
        <f aca="false">IF($E272="","",LEFT($E272,4))</f>
        <v/>
      </c>
    </row>
    <row r="273" customFormat="false" ht="15" hidden="false" customHeight="true" outlineLevel="0" collapsed="false">
      <c r="A273" s="484" t="str">
        <f aca="false">IF(DITARI!$D277="","",ROW()-1)</f>
        <v/>
      </c>
      <c r="B273" s="485" t="str">
        <f aca="false">IF(DITARI!$D277="","",DITARI!$A277)</f>
        <v/>
      </c>
      <c r="C273" s="484" t="str">
        <f aca="false">IF(DITARI!$D277="","",DITARI!$B277)</f>
        <v/>
      </c>
      <c r="D273" s="484" t="str">
        <f aca="false">IF(DITARI!$D277="","",DITARI!$C277)</f>
        <v/>
      </c>
      <c r="E273" s="484" t="str">
        <f aca="false">IF(DITARI!$D277="","",TRIM(DITARI!$D277&amp;""))</f>
        <v/>
      </c>
      <c r="F273" s="484" t="str">
        <f aca="false">IF($E273="","",IFERROR(VLOOKUP($E273,PLANI_LLOGARIVE!$A:$I,2,FALSE()),DITARI!$E277))</f>
        <v/>
      </c>
      <c r="G273" s="484" t="str">
        <f aca="false">IF($E273="","",DITARI!$I277)</f>
        <v/>
      </c>
      <c r="H273" s="484" t="str">
        <f aca="false">IFERROR(IF($E273="","",DITARI!$H277),"")</f>
        <v/>
      </c>
      <c r="I273" s="487" t="n">
        <f aca="false">IF($E273="",0,IFERROR(DITARI!$F277,0))</f>
        <v>0</v>
      </c>
      <c r="J273" s="487" t="n">
        <f aca="false">IF($E273="",0,IFERROR(DITARI!$G277,0))</f>
        <v>0</v>
      </c>
      <c r="K273" s="484" t="str">
        <f aca="false">IF($E273="","",IFERROR(VLOOKUP($E273,PLANI_LLOGARIVE!$A:$I,9,FALSE()),""))</f>
        <v/>
      </c>
      <c r="L273" s="487" t="str">
        <f aca="false">IF($E273="","",$I273-$J273)</f>
        <v/>
      </c>
      <c r="M273" s="484" t="str">
        <f aca="false">IF($E273="","",IF($I273&gt;0,"DEBIT",IF($J273&gt;0,"KREDIT","ZERO")))</f>
        <v/>
      </c>
      <c r="N273" s="484" t="str">
        <f aca="false">IF($E273="","",TEXT($B273,"yyyymmdd")&amp;"-"&amp;TEXT(ROW(),"0000"))</f>
        <v/>
      </c>
      <c r="O273" s="101" t="str">
        <f aca="false">IF($E273="","",$E273&amp;"")</f>
        <v/>
      </c>
      <c r="P273" s="101" t="str">
        <f aca="false">IF(AND($O273&lt;&gt;"",$I273&lt;&gt;0),COUNTIFS($O$2:O273,$O273,$I$2:I273,"&gt;0"),"")</f>
        <v/>
      </c>
      <c r="Q273" s="101" t="str">
        <f aca="false">IF(AND($O273&lt;&gt;"",$J273&lt;&gt;0),COUNTIFS($O$2:O273,$O273,$J$2:J273,"&gt;0"),"")</f>
        <v/>
      </c>
      <c r="R273" s="101" t="str">
        <f aca="false">IF($P273="","",$O273&amp;"|"&amp;$P273)</f>
        <v/>
      </c>
      <c r="S273" s="101" t="str">
        <f aca="false">IF($Q273="","",$O273&amp;"|"&amp;$Q273)</f>
        <v/>
      </c>
      <c r="T273" s="101" t="str">
        <f aca="false">IF($O273="","",COUNTIF($O$2:O273,$O273))</f>
        <v/>
      </c>
      <c r="U273" s="101" t="str">
        <f aca="false">IF($O273="","",$O273&amp;"|"&amp;$T273)</f>
        <v/>
      </c>
      <c r="V273" s="488" t="n">
        <f aca="false">IF(OR(LEFT($D273,5)="MB-CL",LEFT($D273,6)="MB-RES"),0,$I273)</f>
        <v>0</v>
      </c>
      <c r="W273" s="488" t="n">
        <f aca="false">IF(OR(LEFT($D273,5)="MB-CL",LEFT($D273,6)="MB-RES"),0,$J273)</f>
        <v>0</v>
      </c>
      <c r="X273" s="101" t="str">
        <f aca="false">IF($E273="","",LEFT($E273,1))</f>
        <v/>
      </c>
      <c r="Y273" s="101" t="str">
        <f aca="false">IF($E273="","",LEFT($E273,2))</f>
        <v/>
      </c>
      <c r="Z273" s="101" t="str">
        <f aca="false">IF($E273="","",LEFT($E273,3))</f>
        <v/>
      </c>
      <c r="AA273" s="101" t="str">
        <f aca="false">IF($E273="","",LEFT($E273,4))</f>
        <v/>
      </c>
    </row>
    <row r="274" customFormat="false" ht="15" hidden="false" customHeight="true" outlineLevel="0" collapsed="false">
      <c r="A274" s="484" t="str">
        <f aca="false">IF(DITARI!$D278="","",ROW()-1)</f>
        <v/>
      </c>
      <c r="B274" s="485" t="str">
        <f aca="false">IF(DITARI!$D278="","",DITARI!$A278)</f>
        <v/>
      </c>
      <c r="C274" s="484" t="str">
        <f aca="false">IF(DITARI!$D278="","",DITARI!$B278)</f>
        <v/>
      </c>
      <c r="D274" s="484" t="str">
        <f aca="false">IF(DITARI!$D278="","",DITARI!$C278)</f>
        <v/>
      </c>
      <c r="E274" s="484" t="str">
        <f aca="false">IF(DITARI!$D278="","",TRIM(DITARI!$D278&amp;""))</f>
        <v/>
      </c>
      <c r="F274" s="484" t="str">
        <f aca="false">IF($E274="","",IFERROR(VLOOKUP($E274,PLANI_LLOGARIVE!$A:$I,2,FALSE()),DITARI!$E278))</f>
        <v/>
      </c>
      <c r="G274" s="484" t="str">
        <f aca="false">IF($E274="","",DITARI!$I278)</f>
        <v/>
      </c>
      <c r="H274" s="484" t="str">
        <f aca="false">IFERROR(IF($E274="","",DITARI!$H278),"")</f>
        <v/>
      </c>
      <c r="I274" s="487" t="n">
        <f aca="false">IF($E274="",0,IFERROR(DITARI!$F278,0))</f>
        <v>0</v>
      </c>
      <c r="J274" s="487" t="n">
        <f aca="false">IF($E274="",0,IFERROR(DITARI!$G278,0))</f>
        <v>0</v>
      </c>
      <c r="K274" s="484" t="str">
        <f aca="false">IF($E274="","",IFERROR(VLOOKUP($E274,PLANI_LLOGARIVE!$A:$I,9,FALSE()),""))</f>
        <v/>
      </c>
      <c r="L274" s="487" t="str">
        <f aca="false">IF($E274="","",$I274-$J274)</f>
        <v/>
      </c>
      <c r="M274" s="484" t="str">
        <f aca="false">IF($E274="","",IF($I274&gt;0,"DEBIT",IF($J274&gt;0,"KREDIT","ZERO")))</f>
        <v/>
      </c>
      <c r="N274" s="484" t="str">
        <f aca="false">IF($E274="","",TEXT($B274,"yyyymmdd")&amp;"-"&amp;TEXT(ROW(),"0000"))</f>
        <v/>
      </c>
      <c r="O274" s="101" t="str">
        <f aca="false">IF($E274="","",$E274&amp;"")</f>
        <v/>
      </c>
      <c r="P274" s="101" t="str">
        <f aca="false">IF(AND($O274&lt;&gt;"",$I274&lt;&gt;0),COUNTIFS($O$2:O274,$O274,$I$2:I274,"&gt;0"),"")</f>
        <v/>
      </c>
      <c r="Q274" s="101" t="str">
        <f aca="false">IF(AND($O274&lt;&gt;"",$J274&lt;&gt;0),COUNTIFS($O$2:O274,$O274,$J$2:J274,"&gt;0"),"")</f>
        <v/>
      </c>
      <c r="R274" s="101" t="str">
        <f aca="false">IF($P274="","",$O274&amp;"|"&amp;$P274)</f>
        <v/>
      </c>
      <c r="S274" s="101" t="str">
        <f aca="false">IF($Q274="","",$O274&amp;"|"&amp;$Q274)</f>
        <v/>
      </c>
      <c r="T274" s="101" t="str">
        <f aca="false">IF($O274="","",COUNTIF($O$2:O274,$O274))</f>
        <v/>
      </c>
      <c r="U274" s="101" t="str">
        <f aca="false">IF($O274="","",$O274&amp;"|"&amp;$T274)</f>
        <v/>
      </c>
      <c r="V274" s="488" t="n">
        <f aca="false">IF(OR(LEFT($D274,5)="MB-CL",LEFT($D274,6)="MB-RES"),0,$I274)</f>
        <v>0</v>
      </c>
      <c r="W274" s="488" t="n">
        <f aca="false">IF(OR(LEFT($D274,5)="MB-CL",LEFT($D274,6)="MB-RES"),0,$J274)</f>
        <v>0</v>
      </c>
      <c r="X274" s="101" t="str">
        <f aca="false">IF($E274="","",LEFT($E274,1))</f>
        <v/>
      </c>
      <c r="Y274" s="101" t="str">
        <f aca="false">IF($E274="","",LEFT($E274,2))</f>
        <v/>
      </c>
      <c r="Z274" s="101" t="str">
        <f aca="false">IF($E274="","",LEFT($E274,3))</f>
        <v/>
      </c>
      <c r="AA274" s="101" t="str">
        <f aca="false">IF($E274="","",LEFT($E274,4))</f>
        <v/>
      </c>
    </row>
    <row r="275" customFormat="false" ht="15" hidden="false" customHeight="true" outlineLevel="0" collapsed="false">
      <c r="A275" s="484" t="str">
        <f aca="false">IF(DITARI!$D279="","",ROW()-1)</f>
        <v/>
      </c>
      <c r="B275" s="485" t="str">
        <f aca="false">IF(DITARI!$D279="","",DITARI!$A279)</f>
        <v/>
      </c>
      <c r="C275" s="484" t="str">
        <f aca="false">IF(DITARI!$D279="","",DITARI!$B279)</f>
        <v/>
      </c>
      <c r="D275" s="484" t="str">
        <f aca="false">IF(DITARI!$D279="","",DITARI!$C279)</f>
        <v/>
      </c>
      <c r="E275" s="484" t="str">
        <f aca="false">IF(DITARI!$D279="","",TRIM(DITARI!$D279&amp;""))</f>
        <v/>
      </c>
      <c r="F275" s="484" t="str">
        <f aca="false">IF($E275="","",IFERROR(VLOOKUP($E275,PLANI_LLOGARIVE!$A:$I,2,FALSE()),DITARI!$E279))</f>
        <v/>
      </c>
      <c r="G275" s="484" t="str">
        <f aca="false">IF($E275="","",DITARI!$I279)</f>
        <v/>
      </c>
      <c r="H275" s="484" t="str">
        <f aca="false">IFERROR(IF($E275="","",DITARI!$H279),"")</f>
        <v/>
      </c>
      <c r="I275" s="487" t="n">
        <f aca="false">IF($E275="",0,IFERROR(DITARI!$F279,0))</f>
        <v>0</v>
      </c>
      <c r="J275" s="487" t="n">
        <f aca="false">IF($E275="",0,IFERROR(DITARI!$G279,0))</f>
        <v>0</v>
      </c>
      <c r="K275" s="484" t="str">
        <f aca="false">IF($E275="","",IFERROR(VLOOKUP($E275,PLANI_LLOGARIVE!$A:$I,9,FALSE()),""))</f>
        <v/>
      </c>
      <c r="L275" s="487" t="str">
        <f aca="false">IF($E275="","",$I275-$J275)</f>
        <v/>
      </c>
      <c r="M275" s="484" t="str">
        <f aca="false">IF($E275="","",IF($I275&gt;0,"DEBIT",IF($J275&gt;0,"KREDIT","ZERO")))</f>
        <v/>
      </c>
      <c r="N275" s="484" t="str">
        <f aca="false">IF($E275="","",TEXT($B275,"yyyymmdd")&amp;"-"&amp;TEXT(ROW(),"0000"))</f>
        <v/>
      </c>
      <c r="O275" s="101" t="str">
        <f aca="false">IF($E275="","",$E275&amp;"")</f>
        <v/>
      </c>
      <c r="P275" s="101" t="str">
        <f aca="false">IF(AND($O275&lt;&gt;"",$I275&lt;&gt;0),COUNTIFS($O$2:O275,$O275,$I$2:I275,"&gt;0"),"")</f>
        <v/>
      </c>
      <c r="Q275" s="101" t="str">
        <f aca="false">IF(AND($O275&lt;&gt;"",$J275&lt;&gt;0),COUNTIFS($O$2:O275,$O275,$J$2:J275,"&gt;0"),"")</f>
        <v/>
      </c>
      <c r="R275" s="101" t="str">
        <f aca="false">IF($P275="","",$O275&amp;"|"&amp;$P275)</f>
        <v/>
      </c>
      <c r="S275" s="101" t="str">
        <f aca="false">IF($Q275="","",$O275&amp;"|"&amp;$Q275)</f>
        <v/>
      </c>
      <c r="T275" s="101" t="str">
        <f aca="false">IF($O275="","",COUNTIF($O$2:O275,$O275))</f>
        <v/>
      </c>
      <c r="U275" s="101" t="str">
        <f aca="false">IF($O275="","",$O275&amp;"|"&amp;$T275)</f>
        <v/>
      </c>
      <c r="V275" s="488" t="n">
        <f aca="false">IF(OR(LEFT($D275,5)="MB-CL",LEFT($D275,6)="MB-RES"),0,$I275)</f>
        <v>0</v>
      </c>
      <c r="W275" s="488" t="n">
        <f aca="false">IF(OR(LEFT($D275,5)="MB-CL",LEFT($D275,6)="MB-RES"),0,$J275)</f>
        <v>0</v>
      </c>
      <c r="X275" s="101" t="str">
        <f aca="false">IF($E275="","",LEFT($E275,1))</f>
        <v/>
      </c>
      <c r="Y275" s="101" t="str">
        <f aca="false">IF($E275="","",LEFT($E275,2))</f>
        <v/>
      </c>
      <c r="Z275" s="101" t="str">
        <f aca="false">IF($E275="","",LEFT($E275,3))</f>
        <v/>
      </c>
      <c r="AA275" s="101" t="str">
        <f aca="false">IF($E275="","",LEFT($E275,4))</f>
        <v/>
      </c>
    </row>
    <row r="276" customFormat="false" ht="15" hidden="false" customHeight="true" outlineLevel="0" collapsed="false">
      <c r="A276" s="484" t="str">
        <f aca="false">IF(DITARI!$D280="","",ROW()-1)</f>
        <v/>
      </c>
      <c r="B276" s="485" t="str">
        <f aca="false">IF(DITARI!$D280="","",DITARI!$A280)</f>
        <v/>
      </c>
      <c r="C276" s="484" t="str">
        <f aca="false">IF(DITARI!$D280="","",DITARI!$B280)</f>
        <v/>
      </c>
      <c r="D276" s="484" t="str">
        <f aca="false">IF(DITARI!$D280="","",DITARI!$C280)</f>
        <v/>
      </c>
      <c r="E276" s="484" t="str">
        <f aca="false">IF(DITARI!$D280="","",TRIM(DITARI!$D280&amp;""))</f>
        <v/>
      </c>
      <c r="F276" s="484" t="str">
        <f aca="false">IF($E276="","",IFERROR(VLOOKUP($E276,PLANI_LLOGARIVE!$A:$I,2,FALSE()),DITARI!$E280))</f>
        <v/>
      </c>
      <c r="G276" s="484" t="str">
        <f aca="false">IF($E276="","",DITARI!$I280)</f>
        <v/>
      </c>
      <c r="H276" s="484" t="str">
        <f aca="false">IFERROR(IF($E276="","",DITARI!$H280),"")</f>
        <v/>
      </c>
      <c r="I276" s="487" t="n">
        <f aca="false">IF($E276="",0,IFERROR(DITARI!$F280,0))</f>
        <v>0</v>
      </c>
      <c r="J276" s="487" t="n">
        <f aca="false">IF($E276="",0,IFERROR(DITARI!$G280,0))</f>
        <v>0</v>
      </c>
      <c r="K276" s="484" t="str">
        <f aca="false">IF($E276="","",IFERROR(VLOOKUP($E276,PLANI_LLOGARIVE!$A:$I,9,FALSE()),""))</f>
        <v/>
      </c>
      <c r="L276" s="487" t="str">
        <f aca="false">IF($E276="","",$I276-$J276)</f>
        <v/>
      </c>
      <c r="M276" s="484" t="str">
        <f aca="false">IF($E276="","",IF($I276&gt;0,"DEBIT",IF($J276&gt;0,"KREDIT","ZERO")))</f>
        <v/>
      </c>
      <c r="N276" s="484" t="str">
        <f aca="false">IF($E276="","",TEXT($B276,"yyyymmdd")&amp;"-"&amp;TEXT(ROW(),"0000"))</f>
        <v/>
      </c>
      <c r="O276" s="101" t="str">
        <f aca="false">IF($E276="","",$E276&amp;"")</f>
        <v/>
      </c>
      <c r="P276" s="101" t="str">
        <f aca="false">IF(AND($O276&lt;&gt;"",$I276&lt;&gt;0),COUNTIFS($O$2:O276,$O276,$I$2:I276,"&gt;0"),"")</f>
        <v/>
      </c>
      <c r="Q276" s="101" t="str">
        <f aca="false">IF(AND($O276&lt;&gt;"",$J276&lt;&gt;0),COUNTIFS($O$2:O276,$O276,$J$2:J276,"&gt;0"),"")</f>
        <v/>
      </c>
      <c r="R276" s="101" t="str">
        <f aca="false">IF($P276="","",$O276&amp;"|"&amp;$P276)</f>
        <v/>
      </c>
      <c r="S276" s="101" t="str">
        <f aca="false">IF($Q276="","",$O276&amp;"|"&amp;$Q276)</f>
        <v/>
      </c>
      <c r="T276" s="101" t="str">
        <f aca="false">IF($O276="","",COUNTIF($O$2:O276,$O276))</f>
        <v/>
      </c>
      <c r="U276" s="101" t="str">
        <f aca="false">IF($O276="","",$O276&amp;"|"&amp;$T276)</f>
        <v/>
      </c>
      <c r="V276" s="488" t="n">
        <f aca="false">IF(OR(LEFT($D276,5)="MB-CL",LEFT($D276,6)="MB-RES"),0,$I276)</f>
        <v>0</v>
      </c>
      <c r="W276" s="488" t="n">
        <f aca="false">IF(OR(LEFT($D276,5)="MB-CL",LEFT($D276,6)="MB-RES"),0,$J276)</f>
        <v>0</v>
      </c>
      <c r="X276" s="101" t="str">
        <f aca="false">IF($E276="","",LEFT($E276,1))</f>
        <v/>
      </c>
      <c r="Y276" s="101" t="str">
        <f aca="false">IF($E276="","",LEFT($E276,2))</f>
        <v/>
      </c>
      <c r="Z276" s="101" t="str">
        <f aca="false">IF($E276="","",LEFT($E276,3))</f>
        <v/>
      </c>
      <c r="AA276" s="101" t="str">
        <f aca="false">IF($E276="","",LEFT($E276,4))</f>
        <v/>
      </c>
    </row>
    <row r="277" customFormat="false" ht="15" hidden="false" customHeight="true" outlineLevel="0" collapsed="false">
      <c r="A277" s="484" t="str">
        <f aca="false">IF(DITARI!$D281="","",ROW()-1)</f>
        <v/>
      </c>
      <c r="B277" s="485" t="str">
        <f aca="false">IF(DITARI!$D281="","",DITARI!$A281)</f>
        <v/>
      </c>
      <c r="C277" s="484" t="str">
        <f aca="false">IF(DITARI!$D281="","",DITARI!$B281)</f>
        <v/>
      </c>
      <c r="D277" s="484" t="str">
        <f aca="false">IF(DITARI!$D281="","",DITARI!$C281)</f>
        <v/>
      </c>
      <c r="E277" s="484" t="str">
        <f aca="false">IF(DITARI!$D281="","",TRIM(DITARI!$D281&amp;""))</f>
        <v/>
      </c>
      <c r="F277" s="484" t="str">
        <f aca="false">IF($E277="","",IFERROR(VLOOKUP($E277,PLANI_LLOGARIVE!$A:$I,2,FALSE()),DITARI!$E281))</f>
        <v/>
      </c>
      <c r="G277" s="484" t="str">
        <f aca="false">IF($E277="","",DITARI!$I281)</f>
        <v/>
      </c>
      <c r="H277" s="484" t="str">
        <f aca="false">IFERROR(IF($E277="","",DITARI!$H281),"")</f>
        <v/>
      </c>
      <c r="I277" s="487" t="n">
        <f aca="false">IF($E277="",0,IFERROR(DITARI!$F281,0))</f>
        <v>0</v>
      </c>
      <c r="J277" s="487" t="n">
        <f aca="false">IF($E277="",0,IFERROR(DITARI!$G281,0))</f>
        <v>0</v>
      </c>
      <c r="K277" s="484" t="str">
        <f aca="false">IF($E277="","",IFERROR(VLOOKUP($E277,PLANI_LLOGARIVE!$A:$I,9,FALSE()),""))</f>
        <v/>
      </c>
      <c r="L277" s="487" t="str">
        <f aca="false">IF($E277="","",$I277-$J277)</f>
        <v/>
      </c>
      <c r="M277" s="484" t="str">
        <f aca="false">IF($E277="","",IF($I277&gt;0,"DEBIT",IF($J277&gt;0,"KREDIT","ZERO")))</f>
        <v/>
      </c>
      <c r="N277" s="484" t="str">
        <f aca="false">IF($E277="","",TEXT($B277,"yyyymmdd")&amp;"-"&amp;TEXT(ROW(),"0000"))</f>
        <v/>
      </c>
      <c r="O277" s="101" t="str">
        <f aca="false">IF($E277="","",$E277&amp;"")</f>
        <v/>
      </c>
      <c r="P277" s="101" t="str">
        <f aca="false">IF(AND($O277&lt;&gt;"",$I277&lt;&gt;0),COUNTIFS($O$2:O277,$O277,$I$2:I277,"&gt;0"),"")</f>
        <v/>
      </c>
      <c r="Q277" s="101" t="str">
        <f aca="false">IF(AND($O277&lt;&gt;"",$J277&lt;&gt;0),COUNTIFS($O$2:O277,$O277,$J$2:J277,"&gt;0"),"")</f>
        <v/>
      </c>
      <c r="R277" s="101" t="str">
        <f aca="false">IF($P277="","",$O277&amp;"|"&amp;$P277)</f>
        <v/>
      </c>
      <c r="S277" s="101" t="str">
        <f aca="false">IF($Q277="","",$O277&amp;"|"&amp;$Q277)</f>
        <v/>
      </c>
      <c r="T277" s="101" t="str">
        <f aca="false">IF($O277="","",COUNTIF($O$2:O277,$O277))</f>
        <v/>
      </c>
      <c r="U277" s="101" t="str">
        <f aca="false">IF($O277="","",$O277&amp;"|"&amp;$T277)</f>
        <v/>
      </c>
      <c r="V277" s="488" t="n">
        <f aca="false">IF(OR(LEFT($D277,5)="MB-CL",LEFT($D277,6)="MB-RES"),0,$I277)</f>
        <v>0</v>
      </c>
      <c r="W277" s="488" t="n">
        <f aca="false">IF(OR(LEFT($D277,5)="MB-CL",LEFT($D277,6)="MB-RES"),0,$J277)</f>
        <v>0</v>
      </c>
      <c r="X277" s="101" t="str">
        <f aca="false">IF($E277="","",LEFT($E277,1))</f>
        <v/>
      </c>
      <c r="Y277" s="101" t="str">
        <f aca="false">IF($E277="","",LEFT($E277,2))</f>
        <v/>
      </c>
      <c r="Z277" s="101" t="str">
        <f aca="false">IF($E277="","",LEFT($E277,3))</f>
        <v/>
      </c>
      <c r="AA277" s="101" t="str">
        <f aca="false">IF($E277="","",LEFT($E277,4))</f>
        <v/>
      </c>
    </row>
    <row r="278" customFormat="false" ht="15" hidden="false" customHeight="true" outlineLevel="0" collapsed="false">
      <c r="A278" s="484" t="str">
        <f aca="false">IF(DITARI!$D282="","",ROW()-1)</f>
        <v/>
      </c>
      <c r="B278" s="485" t="str">
        <f aca="false">IF(DITARI!$D282="","",DITARI!$A282)</f>
        <v/>
      </c>
      <c r="C278" s="484" t="str">
        <f aca="false">IF(DITARI!$D282="","",DITARI!$B282)</f>
        <v/>
      </c>
      <c r="D278" s="484" t="str">
        <f aca="false">IF(DITARI!$D282="","",DITARI!$C282)</f>
        <v/>
      </c>
      <c r="E278" s="484" t="str">
        <f aca="false">IF(DITARI!$D282="","",TRIM(DITARI!$D282&amp;""))</f>
        <v/>
      </c>
      <c r="F278" s="484" t="str">
        <f aca="false">IF($E278="","",IFERROR(VLOOKUP($E278,PLANI_LLOGARIVE!$A:$I,2,FALSE()),DITARI!$E282))</f>
        <v/>
      </c>
      <c r="G278" s="484" t="str">
        <f aca="false">IF($E278="","",DITARI!$I282)</f>
        <v/>
      </c>
      <c r="H278" s="484" t="str">
        <f aca="false">IFERROR(IF($E278="","",DITARI!$H282),"")</f>
        <v/>
      </c>
      <c r="I278" s="487" t="n">
        <f aca="false">IF($E278="",0,IFERROR(DITARI!$F282,0))</f>
        <v>0</v>
      </c>
      <c r="J278" s="487" t="n">
        <f aca="false">IF($E278="",0,IFERROR(DITARI!$G282,0))</f>
        <v>0</v>
      </c>
      <c r="K278" s="484" t="str">
        <f aca="false">IF($E278="","",IFERROR(VLOOKUP($E278,PLANI_LLOGARIVE!$A:$I,9,FALSE()),""))</f>
        <v/>
      </c>
      <c r="L278" s="487" t="str">
        <f aca="false">IF($E278="","",$I278-$J278)</f>
        <v/>
      </c>
      <c r="M278" s="484" t="str">
        <f aca="false">IF($E278="","",IF($I278&gt;0,"DEBIT",IF($J278&gt;0,"KREDIT","ZERO")))</f>
        <v/>
      </c>
      <c r="N278" s="484" t="str">
        <f aca="false">IF($E278="","",TEXT($B278,"yyyymmdd")&amp;"-"&amp;TEXT(ROW(),"0000"))</f>
        <v/>
      </c>
      <c r="O278" s="101" t="str">
        <f aca="false">IF($E278="","",$E278&amp;"")</f>
        <v/>
      </c>
      <c r="P278" s="101" t="str">
        <f aca="false">IF(AND($O278&lt;&gt;"",$I278&lt;&gt;0),COUNTIFS($O$2:O278,$O278,$I$2:I278,"&gt;0"),"")</f>
        <v/>
      </c>
      <c r="Q278" s="101" t="str">
        <f aca="false">IF(AND($O278&lt;&gt;"",$J278&lt;&gt;0),COUNTIFS($O$2:O278,$O278,$J$2:J278,"&gt;0"),"")</f>
        <v/>
      </c>
      <c r="R278" s="101" t="str">
        <f aca="false">IF($P278="","",$O278&amp;"|"&amp;$P278)</f>
        <v/>
      </c>
      <c r="S278" s="101" t="str">
        <f aca="false">IF($Q278="","",$O278&amp;"|"&amp;$Q278)</f>
        <v/>
      </c>
      <c r="T278" s="101" t="str">
        <f aca="false">IF($O278="","",COUNTIF($O$2:O278,$O278))</f>
        <v/>
      </c>
      <c r="U278" s="101" t="str">
        <f aca="false">IF($O278="","",$O278&amp;"|"&amp;$T278)</f>
        <v/>
      </c>
      <c r="V278" s="488" t="n">
        <f aca="false">IF(OR(LEFT($D278,5)="MB-CL",LEFT($D278,6)="MB-RES"),0,$I278)</f>
        <v>0</v>
      </c>
      <c r="W278" s="488" t="n">
        <f aca="false">IF(OR(LEFT($D278,5)="MB-CL",LEFT($D278,6)="MB-RES"),0,$J278)</f>
        <v>0</v>
      </c>
      <c r="X278" s="101" t="str">
        <f aca="false">IF($E278="","",LEFT($E278,1))</f>
        <v/>
      </c>
      <c r="Y278" s="101" t="str">
        <f aca="false">IF($E278="","",LEFT($E278,2))</f>
        <v/>
      </c>
      <c r="Z278" s="101" t="str">
        <f aca="false">IF($E278="","",LEFT($E278,3))</f>
        <v/>
      </c>
      <c r="AA278" s="101" t="str">
        <f aca="false">IF($E278="","",LEFT($E278,4))</f>
        <v/>
      </c>
    </row>
    <row r="279" customFormat="false" ht="15" hidden="false" customHeight="true" outlineLevel="0" collapsed="false">
      <c r="A279" s="484" t="str">
        <f aca="false">IF(DITARI!$D283="","",ROW()-1)</f>
        <v/>
      </c>
      <c r="B279" s="485" t="str">
        <f aca="false">IF(DITARI!$D283="","",DITARI!$A283)</f>
        <v/>
      </c>
      <c r="C279" s="484" t="str">
        <f aca="false">IF(DITARI!$D283="","",DITARI!$B283)</f>
        <v/>
      </c>
      <c r="D279" s="484" t="str">
        <f aca="false">IF(DITARI!$D283="","",DITARI!$C283)</f>
        <v/>
      </c>
      <c r="E279" s="484" t="str">
        <f aca="false">IF(DITARI!$D283="","",TRIM(DITARI!$D283&amp;""))</f>
        <v/>
      </c>
      <c r="F279" s="484" t="str">
        <f aca="false">IF($E279="","",IFERROR(VLOOKUP($E279,PLANI_LLOGARIVE!$A:$I,2,FALSE()),DITARI!$E283))</f>
        <v/>
      </c>
      <c r="G279" s="484" t="str">
        <f aca="false">IF($E279="","",DITARI!$I283)</f>
        <v/>
      </c>
      <c r="H279" s="484" t="str">
        <f aca="false">IFERROR(IF($E279="","",DITARI!$H283),"")</f>
        <v/>
      </c>
      <c r="I279" s="487" t="n">
        <f aca="false">IF($E279="",0,IFERROR(DITARI!$F283,0))</f>
        <v>0</v>
      </c>
      <c r="J279" s="487" t="n">
        <f aca="false">IF($E279="",0,IFERROR(DITARI!$G283,0))</f>
        <v>0</v>
      </c>
      <c r="K279" s="484" t="str">
        <f aca="false">IF($E279="","",IFERROR(VLOOKUP($E279,PLANI_LLOGARIVE!$A:$I,9,FALSE()),""))</f>
        <v/>
      </c>
      <c r="L279" s="487" t="str">
        <f aca="false">IF($E279="","",$I279-$J279)</f>
        <v/>
      </c>
      <c r="M279" s="484" t="str">
        <f aca="false">IF($E279="","",IF($I279&gt;0,"DEBIT",IF($J279&gt;0,"KREDIT","ZERO")))</f>
        <v/>
      </c>
      <c r="N279" s="484" t="str">
        <f aca="false">IF($E279="","",TEXT($B279,"yyyymmdd")&amp;"-"&amp;TEXT(ROW(),"0000"))</f>
        <v/>
      </c>
      <c r="O279" s="101" t="str">
        <f aca="false">IF($E279="","",$E279&amp;"")</f>
        <v/>
      </c>
      <c r="P279" s="101" t="str">
        <f aca="false">IF(AND($O279&lt;&gt;"",$I279&lt;&gt;0),COUNTIFS($O$2:O279,$O279,$I$2:I279,"&gt;0"),"")</f>
        <v/>
      </c>
      <c r="Q279" s="101" t="str">
        <f aca="false">IF(AND($O279&lt;&gt;"",$J279&lt;&gt;0),COUNTIFS($O$2:O279,$O279,$J$2:J279,"&gt;0"),"")</f>
        <v/>
      </c>
      <c r="R279" s="101" t="str">
        <f aca="false">IF($P279="","",$O279&amp;"|"&amp;$P279)</f>
        <v/>
      </c>
      <c r="S279" s="101" t="str">
        <f aca="false">IF($Q279="","",$O279&amp;"|"&amp;$Q279)</f>
        <v/>
      </c>
      <c r="T279" s="101" t="str">
        <f aca="false">IF($O279="","",COUNTIF($O$2:O279,$O279))</f>
        <v/>
      </c>
      <c r="U279" s="101" t="str">
        <f aca="false">IF($O279="","",$O279&amp;"|"&amp;$T279)</f>
        <v/>
      </c>
      <c r="V279" s="488" t="n">
        <f aca="false">IF(OR(LEFT($D279,5)="MB-CL",LEFT($D279,6)="MB-RES"),0,$I279)</f>
        <v>0</v>
      </c>
      <c r="W279" s="488" t="n">
        <f aca="false">IF(OR(LEFT($D279,5)="MB-CL",LEFT($D279,6)="MB-RES"),0,$J279)</f>
        <v>0</v>
      </c>
      <c r="X279" s="101" t="str">
        <f aca="false">IF($E279="","",LEFT($E279,1))</f>
        <v/>
      </c>
      <c r="Y279" s="101" t="str">
        <f aca="false">IF($E279="","",LEFT($E279,2))</f>
        <v/>
      </c>
      <c r="Z279" s="101" t="str">
        <f aca="false">IF($E279="","",LEFT($E279,3))</f>
        <v/>
      </c>
      <c r="AA279" s="101" t="str">
        <f aca="false">IF($E279="","",LEFT($E279,4))</f>
        <v/>
      </c>
    </row>
    <row r="280" customFormat="false" ht="15" hidden="false" customHeight="true" outlineLevel="0" collapsed="false">
      <c r="A280" s="484" t="str">
        <f aca="false">IF(DITARI!$D284="","",ROW()-1)</f>
        <v/>
      </c>
      <c r="B280" s="485" t="str">
        <f aca="false">IF(DITARI!$D284="","",DITARI!$A284)</f>
        <v/>
      </c>
      <c r="C280" s="484" t="str">
        <f aca="false">IF(DITARI!$D284="","",DITARI!$B284)</f>
        <v/>
      </c>
      <c r="D280" s="484" t="str">
        <f aca="false">IF(DITARI!$D284="","",DITARI!$C284)</f>
        <v/>
      </c>
      <c r="E280" s="484" t="str">
        <f aca="false">IF(DITARI!$D284="","",TRIM(DITARI!$D284&amp;""))</f>
        <v/>
      </c>
      <c r="F280" s="484" t="str">
        <f aca="false">IF($E280="","",IFERROR(VLOOKUP($E280,PLANI_LLOGARIVE!$A:$I,2,FALSE()),DITARI!$E284))</f>
        <v/>
      </c>
      <c r="G280" s="484" t="str">
        <f aca="false">IF($E280="","",DITARI!$I284)</f>
        <v/>
      </c>
      <c r="H280" s="484" t="str">
        <f aca="false">IFERROR(IF($E280="","",DITARI!$H284),"")</f>
        <v/>
      </c>
      <c r="I280" s="487" t="n">
        <f aca="false">IF($E280="",0,IFERROR(DITARI!$F284,0))</f>
        <v>0</v>
      </c>
      <c r="J280" s="487" t="n">
        <f aca="false">IF($E280="",0,IFERROR(DITARI!$G284,0))</f>
        <v>0</v>
      </c>
      <c r="K280" s="484" t="str">
        <f aca="false">IF($E280="","",IFERROR(VLOOKUP($E280,PLANI_LLOGARIVE!$A:$I,9,FALSE()),""))</f>
        <v/>
      </c>
      <c r="L280" s="487" t="str">
        <f aca="false">IF($E280="","",$I280-$J280)</f>
        <v/>
      </c>
      <c r="M280" s="484" t="str">
        <f aca="false">IF($E280="","",IF($I280&gt;0,"DEBIT",IF($J280&gt;0,"KREDIT","ZERO")))</f>
        <v/>
      </c>
      <c r="N280" s="484" t="str">
        <f aca="false">IF($E280="","",TEXT($B280,"yyyymmdd")&amp;"-"&amp;TEXT(ROW(),"0000"))</f>
        <v/>
      </c>
      <c r="O280" s="101" t="str">
        <f aca="false">IF($E280="","",$E280&amp;"")</f>
        <v/>
      </c>
      <c r="P280" s="101" t="str">
        <f aca="false">IF(AND($O280&lt;&gt;"",$I280&lt;&gt;0),COUNTIFS($O$2:O280,$O280,$I$2:I280,"&gt;0"),"")</f>
        <v/>
      </c>
      <c r="Q280" s="101" t="str">
        <f aca="false">IF(AND($O280&lt;&gt;"",$J280&lt;&gt;0),COUNTIFS($O$2:O280,$O280,$J$2:J280,"&gt;0"),"")</f>
        <v/>
      </c>
      <c r="R280" s="101" t="str">
        <f aca="false">IF($P280="","",$O280&amp;"|"&amp;$P280)</f>
        <v/>
      </c>
      <c r="S280" s="101" t="str">
        <f aca="false">IF($Q280="","",$O280&amp;"|"&amp;$Q280)</f>
        <v/>
      </c>
      <c r="T280" s="101" t="str">
        <f aca="false">IF($O280="","",COUNTIF($O$2:O280,$O280))</f>
        <v/>
      </c>
      <c r="U280" s="101" t="str">
        <f aca="false">IF($O280="","",$O280&amp;"|"&amp;$T280)</f>
        <v/>
      </c>
      <c r="V280" s="488" t="n">
        <f aca="false">IF(OR(LEFT($D280,5)="MB-CL",LEFT($D280,6)="MB-RES"),0,$I280)</f>
        <v>0</v>
      </c>
      <c r="W280" s="488" t="n">
        <f aca="false">IF(OR(LEFT($D280,5)="MB-CL",LEFT($D280,6)="MB-RES"),0,$J280)</f>
        <v>0</v>
      </c>
      <c r="X280" s="101" t="str">
        <f aca="false">IF($E280="","",LEFT($E280,1))</f>
        <v/>
      </c>
      <c r="Y280" s="101" t="str">
        <f aca="false">IF($E280="","",LEFT($E280,2))</f>
        <v/>
      </c>
      <c r="Z280" s="101" t="str">
        <f aca="false">IF($E280="","",LEFT($E280,3))</f>
        <v/>
      </c>
      <c r="AA280" s="101" t="str">
        <f aca="false">IF($E280="","",LEFT($E280,4))</f>
        <v/>
      </c>
    </row>
    <row r="281" customFormat="false" ht="15" hidden="false" customHeight="true" outlineLevel="0" collapsed="false">
      <c r="A281" s="484" t="str">
        <f aca="false">IF(DITARI!$D285="","",ROW()-1)</f>
        <v/>
      </c>
      <c r="B281" s="485" t="str">
        <f aca="false">IF(DITARI!$D285="","",DITARI!$A285)</f>
        <v/>
      </c>
      <c r="C281" s="484" t="str">
        <f aca="false">IF(DITARI!$D285="","",DITARI!$B285)</f>
        <v/>
      </c>
      <c r="D281" s="484" t="str">
        <f aca="false">IF(DITARI!$D285="","",DITARI!$C285)</f>
        <v/>
      </c>
      <c r="E281" s="484" t="str">
        <f aca="false">IF(DITARI!$D285="","",TRIM(DITARI!$D285&amp;""))</f>
        <v/>
      </c>
      <c r="F281" s="484" t="str">
        <f aca="false">IF($E281="","",IFERROR(VLOOKUP($E281,PLANI_LLOGARIVE!$A:$I,2,FALSE()),DITARI!$E285))</f>
        <v/>
      </c>
      <c r="G281" s="484" t="str">
        <f aca="false">IF($E281="","",DITARI!$I285)</f>
        <v/>
      </c>
      <c r="H281" s="484" t="str">
        <f aca="false">IFERROR(IF($E281="","",DITARI!$H285),"")</f>
        <v/>
      </c>
      <c r="I281" s="487" t="n">
        <f aca="false">IF($E281="",0,IFERROR(DITARI!$F285,0))</f>
        <v>0</v>
      </c>
      <c r="J281" s="487" t="n">
        <f aca="false">IF($E281="",0,IFERROR(DITARI!$G285,0))</f>
        <v>0</v>
      </c>
      <c r="K281" s="484" t="str">
        <f aca="false">IF($E281="","",IFERROR(VLOOKUP($E281,PLANI_LLOGARIVE!$A:$I,9,FALSE()),""))</f>
        <v/>
      </c>
      <c r="L281" s="487" t="str">
        <f aca="false">IF($E281="","",$I281-$J281)</f>
        <v/>
      </c>
      <c r="M281" s="484" t="str">
        <f aca="false">IF($E281="","",IF($I281&gt;0,"DEBIT",IF($J281&gt;0,"KREDIT","ZERO")))</f>
        <v/>
      </c>
      <c r="N281" s="484" t="str">
        <f aca="false">IF($E281="","",TEXT($B281,"yyyymmdd")&amp;"-"&amp;TEXT(ROW(),"0000"))</f>
        <v/>
      </c>
      <c r="O281" s="101" t="str">
        <f aca="false">IF($E281="","",$E281&amp;"")</f>
        <v/>
      </c>
      <c r="P281" s="101" t="str">
        <f aca="false">IF(AND($O281&lt;&gt;"",$I281&lt;&gt;0),COUNTIFS($O$2:O281,$O281,$I$2:I281,"&gt;0"),"")</f>
        <v/>
      </c>
      <c r="Q281" s="101" t="str">
        <f aca="false">IF(AND($O281&lt;&gt;"",$J281&lt;&gt;0),COUNTIFS($O$2:O281,$O281,$J$2:J281,"&gt;0"),"")</f>
        <v/>
      </c>
      <c r="R281" s="101" t="str">
        <f aca="false">IF($P281="","",$O281&amp;"|"&amp;$P281)</f>
        <v/>
      </c>
      <c r="S281" s="101" t="str">
        <f aca="false">IF($Q281="","",$O281&amp;"|"&amp;$Q281)</f>
        <v/>
      </c>
      <c r="T281" s="101" t="str">
        <f aca="false">IF($O281="","",COUNTIF($O$2:O281,$O281))</f>
        <v/>
      </c>
      <c r="U281" s="101" t="str">
        <f aca="false">IF($O281="","",$O281&amp;"|"&amp;$T281)</f>
        <v/>
      </c>
      <c r="V281" s="488" t="n">
        <f aca="false">IF(OR(LEFT($D281,5)="MB-CL",LEFT($D281,6)="MB-RES"),0,$I281)</f>
        <v>0</v>
      </c>
      <c r="W281" s="488" t="n">
        <f aca="false">IF(OR(LEFT($D281,5)="MB-CL",LEFT($D281,6)="MB-RES"),0,$J281)</f>
        <v>0</v>
      </c>
      <c r="X281" s="101" t="str">
        <f aca="false">IF($E281="","",LEFT($E281,1))</f>
        <v/>
      </c>
      <c r="Y281" s="101" t="str">
        <f aca="false">IF($E281="","",LEFT($E281,2))</f>
        <v/>
      </c>
      <c r="Z281" s="101" t="str">
        <f aca="false">IF($E281="","",LEFT($E281,3))</f>
        <v/>
      </c>
      <c r="AA281" s="101" t="str">
        <f aca="false">IF($E281="","",LEFT($E281,4))</f>
        <v/>
      </c>
    </row>
    <row r="282" customFormat="false" ht="15" hidden="false" customHeight="true" outlineLevel="0" collapsed="false">
      <c r="A282" s="484" t="str">
        <f aca="false">IF(DITARI!$D286="","",ROW()-1)</f>
        <v/>
      </c>
      <c r="B282" s="485" t="str">
        <f aca="false">IF(DITARI!$D286="","",DITARI!$A286)</f>
        <v/>
      </c>
      <c r="C282" s="484" t="str">
        <f aca="false">IF(DITARI!$D286="","",DITARI!$B286)</f>
        <v/>
      </c>
      <c r="D282" s="484" t="str">
        <f aca="false">IF(DITARI!$D286="","",DITARI!$C286)</f>
        <v/>
      </c>
      <c r="E282" s="484" t="str">
        <f aca="false">IF(DITARI!$D286="","",TRIM(DITARI!$D286&amp;""))</f>
        <v/>
      </c>
      <c r="F282" s="484" t="str">
        <f aca="false">IF($E282="","",IFERROR(VLOOKUP($E282,PLANI_LLOGARIVE!$A:$I,2,FALSE()),DITARI!$E286))</f>
        <v/>
      </c>
      <c r="G282" s="484" t="str">
        <f aca="false">IF($E282="","",DITARI!$I286)</f>
        <v/>
      </c>
      <c r="H282" s="484" t="str">
        <f aca="false">IFERROR(IF($E282="","",DITARI!$H286),"")</f>
        <v/>
      </c>
      <c r="I282" s="487" t="n">
        <f aca="false">IF($E282="",0,IFERROR(DITARI!$F286,0))</f>
        <v>0</v>
      </c>
      <c r="J282" s="487" t="n">
        <f aca="false">IF($E282="",0,IFERROR(DITARI!$G286,0))</f>
        <v>0</v>
      </c>
      <c r="K282" s="484" t="str">
        <f aca="false">IF($E282="","",IFERROR(VLOOKUP($E282,PLANI_LLOGARIVE!$A:$I,9,FALSE()),""))</f>
        <v/>
      </c>
      <c r="L282" s="487" t="str">
        <f aca="false">IF($E282="","",$I282-$J282)</f>
        <v/>
      </c>
      <c r="M282" s="484" t="str">
        <f aca="false">IF($E282="","",IF($I282&gt;0,"DEBIT",IF($J282&gt;0,"KREDIT","ZERO")))</f>
        <v/>
      </c>
      <c r="N282" s="484" t="str">
        <f aca="false">IF($E282="","",TEXT($B282,"yyyymmdd")&amp;"-"&amp;TEXT(ROW(),"0000"))</f>
        <v/>
      </c>
      <c r="O282" s="101" t="str">
        <f aca="false">IF($E282="","",$E282&amp;"")</f>
        <v/>
      </c>
      <c r="P282" s="101" t="str">
        <f aca="false">IF(AND($O282&lt;&gt;"",$I282&lt;&gt;0),COUNTIFS($O$2:O282,$O282,$I$2:I282,"&gt;0"),"")</f>
        <v/>
      </c>
      <c r="Q282" s="101" t="str">
        <f aca="false">IF(AND($O282&lt;&gt;"",$J282&lt;&gt;0),COUNTIFS($O$2:O282,$O282,$J$2:J282,"&gt;0"),"")</f>
        <v/>
      </c>
      <c r="R282" s="101" t="str">
        <f aca="false">IF($P282="","",$O282&amp;"|"&amp;$P282)</f>
        <v/>
      </c>
      <c r="S282" s="101" t="str">
        <f aca="false">IF($Q282="","",$O282&amp;"|"&amp;$Q282)</f>
        <v/>
      </c>
      <c r="T282" s="101" t="str">
        <f aca="false">IF($O282="","",COUNTIF($O$2:O282,$O282))</f>
        <v/>
      </c>
      <c r="U282" s="101" t="str">
        <f aca="false">IF($O282="","",$O282&amp;"|"&amp;$T282)</f>
        <v/>
      </c>
      <c r="V282" s="488" t="n">
        <f aca="false">IF(OR(LEFT($D282,5)="MB-CL",LEFT($D282,6)="MB-RES"),0,$I282)</f>
        <v>0</v>
      </c>
      <c r="W282" s="488" t="n">
        <f aca="false">IF(OR(LEFT($D282,5)="MB-CL",LEFT($D282,6)="MB-RES"),0,$J282)</f>
        <v>0</v>
      </c>
      <c r="X282" s="101" t="str">
        <f aca="false">IF($E282="","",LEFT($E282,1))</f>
        <v/>
      </c>
      <c r="Y282" s="101" t="str">
        <f aca="false">IF($E282="","",LEFT($E282,2))</f>
        <v/>
      </c>
      <c r="Z282" s="101" t="str">
        <f aca="false">IF($E282="","",LEFT($E282,3))</f>
        <v/>
      </c>
      <c r="AA282" s="101" t="str">
        <f aca="false">IF($E282="","",LEFT($E282,4))</f>
        <v/>
      </c>
    </row>
    <row r="283" customFormat="false" ht="15" hidden="false" customHeight="true" outlineLevel="0" collapsed="false">
      <c r="A283" s="484" t="str">
        <f aca="false">IF(DITARI!$D287="","",ROW()-1)</f>
        <v/>
      </c>
      <c r="B283" s="485" t="str">
        <f aca="false">IF(DITARI!$D287="","",DITARI!$A287)</f>
        <v/>
      </c>
      <c r="C283" s="484" t="str">
        <f aca="false">IF(DITARI!$D287="","",DITARI!$B287)</f>
        <v/>
      </c>
      <c r="D283" s="484" t="str">
        <f aca="false">IF(DITARI!$D287="","",DITARI!$C287)</f>
        <v/>
      </c>
      <c r="E283" s="484" t="str">
        <f aca="false">IF(DITARI!$D287="","",TRIM(DITARI!$D287&amp;""))</f>
        <v/>
      </c>
      <c r="F283" s="484" t="str">
        <f aca="false">IF($E283="","",IFERROR(VLOOKUP($E283,PLANI_LLOGARIVE!$A:$I,2,FALSE()),DITARI!$E287))</f>
        <v/>
      </c>
      <c r="G283" s="484" t="str">
        <f aca="false">IF($E283="","",DITARI!$I287)</f>
        <v/>
      </c>
      <c r="H283" s="484" t="str">
        <f aca="false">IFERROR(IF($E283="","",DITARI!$H287),"")</f>
        <v/>
      </c>
      <c r="I283" s="487" t="n">
        <f aca="false">IF($E283="",0,IFERROR(DITARI!$F287,0))</f>
        <v>0</v>
      </c>
      <c r="J283" s="487" t="n">
        <f aca="false">IF($E283="",0,IFERROR(DITARI!$G287,0))</f>
        <v>0</v>
      </c>
      <c r="K283" s="484" t="str">
        <f aca="false">IF($E283="","",IFERROR(VLOOKUP($E283,PLANI_LLOGARIVE!$A:$I,9,FALSE()),""))</f>
        <v/>
      </c>
      <c r="L283" s="487" t="str">
        <f aca="false">IF($E283="","",$I283-$J283)</f>
        <v/>
      </c>
      <c r="M283" s="484" t="str">
        <f aca="false">IF($E283="","",IF($I283&gt;0,"DEBIT",IF($J283&gt;0,"KREDIT","ZERO")))</f>
        <v/>
      </c>
      <c r="N283" s="484" t="str">
        <f aca="false">IF($E283="","",TEXT($B283,"yyyymmdd")&amp;"-"&amp;TEXT(ROW(),"0000"))</f>
        <v/>
      </c>
      <c r="O283" s="101" t="str">
        <f aca="false">IF($E283="","",$E283&amp;"")</f>
        <v/>
      </c>
      <c r="P283" s="101" t="str">
        <f aca="false">IF(AND($O283&lt;&gt;"",$I283&lt;&gt;0),COUNTIFS($O$2:O283,$O283,$I$2:I283,"&gt;0"),"")</f>
        <v/>
      </c>
      <c r="Q283" s="101" t="str">
        <f aca="false">IF(AND($O283&lt;&gt;"",$J283&lt;&gt;0),COUNTIFS($O$2:O283,$O283,$J$2:J283,"&gt;0"),"")</f>
        <v/>
      </c>
      <c r="R283" s="101" t="str">
        <f aca="false">IF($P283="","",$O283&amp;"|"&amp;$P283)</f>
        <v/>
      </c>
      <c r="S283" s="101" t="str">
        <f aca="false">IF($Q283="","",$O283&amp;"|"&amp;$Q283)</f>
        <v/>
      </c>
      <c r="T283" s="101" t="str">
        <f aca="false">IF($O283="","",COUNTIF($O$2:O283,$O283))</f>
        <v/>
      </c>
      <c r="U283" s="101" t="str">
        <f aca="false">IF($O283="","",$O283&amp;"|"&amp;$T283)</f>
        <v/>
      </c>
      <c r="V283" s="488" t="n">
        <f aca="false">IF(OR(LEFT($D283,5)="MB-CL",LEFT($D283,6)="MB-RES"),0,$I283)</f>
        <v>0</v>
      </c>
      <c r="W283" s="488" t="n">
        <f aca="false">IF(OR(LEFT($D283,5)="MB-CL",LEFT($D283,6)="MB-RES"),0,$J283)</f>
        <v>0</v>
      </c>
      <c r="X283" s="101" t="str">
        <f aca="false">IF($E283="","",LEFT($E283,1))</f>
        <v/>
      </c>
      <c r="Y283" s="101" t="str">
        <f aca="false">IF($E283="","",LEFT($E283,2))</f>
        <v/>
      </c>
      <c r="Z283" s="101" t="str">
        <f aca="false">IF($E283="","",LEFT($E283,3))</f>
        <v/>
      </c>
      <c r="AA283" s="101" t="str">
        <f aca="false">IF($E283="","",LEFT($E283,4))</f>
        <v/>
      </c>
    </row>
    <row r="284" customFormat="false" ht="15" hidden="false" customHeight="true" outlineLevel="0" collapsed="false">
      <c r="A284" s="484" t="str">
        <f aca="false">IF(DITARI!$D288="","",ROW()-1)</f>
        <v/>
      </c>
      <c r="B284" s="485" t="str">
        <f aca="false">IF(DITARI!$D288="","",DITARI!$A288)</f>
        <v/>
      </c>
      <c r="C284" s="484" t="str">
        <f aca="false">IF(DITARI!$D288="","",DITARI!$B288)</f>
        <v/>
      </c>
      <c r="D284" s="484" t="str">
        <f aca="false">IF(DITARI!$D288="","",DITARI!$C288)</f>
        <v/>
      </c>
      <c r="E284" s="484" t="str">
        <f aca="false">IF(DITARI!$D288="","",TRIM(DITARI!$D288&amp;""))</f>
        <v/>
      </c>
      <c r="F284" s="484" t="str">
        <f aca="false">IF($E284="","",IFERROR(VLOOKUP($E284,PLANI_LLOGARIVE!$A:$I,2,FALSE()),DITARI!$E288))</f>
        <v/>
      </c>
      <c r="G284" s="484" t="str">
        <f aca="false">IF($E284="","",DITARI!$I288)</f>
        <v/>
      </c>
      <c r="H284" s="484" t="str">
        <f aca="false">IFERROR(IF($E284="","",DITARI!$H288),"")</f>
        <v/>
      </c>
      <c r="I284" s="487" t="n">
        <f aca="false">IF($E284="",0,IFERROR(DITARI!$F288,0))</f>
        <v>0</v>
      </c>
      <c r="J284" s="487" t="n">
        <f aca="false">IF($E284="",0,IFERROR(DITARI!$G288,0))</f>
        <v>0</v>
      </c>
      <c r="K284" s="484" t="str">
        <f aca="false">IF($E284="","",IFERROR(VLOOKUP($E284,PLANI_LLOGARIVE!$A:$I,9,FALSE()),""))</f>
        <v/>
      </c>
      <c r="L284" s="487" t="str">
        <f aca="false">IF($E284="","",$I284-$J284)</f>
        <v/>
      </c>
      <c r="M284" s="484" t="str">
        <f aca="false">IF($E284="","",IF($I284&gt;0,"DEBIT",IF($J284&gt;0,"KREDIT","ZERO")))</f>
        <v/>
      </c>
      <c r="N284" s="484" t="str">
        <f aca="false">IF($E284="","",TEXT($B284,"yyyymmdd")&amp;"-"&amp;TEXT(ROW(),"0000"))</f>
        <v/>
      </c>
      <c r="O284" s="101" t="str">
        <f aca="false">IF($E284="","",$E284&amp;"")</f>
        <v/>
      </c>
      <c r="P284" s="101" t="str">
        <f aca="false">IF(AND($O284&lt;&gt;"",$I284&lt;&gt;0),COUNTIFS($O$2:O284,$O284,$I$2:I284,"&gt;0"),"")</f>
        <v/>
      </c>
      <c r="Q284" s="101" t="str">
        <f aca="false">IF(AND($O284&lt;&gt;"",$J284&lt;&gt;0),COUNTIFS($O$2:O284,$O284,$J$2:J284,"&gt;0"),"")</f>
        <v/>
      </c>
      <c r="R284" s="101" t="str">
        <f aca="false">IF($P284="","",$O284&amp;"|"&amp;$P284)</f>
        <v/>
      </c>
      <c r="S284" s="101" t="str">
        <f aca="false">IF($Q284="","",$O284&amp;"|"&amp;$Q284)</f>
        <v/>
      </c>
      <c r="T284" s="101" t="str">
        <f aca="false">IF($O284="","",COUNTIF($O$2:O284,$O284))</f>
        <v/>
      </c>
      <c r="U284" s="101" t="str">
        <f aca="false">IF($O284="","",$O284&amp;"|"&amp;$T284)</f>
        <v/>
      </c>
      <c r="V284" s="488" t="n">
        <f aca="false">IF(OR(LEFT($D284,5)="MB-CL",LEFT($D284,6)="MB-RES"),0,$I284)</f>
        <v>0</v>
      </c>
      <c r="W284" s="488" t="n">
        <f aca="false">IF(OR(LEFT($D284,5)="MB-CL",LEFT($D284,6)="MB-RES"),0,$J284)</f>
        <v>0</v>
      </c>
      <c r="X284" s="101" t="str">
        <f aca="false">IF($E284="","",LEFT($E284,1))</f>
        <v/>
      </c>
      <c r="Y284" s="101" t="str">
        <f aca="false">IF($E284="","",LEFT($E284,2))</f>
        <v/>
      </c>
      <c r="Z284" s="101" t="str">
        <f aca="false">IF($E284="","",LEFT($E284,3))</f>
        <v/>
      </c>
      <c r="AA284" s="101" t="str">
        <f aca="false">IF($E284="","",LEFT($E284,4))</f>
        <v/>
      </c>
    </row>
    <row r="285" customFormat="false" ht="15" hidden="false" customHeight="true" outlineLevel="0" collapsed="false">
      <c r="A285" s="484" t="str">
        <f aca="false">IF(DITARI!$D289="","",ROW()-1)</f>
        <v/>
      </c>
      <c r="B285" s="485" t="str">
        <f aca="false">IF(DITARI!$D289="","",DITARI!$A289)</f>
        <v/>
      </c>
      <c r="C285" s="484" t="str">
        <f aca="false">IF(DITARI!$D289="","",DITARI!$B289)</f>
        <v/>
      </c>
      <c r="D285" s="484" t="str">
        <f aca="false">IF(DITARI!$D289="","",DITARI!$C289)</f>
        <v/>
      </c>
      <c r="E285" s="484" t="str">
        <f aca="false">IF(DITARI!$D289="","",TRIM(DITARI!$D289&amp;""))</f>
        <v/>
      </c>
      <c r="F285" s="484" t="str">
        <f aca="false">IF($E285="","",IFERROR(VLOOKUP($E285,PLANI_LLOGARIVE!$A:$I,2,FALSE()),DITARI!$E289))</f>
        <v/>
      </c>
      <c r="G285" s="484" t="str">
        <f aca="false">IF($E285="","",DITARI!$I289)</f>
        <v/>
      </c>
      <c r="H285" s="484" t="str">
        <f aca="false">IFERROR(IF($E285="","",DITARI!$H289),"")</f>
        <v/>
      </c>
      <c r="I285" s="487" t="n">
        <f aca="false">IF($E285="",0,IFERROR(DITARI!$F289,0))</f>
        <v>0</v>
      </c>
      <c r="J285" s="487" t="n">
        <f aca="false">IF($E285="",0,IFERROR(DITARI!$G289,0))</f>
        <v>0</v>
      </c>
      <c r="K285" s="484" t="str">
        <f aca="false">IF($E285="","",IFERROR(VLOOKUP($E285,PLANI_LLOGARIVE!$A:$I,9,FALSE()),""))</f>
        <v/>
      </c>
      <c r="L285" s="487" t="str">
        <f aca="false">IF($E285="","",$I285-$J285)</f>
        <v/>
      </c>
      <c r="M285" s="484" t="str">
        <f aca="false">IF($E285="","",IF($I285&gt;0,"DEBIT",IF($J285&gt;0,"KREDIT","ZERO")))</f>
        <v/>
      </c>
      <c r="N285" s="484" t="str">
        <f aca="false">IF($E285="","",TEXT($B285,"yyyymmdd")&amp;"-"&amp;TEXT(ROW(),"0000"))</f>
        <v/>
      </c>
      <c r="O285" s="101" t="str">
        <f aca="false">IF($E285="","",$E285&amp;"")</f>
        <v/>
      </c>
      <c r="P285" s="101" t="str">
        <f aca="false">IF(AND($O285&lt;&gt;"",$I285&lt;&gt;0),COUNTIFS($O$2:O285,$O285,$I$2:I285,"&gt;0"),"")</f>
        <v/>
      </c>
      <c r="Q285" s="101" t="str">
        <f aca="false">IF(AND($O285&lt;&gt;"",$J285&lt;&gt;0),COUNTIFS($O$2:O285,$O285,$J$2:J285,"&gt;0"),"")</f>
        <v/>
      </c>
      <c r="R285" s="101" t="str">
        <f aca="false">IF($P285="","",$O285&amp;"|"&amp;$P285)</f>
        <v/>
      </c>
      <c r="S285" s="101" t="str">
        <f aca="false">IF($Q285="","",$O285&amp;"|"&amp;$Q285)</f>
        <v/>
      </c>
      <c r="T285" s="101" t="str">
        <f aca="false">IF($O285="","",COUNTIF($O$2:O285,$O285))</f>
        <v/>
      </c>
      <c r="U285" s="101" t="str">
        <f aca="false">IF($O285="","",$O285&amp;"|"&amp;$T285)</f>
        <v/>
      </c>
      <c r="V285" s="488" t="n">
        <f aca="false">IF(OR(LEFT($D285,5)="MB-CL",LEFT($D285,6)="MB-RES"),0,$I285)</f>
        <v>0</v>
      </c>
      <c r="W285" s="488" t="n">
        <f aca="false">IF(OR(LEFT($D285,5)="MB-CL",LEFT($D285,6)="MB-RES"),0,$J285)</f>
        <v>0</v>
      </c>
      <c r="X285" s="101" t="str">
        <f aca="false">IF($E285="","",LEFT($E285,1))</f>
        <v/>
      </c>
      <c r="Y285" s="101" t="str">
        <f aca="false">IF($E285="","",LEFT($E285,2))</f>
        <v/>
      </c>
      <c r="Z285" s="101" t="str">
        <f aca="false">IF($E285="","",LEFT($E285,3))</f>
        <v/>
      </c>
      <c r="AA285" s="101" t="str">
        <f aca="false">IF($E285="","",LEFT($E285,4))</f>
        <v/>
      </c>
    </row>
    <row r="286" customFormat="false" ht="15" hidden="false" customHeight="true" outlineLevel="0" collapsed="false">
      <c r="A286" s="484" t="str">
        <f aca="false">IF(DITARI!$D290="","",ROW()-1)</f>
        <v/>
      </c>
      <c r="B286" s="485" t="str">
        <f aca="false">IF(DITARI!$D290="","",DITARI!$A290)</f>
        <v/>
      </c>
      <c r="C286" s="484" t="str">
        <f aca="false">IF(DITARI!$D290="","",DITARI!$B290)</f>
        <v/>
      </c>
      <c r="D286" s="484" t="str">
        <f aca="false">IF(DITARI!$D290="","",DITARI!$C290)</f>
        <v/>
      </c>
      <c r="E286" s="484" t="str">
        <f aca="false">IF(DITARI!$D290="","",TRIM(DITARI!$D290&amp;""))</f>
        <v/>
      </c>
      <c r="F286" s="484" t="str">
        <f aca="false">IF($E286="","",IFERROR(VLOOKUP($E286,PLANI_LLOGARIVE!$A:$I,2,FALSE()),DITARI!$E290))</f>
        <v/>
      </c>
      <c r="G286" s="484" t="str">
        <f aca="false">IF($E286="","",DITARI!$I290)</f>
        <v/>
      </c>
      <c r="H286" s="484" t="str">
        <f aca="false">IFERROR(IF($E286="","",DITARI!$H290),"")</f>
        <v/>
      </c>
      <c r="I286" s="487" t="n">
        <f aca="false">IF($E286="",0,IFERROR(DITARI!$F290,0))</f>
        <v>0</v>
      </c>
      <c r="J286" s="487" t="n">
        <f aca="false">IF($E286="",0,IFERROR(DITARI!$G290,0))</f>
        <v>0</v>
      </c>
      <c r="K286" s="484" t="str">
        <f aca="false">IF($E286="","",IFERROR(VLOOKUP($E286,PLANI_LLOGARIVE!$A:$I,9,FALSE()),""))</f>
        <v/>
      </c>
      <c r="L286" s="487" t="str">
        <f aca="false">IF($E286="","",$I286-$J286)</f>
        <v/>
      </c>
      <c r="M286" s="484" t="str">
        <f aca="false">IF($E286="","",IF($I286&gt;0,"DEBIT",IF($J286&gt;0,"KREDIT","ZERO")))</f>
        <v/>
      </c>
      <c r="N286" s="484" t="str">
        <f aca="false">IF($E286="","",TEXT($B286,"yyyymmdd")&amp;"-"&amp;TEXT(ROW(),"0000"))</f>
        <v/>
      </c>
      <c r="O286" s="101" t="str">
        <f aca="false">IF($E286="","",$E286&amp;"")</f>
        <v/>
      </c>
      <c r="P286" s="101" t="str">
        <f aca="false">IF(AND($O286&lt;&gt;"",$I286&lt;&gt;0),COUNTIFS($O$2:O286,$O286,$I$2:I286,"&gt;0"),"")</f>
        <v/>
      </c>
      <c r="Q286" s="101" t="str">
        <f aca="false">IF(AND($O286&lt;&gt;"",$J286&lt;&gt;0),COUNTIFS($O$2:O286,$O286,$J$2:J286,"&gt;0"),"")</f>
        <v/>
      </c>
      <c r="R286" s="101" t="str">
        <f aca="false">IF($P286="","",$O286&amp;"|"&amp;$P286)</f>
        <v/>
      </c>
      <c r="S286" s="101" t="str">
        <f aca="false">IF($Q286="","",$O286&amp;"|"&amp;$Q286)</f>
        <v/>
      </c>
      <c r="T286" s="101" t="str">
        <f aca="false">IF($O286="","",COUNTIF($O$2:O286,$O286))</f>
        <v/>
      </c>
      <c r="U286" s="101" t="str">
        <f aca="false">IF($O286="","",$O286&amp;"|"&amp;$T286)</f>
        <v/>
      </c>
      <c r="V286" s="488" t="n">
        <f aca="false">IF(OR(LEFT($D286,5)="MB-CL",LEFT($D286,6)="MB-RES"),0,$I286)</f>
        <v>0</v>
      </c>
      <c r="W286" s="488" t="n">
        <f aca="false">IF(OR(LEFT($D286,5)="MB-CL",LEFT($D286,6)="MB-RES"),0,$J286)</f>
        <v>0</v>
      </c>
      <c r="X286" s="101" t="str">
        <f aca="false">IF($E286="","",LEFT($E286,1))</f>
        <v/>
      </c>
      <c r="Y286" s="101" t="str">
        <f aca="false">IF($E286="","",LEFT($E286,2))</f>
        <v/>
      </c>
      <c r="Z286" s="101" t="str">
        <f aca="false">IF($E286="","",LEFT($E286,3))</f>
        <v/>
      </c>
      <c r="AA286" s="101" t="str">
        <f aca="false">IF($E286="","",LEFT($E286,4))</f>
        <v/>
      </c>
    </row>
    <row r="287" customFormat="false" ht="15" hidden="false" customHeight="true" outlineLevel="0" collapsed="false">
      <c r="A287" s="484" t="str">
        <f aca="false">IF(DITARI!$D291="","",ROW()-1)</f>
        <v/>
      </c>
      <c r="B287" s="485" t="str">
        <f aca="false">IF(DITARI!$D291="","",DITARI!$A291)</f>
        <v/>
      </c>
      <c r="C287" s="484" t="str">
        <f aca="false">IF(DITARI!$D291="","",DITARI!$B291)</f>
        <v/>
      </c>
      <c r="D287" s="484" t="str">
        <f aca="false">IF(DITARI!$D291="","",DITARI!$C291)</f>
        <v/>
      </c>
      <c r="E287" s="484" t="str">
        <f aca="false">IF(DITARI!$D291="","",TRIM(DITARI!$D291&amp;""))</f>
        <v/>
      </c>
      <c r="F287" s="484" t="str">
        <f aca="false">IF($E287="","",IFERROR(VLOOKUP($E287,PLANI_LLOGARIVE!$A:$I,2,FALSE()),DITARI!$E291))</f>
        <v/>
      </c>
      <c r="G287" s="484" t="str">
        <f aca="false">IF($E287="","",DITARI!$I291)</f>
        <v/>
      </c>
      <c r="H287" s="484" t="str">
        <f aca="false">IFERROR(IF($E287="","",DITARI!$H291),"")</f>
        <v/>
      </c>
      <c r="I287" s="487" t="n">
        <f aca="false">IF($E287="",0,IFERROR(DITARI!$F291,0))</f>
        <v>0</v>
      </c>
      <c r="J287" s="487" t="n">
        <f aca="false">IF($E287="",0,IFERROR(DITARI!$G291,0))</f>
        <v>0</v>
      </c>
      <c r="K287" s="484" t="str">
        <f aca="false">IF($E287="","",IFERROR(VLOOKUP($E287,PLANI_LLOGARIVE!$A:$I,9,FALSE()),""))</f>
        <v/>
      </c>
      <c r="L287" s="487" t="str">
        <f aca="false">IF($E287="","",$I287-$J287)</f>
        <v/>
      </c>
      <c r="M287" s="484" t="str">
        <f aca="false">IF($E287="","",IF($I287&gt;0,"DEBIT",IF($J287&gt;0,"KREDIT","ZERO")))</f>
        <v/>
      </c>
      <c r="N287" s="484" t="str">
        <f aca="false">IF($E287="","",TEXT($B287,"yyyymmdd")&amp;"-"&amp;TEXT(ROW(),"0000"))</f>
        <v/>
      </c>
      <c r="O287" s="101" t="str">
        <f aca="false">IF($E287="","",$E287&amp;"")</f>
        <v/>
      </c>
      <c r="P287" s="101" t="str">
        <f aca="false">IF(AND($O287&lt;&gt;"",$I287&lt;&gt;0),COUNTIFS($O$2:O287,$O287,$I$2:I287,"&gt;0"),"")</f>
        <v/>
      </c>
      <c r="Q287" s="101" t="str">
        <f aca="false">IF(AND($O287&lt;&gt;"",$J287&lt;&gt;0),COUNTIFS($O$2:O287,$O287,$J$2:J287,"&gt;0"),"")</f>
        <v/>
      </c>
      <c r="R287" s="101" t="str">
        <f aca="false">IF($P287="","",$O287&amp;"|"&amp;$P287)</f>
        <v/>
      </c>
      <c r="S287" s="101" t="str">
        <f aca="false">IF($Q287="","",$O287&amp;"|"&amp;$Q287)</f>
        <v/>
      </c>
      <c r="T287" s="101" t="str">
        <f aca="false">IF($O287="","",COUNTIF($O$2:O287,$O287))</f>
        <v/>
      </c>
      <c r="U287" s="101" t="str">
        <f aca="false">IF($O287="","",$O287&amp;"|"&amp;$T287)</f>
        <v/>
      </c>
      <c r="V287" s="488" t="n">
        <f aca="false">IF(OR(LEFT($D287,5)="MB-CL",LEFT($D287,6)="MB-RES"),0,$I287)</f>
        <v>0</v>
      </c>
      <c r="W287" s="488" t="n">
        <f aca="false">IF(OR(LEFT($D287,5)="MB-CL",LEFT($D287,6)="MB-RES"),0,$J287)</f>
        <v>0</v>
      </c>
      <c r="X287" s="101" t="str">
        <f aca="false">IF($E287="","",LEFT($E287,1))</f>
        <v/>
      </c>
      <c r="Y287" s="101" t="str">
        <f aca="false">IF($E287="","",LEFT($E287,2))</f>
        <v/>
      </c>
      <c r="Z287" s="101" t="str">
        <f aca="false">IF($E287="","",LEFT($E287,3))</f>
        <v/>
      </c>
      <c r="AA287" s="101" t="str">
        <f aca="false">IF($E287="","",LEFT($E287,4))</f>
        <v/>
      </c>
    </row>
    <row r="288" customFormat="false" ht="15" hidden="false" customHeight="true" outlineLevel="0" collapsed="false">
      <c r="A288" s="484" t="str">
        <f aca="false">IF(DITARI!$D292="","",ROW()-1)</f>
        <v/>
      </c>
      <c r="B288" s="485" t="str">
        <f aca="false">IF(DITARI!$D292="","",DITARI!$A292)</f>
        <v/>
      </c>
      <c r="C288" s="484" t="str">
        <f aca="false">IF(DITARI!$D292="","",DITARI!$B292)</f>
        <v/>
      </c>
      <c r="D288" s="484" t="str">
        <f aca="false">IF(DITARI!$D292="","",DITARI!$C292)</f>
        <v/>
      </c>
      <c r="E288" s="484" t="str">
        <f aca="false">IF(DITARI!$D292="","",TRIM(DITARI!$D292&amp;""))</f>
        <v/>
      </c>
      <c r="F288" s="484" t="str">
        <f aca="false">IF($E288="","",IFERROR(VLOOKUP($E288,PLANI_LLOGARIVE!$A:$I,2,FALSE()),DITARI!$E292))</f>
        <v/>
      </c>
      <c r="G288" s="484" t="str">
        <f aca="false">IF($E288="","",DITARI!$I292)</f>
        <v/>
      </c>
      <c r="H288" s="484" t="str">
        <f aca="false">IFERROR(IF($E288="","",DITARI!$H292),"")</f>
        <v/>
      </c>
      <c r="I288" s="487" t="n">
        <f aca="false">IF($E288="",0,IFERROR(DITARI!$F292,0))</f>
        <v>0</v>
      </c>
      <c r="J288" s="487" t="n">
        <f aca="false">IF($E288="",0,IFERROR(DITARI!$G292,0))</f>
        <v>0</v>
      </c>
      <c r="K288" s="484" t="str">
        <f aca="false">IF($E288="","",IFERROR(VLOOKUP($E288,PLANI_LLOGARIVE!$A:$I,9,FALSE()),""))</f>
        <v/>
      </c>
      <c r="L288" s="487" t="str">
        <f aca="false">IF($E288="","",$I288-$J288)</f>
        <v/>
      </c>
      <c r="M288" s="484" t="str">
        <f aca="false">IF($E288="","",IF($I288&gt;0,"DEBIT",IF($J288&gt;0,"KREDIT","ZERO")))</f>
        <v/>
      </c>
      <c r="N288" s="484" t="str">
        <f aca="false">IF($E288="","",TEXT($B288,"yyyymmdd")&amp;"-"&amp;TEXT(ROW(),"0000"))</f>
        <v/>
      </c>
      <c r="O288" s="101" t="str">
        <f aca="false">IF($E288="","",$E288&amp;"")</f>
        <v/>
      </c>
      <c r="P288" s="101" t="str">
        <f aca="false">IF(AND($O288&lt;&gt;"",$I288&lt;&gt;0),COUNTIFS($O$2:O288,$O288,$I$2:I288,"&gt;0"),"")</f>
        <v/>
      </c>
      <c r="Q288" s="101" t="str">
        <f aca="false">IF(AND($O288&lt;&gt;"",$J288&lt;&gt;0),COUNTIFS($O$2:O288,$O288,$J$2:J288,"&gt;0"),"")</f>
        <v/>
      </c>
      <c r="R288" s="101" t="str">
        <f aca="false">IF($P288="","",$O288&amp;"|"&amp;$P288)</f>
        <v/>
      </c>
      <c r="S288" s="101" t="str">
        <f aca="false">IF($Q288="","",$O288&amp;"|"&amp;$Q288)</f>
        <v/>
      </c>
      <c r="T288" s="101" t="str">
        <f aca="false">IF($O288="","",COUNTIF($O$2:O288,$O288))</f>
        <v/>
      </c>
      <c r="U288" s="101" t="str">
        <f aca="false">IF($O288="","",$O288&amp;"|"&amp;$T288)</f>
        <v/>
      </c>
      <c r="V288" s="488" t="n">
        <f aca="false">IF(OR(LEFT($D288,5)="MB-CL",LEFT($D288,6)="MB-RES"),0,$I288)</f>
        <v>0</v>
      </c>
      <c r="W288" s="488" t="n">
        <f aca="false">IF(OR(LEFT($D288,5)="MB-CL",LEFT($D288,6)="MB-RES"),0,$J288)</f>
        <v>0</v>
      </c>
      <c r="X288" s="101" t="str">
        <f aca="false">IF($E288="","",LEFT($E288,1))</f>
        <v/>
      </c>
      <c r="Y288" s="101" t="str">
        <f aca="false">IF($E288="","",LEFT($E288,2))</f>
        <v/>
      </c>
      <c r="Z288" s="101" t="str">
        <f aca="false">IF($E288="","",LEFT($E288,3))</f>
        <v/>
      </c>
      <c r="AA288" s="101" t="str">
        <f aca="false">IF($E288="","",LEFT($E288,4))</f>
        <v/>
      </c>
    </row>
    <row r="289" customFormat="false" ht="15" hidden="false" customHeight="true" outlineLevel="0" collapsed="false">
      <c r="A289" s="484" t="str">
        <f aca="false">IF(DITARI!$D293="","",ROW()-1)</f>
        <v/>
      </c>
      <c r="B289" s="485" t="str">
        <f aca="false">IF(DITARI!$D293="","",DITARI!$A293)</f>
        <v/>
      </c>
      <c r="C289" s="484" t="str">
        <f aca="false">IF(DITARI!$D293="","",DITARI!$B293)</f>
        <v/>
      </c>
      <c r="D289" s="484" t="str">
        <f aca="false">IF(DITARI!$D293="","",DITARI!$C293)</f>
        <v/>
      </c>
      <c r="E289" s="484" t="str">
        <f aca="false">IF(DITARI!$D293="","",TRIM(DITARI!$D293&amp;""))</f>
        <v/>
      </c>
      <c r="F289" s="484" t="str">
        <f aca="false">IF($E289="","",IFERROR(VLOOKUP($E289,PLANI_LLOGARIVE!$A:$I,2,FALSE()),DITARI!$E293))</f>
        <v/>
      </c>
      <c r="G289" s="484" t="str">
        <f aca="false">IF($E289="","",DITARI!$I293)</f>
        <v/>
      </c>
      <c r="H289" s="484" t="str">
        <f aca="false">IFERROR(IF($E289="","",DITARI!$H293),"")</f>
        <v/>
      </c>
      <c r="I289" s="487" t="n">
        <f aca="false">IF($E289="",0,IFERROR(DITARI!$F293,0))</f>
        <v>0</v>
      </c>
      <c r="J289" s="487" t="n">
        <f aca="false">IF($E289="",0,IFERROR(DITARI!$G293,0))</f>
        <v>0</v>
      </c>
      <c r="K289" s="484" t="str">
        <f aca="false">IF($E289="","",IFERROR(VLOOKUP($E289,PLANI_LLOGARIVE!$A:$I,9,FALSE()),""))</f>
        <v/>
      </c>
      <c r="L289" s="487" t="str">
        <f aca="false">IF($E289="","",$I289-$J289)</f>
        <v/>
      </c>
      <c r="M289" s="484" t="str">
        <f aca="false">IF($E289="","",IF($I289&gt;0,"DEBIT",IF($J289&gt;0,"KREDIT","ZERO")))</f>
        <v/>
      </c>
      <c r="N289" s="484" t="str">
        <f aca="false">IF($E289="","",TEXT($B289,"yyyymmdd")&amp;"-"&amp;TEXT(ROW(),"0000"))</f>
        <v/>
      </c>
      <c r="O289" s="101" t="str">
        <f aca="false">IF($E289="","",$E289&amp;"")</f>
        <v/>
      </c>
      <c r="P289" s="101" t="str">
        <f aca="false">IF(AND($O289&lt;&gt;"",$I289&lt;&gt;0),COUNTIFS($O$2:O289,$O289,$I$2:I289,"&gt;0"),"")</f>
        <v/>
      </c>
      <c r="Q289" s="101" t="str">
        <f aca="false">IF(AND($O289&lt;&gt;"",$J289&lt;&gt;0),COUNTIFS($O$2:O289,$O289,$J$2:J289,"&gt;0"),"")</f>
        <v/>
      </c>
      <c r="R289" s="101" t="str">
        <f aca="false">IF($P289="","",$O289&amp;"|"&amp;$P289)</f>
        <v/>
      </c>
      <c r="S289" s="101" t="str">
        <f aca="false">IF($Q289="","",$O289&amp;"|"&amp;$Q289)</f>
        <v/>
      </c>
      <c r="T289" s="101" t="str">
        <f aca="false">IF($O289="","",COUNTIF($O$2:O289,$O289))</f>
        <v/>
      </c>
      <c r="U289" s="101" t="str">
        <f aca="false">IF($O289="","",$O289&amp;"|"&amp;$T289)</f>
        <v/>
      </c>
      <c r="V289" s="488" t="n">
        <f aca="false">IF(OR(LEFT($D289,5)="MB-CL",LEFT($D289,6)="MB-RES"),0,$I289)</f>
        <v>0</v>
      </c>
      <c r="W289" s="488" t="n">
        <f aca="false">IF(OR(LEFT($D289,5)="MB-CL",LEFT($D289,6)="MB-RES"),0,$J289)</f>
        <v>0</v>
      </c>
      <c r="X289" s="101" t="str">
        <f aca="false">IF($E289="","",LEFT($E289,1))</f>
        <v/>
      </c>
      <c r="Y289" s="101" t="str">
        <f aca="false">IF($E289="","",LEFT($E289,2))</f>
        <v/>
      </c>
      <c r="Z289" s="101" t="str">
        <f aca="false">IF($E289="","",LEFT($E289,3))</f>
        <v/>
      </c>
      <c r="AA289" s="101" t="str">
        <f aca="false">IF($E289="","",LEFT($E289,4))</f>
        <v/>
      </c>
    </row>
    <row r="290" customFormat="false" ht="15" hidden="false" customHeight="true" outlineLevel="0" collapsed="false">
      <c r="A290" s="484" t="str">
        <f aca="false">IF(DITARI!$D294="","",ROW()-1)</f>
        <v/>
      </c>
      <c r="B290" s="485" t="str">
        <f aca="false">IF(DITARI!$D294="","",DITARI!$A294)</f>
        <v/>
      </c>
      <c r="C290" s="484" t="str">
        <f aca="false">IF(DITARI!$D294="","",DITARI!$B294)</f>
        <v/>
      </c>
      <c r="D290" s="484" t="str">
        <f aca="false">IF(DITARI!$D294="","",DITARI!$C294)</f>
        <v/>
      </c>
      <c r="E290" s="484" t="str">
        <f aca="false">IF(DITARI!$D294="","",TRIM(DITARI!$D294&amp;""))</f>
        <v/>
      </c>
      <c r="F290" s="484" t="str">
        <f aca="false">IF($E290="","",IFERROR(VLOOKUP($E290,PLANI_LLOGARIVE!$A:$I,2,FALSE()),DITARI!$E294))</f>
        <v/>
      </c>
      <c r="G290" s="484" t="str">
        <f aca="false">IF($E290="","",DITARI!$I294)</f>
        <v/>
      </c>
      <c r="H290" s="484" t="str">
        <f aca="false">IFERROR(IF($E290="","",DITARI!$H294),"")</f>
        <v/>
      </c>
      <c r="I290" s="487" t="n">
        <f aca="false">IF($E290="",0,IFERROR(DITARI!$F294,0))</f>
        <v>0</v>
      </c>
      <c r="J290" s="487" t="n">
        <f aca="false">IF($E290="",0,IFERROR(DITARI!$G294,0))</f>
        <v>0</v>
      </c>
      <c r="K290" s="484" t="str">
        <f aca="false">IF($E290="","",IFERROR(VLOOKUP($E290,PLANI_LLOGARIVE!$A:$I,9,FALSE()),""))</f>
        <v/>
      </c>
      <c r="L290" s="487" t="str">
        <f aca="false">IF($E290="","",$I290-$J290)</f>
        <v/>
      </c>
      <c r="M290" s="484" t="str">
        <f aca="false">IF($E290="","",IF($I290&gt;0,"DEBIT",IF($J290&gt;0,"KREDIT","ZERO")))</f>
        <v/>
      </c>
      <c r="N290" s="484" t="str">
        <f aca="false">IF($E290="","",TEXT($B290,"yyyymmdd")&amp;"-"&amp;TEXT(ROW(),"0000"))</f>
        <v/>
      </c>
      <c r="O290" s="101" t="str">
        <f aca="false">IF($E290="","",$E290&amp;"")</f>
        <v/>
      </c>
      <c r="P290" s="101" t="str">
        <f aca="false">IF(AND($O290&lt;&gt;"",$I290&lt;&gt;0),COUNTIFS($O$2:O290,$O290,$I$2:I290,"&gt;0"),"")</f>
        <v/>
      </c>
      <c r="Q290" s="101" t="str">
        <f aca="false">IF(AND($O290&lt;&gt;"",$J290&lt;&gt;0),COUNTIFS($O$2:O290,$O290,$J$2:J290,"&gt;0"),"")</f>
        <v/>
      </c>
      <c r="R290" s="101" t="str">
        <f aca="false">IF($P290="","",$O290&amp;"|"&amp;$P290)</f>
        <v/>
      </c>
      <c r="S290" s="101" t="str">
        <f aca="false">IF($Q290="","",$O290&amp;"|"&amp;$Q290)</f>
        <v/>
      </c>
      <c r="T290" s="101" t="str">
        <f aca="false">IF($O290="","",COUNTIF($O$2:O290,$O290))</f>
        <v/>
      </c>
      <c r="U290" s="101" t="str">
        <f aca="false">IF($O290="","",$O290&amp;"|"&amp;$T290)</f>
        <v/>
      </c>
      <c r="V290" s="488" t="n">
        <f aca="false">IF(OR(LEFT($D290,5)="MB-CL",LEFT($D290,6)="MB-RES"),0,$I290)</f>
        <v>0</v>
      </c>
      <c r="W290" s="488" t="n">
        <f aca="false">IF(OR(LEFT($D290,5)="MB-CL",LEFT($D290,6)="MB-RES"),0,$J290)</f>
        <v>0</v>
      </c>
      <c r="X290" s="101" t="str">
        <f aca="false">IF($E290="","",LEFT($E290,1))</f>
        <v/>
      </c>
      <c r="Y290" s="101" t="str">
        <f aca="false">IF($E290="","",LEFT($E290,2))</f>
        <v/>
      </c>
      <c r="Z290" s="101" t="str">
        <f aca="false">IF($E290="","",LEFT($E290,3))</f>
        <v/>
      </c>
      <c r="AA290" s="101" t="str">
        <f aca="false">IF($E290="","",LEFT($E290,4))</f>
        <v/>
      </c>
    </row>
    <row r="291" customFormat="false" ht="15" hidden="false" customHeight="true" outlineLevel="0" collapsed="false">
      <c r="A291" s="484" t="str">
        <f aca="false">IF(DITARI!$D295="","",ROW()-1)</f>
        <v/>
      </c>
      <c r="B291" s="485" t="str">
        <f aca="false">IF(DITARI!$D295="","",DITARI!$A295)</f>
        <v/>
      </c>
      <c r="C291" s="484" t="str">
        <f aca="false">IF(DITARI!$D295="","",DITARI!$B295)</f>
        <v/>
      </c>
      <c r="D291" s="484" t="str">
        <f aca="false">IF(DITARI!$D295="","",DITARI!$C295)</f>
        <v/>
      </c>
      <c r="E291" s="484" t="str">
        <f aca="false">IF(DITARI!$D295="","",TRIM(DITARI!$D295&amp;""))</f>
        <v/>
      </c>
      <c r="F291" s="484" t="str">
        <f aca="false">IF($E291="","",IFERROR(VLOOKUP($E291,PLANI_LLOGARIVE!$A:$I,2,FALSE()),DITARI!$E295))</f>
        <v/>
      </c>
      <c r="G291" s="484" t="str">
        <f aca="false">IF($E291="","",DITARI!$I295)</f>
        <v/>
      </c>
      <c r="H291" s="484" t="str">
        <f aca="false">IFERROR(IF($E291="","",DITARI!$H295),"")</f>
        <v/>
      </c>
      <c r="I291" s="487" t="n">
        <f aca="false">IF($E291="",0,IFERROR(DITARI!$F295,0))</f>
        <v>0</v>
      </c>
      <c r="J291" s="487" t="n">
        <f aca="false">IF($E291="",0,IFERROR(DITARI!$G295,0))</f>
        <v>0</v>
      </c>
      <c r="K291" s="484" t="str">
        <f aca="false">IF($E291="","",IFERROR(VLOOKUP($E291,PLANI_LLOGARIVE!$A:$I,9,FALSE()),""))</f>
        <v/>
      </c>
      <c r="L291" s="487" t="str">
        <f aca="false">IF($E291="","",$I291-$J291)</f>
        <v/>
      </c>
      <c r="M291" s="484" t="str">
        <f aca="false">IF($E291="","",IF($I291&gt;0,"DEBIT",IF($J291&gt;0,"KREDIT","ZERO")))</f>
        <v/>
      </c>
      <c r="N291" s="484" t="str">
        <f aca="false">IF($E291="","",TEXT($B291,"yyyymmdd")&amp;"-"&amp;TEXT(ROW(),"0000"))</f>
        <v/>
      </c>
      <c r="O291" s="101" t="str">
        <f aca="false">IF($E291="","",$E291&amp;"")</f>
        <v/>
      </c>
      <c r="P291" s="101" t="str">
        <f aca="false">IF(AND($O291&lt;&gt;"",$I291&lt;&gt;0),COUNTIFS($O$2:O291,$O291,$I$2:I291,"&gt;0"),"")</f>
        <v/>
      </c>
      <c r="Q291" s="101" t="str">
        <f aca="false">IF(AND($O291&lt;&gt;"",$J291&lt;&gt;0),COUNTIFS($O$2:O291,$O291,$J$2:J291,"&gt;0"),"")</f>
        <v/>
      </c>
      <c r="R291" s="101" t="str">
        <f aca="false">IF($P291="","",$O291&amp;"|"&amp;$P291)</f>
        <v/>
      </c>
      <c r="S291" s="101" t="str">
        <f aca="false">IF($Q291="","",$O291&amp;"|"&amp;$Q291)</f>
        <v/>
      </c>
      <c r="T291" s="101" t="str">
        <f aca="false">IF($O291="","",COUNTIF($O$2:O291,$O291))</f>
        <v/>
      </c>
      <c r="U291" s="101" t="str">
        <f aca="false">IF($O291="","",$O291&amp;"|"&amp;$T291)</f>
        <v/>
      </c>
      <c r="V291" s="488" t="n">
        <f aca="false">IF(OR(LEFT($D291,5)="MB-CL",LEFT($D291,6)="MB-RES"),0,$I291)</f>
        <v>0</v>
      </c>
      <c r="W291" s="488" t="n">
        <f aca="false">IF(OR(LEFT($D291,5)="MB-CL",LEFT($D291,6)="MB-RES"),0,$J291)</f>
        <v>0</v>
      </c>
      <c r="X291" s="101" t="str">
        <f aca="false">IF($E291="","",LEFT($E291,1))</f>
        <v/>
      </c>
      <c r="Y291" s="101" t="str">
        <f aca="false">IF($E291="","",LEFT($E291,2))</f>
        <v/>
      </c>
      <c r="Z291" s="101" t="str">
        <f aca="false">IF($E291="","",LEFT($E291,3))</f>
        <v/>
      </c>
      <c r="AA291" s="101" t="str">
        <f aca="false">IF($E291="","",LEFT($E291,4))</f>
        <v/>
      </c>
    </row>
    <row r="292" customFormat="false" ht="15" hidden="false" customHeight="true" outlineLevel="0" collapsed="false">
      <c r="A292" s="484" t="str">
        <f aca="false">IF(DITARI!$D296="","",ROW()-1)</f>
        <v/>
      </c>
      <c r="B292" s="485" t="str">
        <f aca="false">IF(DITARI!$D296="","",DITARI!$A296)</f>
        <v/>
      </c>
      <c r="C292" s="484" t="str">
        <f aca="false">IF(DITARI!$D296="","",DITARI!$B296)</f>
        <v/>
      </c>
      <c r="D292" s="484" t="str">
        <f aca="false">IF(DITARI!$D296="","",DITARI!$C296)</f>
        <v/>
      </c>
      <c r="E292" s="484" t="str">
        <f aca="false">IF(DITARI!$D296="","",TRIM(DITARI!$D296&amp;""))</f>
        <v/>
      </c>
      <c r="F292" s="484" t="str">
        <f aca="false">IF($E292="","",IFERROR(VLOOKUP($E292,PLANI_LLOGARIVE!$A:$I,2,FALSE()),DITARI!$E296))</f>
        <v/>
      </c>
      <c r="G292" s="484" t="str">
        <f aca="false">IF($E292="","",DITARI!$I296)</f>
        <v/>
      </c>
      <c r="H292" s="484" t="str">
        <f aca="false">IFERROR(IF($E292="","",DITARI!$H296),"")</f>
        <v/>
      </c>
      <c r="I292" s="487" t="n">
        <f aca="false">IF($E292="",0,IFERROR(DITARI!$F296,0))</f>
        <v>0</v>
      </c>
      <c r="J292" s="487" t="n">
        <f aca="false">IF($E292="",0,IFERROR(DITARI!$G296,0))</f>
        <v>0</v>
      </c>
      <c r="K292" s="484" t="str">
        <f aca="false">IF($E292="","",IFERROR(VLOOKUP($E292,PLANI_LLOGARIVE!$A:$I,9,FALSE()),""))</f>
        <v/>
      </c>
      <c r="L292" s="487" t="str">
        <f aca="false">IF($E292="","",$I292-$J292)</f>
        <v/>
      </c>
      <c r="M292" s="484" t="str">
        <f aca="false">IF($E292="","",IF($I292&gt;0,"DEBIT",IF($J292&gt;0,"KREDIT","ZERO")))</f>
        <v/>
      </c>
      <c r="N292" s="484" t="str">
        <f aca="false">IF($E292="","",TEXT($B292,"yyyymmdd")&amp;"-"&amp;TEXT(ROW(),"0000"))</f>
        <v/>
      </c>
      <c r="O292" s="101" t="str">
        <f aca="false">IF($E292="","",$E292&amp;"")</f>
        <v/>
      </c>
      <c r="P292" s="101" t="str">
        <f aca="false">IF(AND($O292&lt;&gt;"",$I292&lt;&gt;0),COUNTIFS($O$2:O292,$O292,$I$2:I292,"&gt;0"),"")</f>
        <v/>
      </c>
      <c r="Q292" s="101" t="str">
        <f aca="false">IF(AND($O292&lt;&gt;"",$J292&lt;&gt;0),COUNTIFS($O$2:O292,$O292,$J$2:J292,"&gt;0"),"")</f>
        <v/>
      </c>
      <c r="R292" s="101" t="str">
        <f aca="false">IF($P292="","",$O292&amp;"|"&amp;$P292)</f>
        <v/>
      </c>
      <c r="S292" s="101" t="str">
        <f aca="false">IF($Q292="","",$O292&amp;"|"&amp;$Q292)</f>
        <v/>
      </c>
      <c r="T292" s="101" t="str">
        <f aca="false">IF($O292="","",COUNTIF($O$2:O292,$O292))</f>
        <v/>
      </c>
      <c r="U292" s="101" t="str">
        <f aca="false">IF($O292="","",$O292&amp;"|"&amp;$T292)</f>
        <v/>
      </c>
      <c r="V292" s="488" t="n">
        <f aca="false">IF(OR(LEFT($D292,5)="MB-CL",LEFT($D292,6)="MB-RES"),0,$I292)</f>
        <v>0</v>
      </c>
      <c r="W292" s="488" t="n">
        <f aca="false">IF(OR(LEFT($D292,5)="MB-CL",LEFT($D292,6)="MB-RES"),0,$J292)</f>
        <v>0</v>
      </c>
      <c r="X292" s="101" t="str">
        <f aca="false">IF($E292="","",LEFT($E292,1))</f>
        <v/>
      </c>
      <c r="Y292" s="101" t="str">
        <f aca="false">IF($E292="","",LEFT($E292,2))</f>
        <v/>
      </c>
      <c r="Z292" s="101" t="str">
        <f aca="false">IF($E292="","",LEFT($E292,3))</f>
        <v/>
      </c>
      <c r="AA292" s="101" t="str">
        <f aca="false">IF($E292="","",LEFT($E292,4))</f>
        <v/>
      </c>
    </row>
    <row r="293" customFormat="false" ht="15" hidden="false" customHeight="true" outlineLevel="0" collapsed="false">
      <c r="A293" s="484" t="str">
        <f aca="false">IF(DITARI!$D297="","",ROW()-1)</f>
        <v/>
      </c>
      <c r="B293" s="485" t="str">
        <f aca="false">IF(DITARI!$D297="","",DITARI!$A297)</f>
        <v/>
      </c>
      <c r="C293" s="484" t="str">
        <f aca="false">IF(DITARI!$D297="","",DITARI!$B297)</f>
        <v/>
      </c>
      <c r="D293" s="484" t="str">
        <f aca="false">IF(DITARI!$D297="","",DITARI!$C297)</f>
        <v/>
      </c>
      <c r="E293" s="484" t="str">
        <f aca="false">IF(DITARI!$D297="","",TRIM(DITARI!$D297&amp;""))</f>
        <v/>
      </c>
      <c r="F293" s="484" t="str">
        <f aca="false">IF($E293="","",IFERROR(VLOOKUP($E293,PLANI_LLOGARIVE!$A:$I,2,FALSE()),DITARI!$E297))</f>
        <v/>
      </c>
      <c r="G293" s="484" t="str">
        <f aca="false">IF($E293="","",DITARI!$I297)</f>
        <v/>
      </c>
      <c r="H293" s="484" t="str">
        <f aca="false">IFERROR(IF($E293="","",DITARI!$H297),"")</f>
        <v/>
      </c>
      <c r="I293" s="487" t="n">
        <f aca="false">IF($E293="",0,IFERROR(DITARI!$F297,0))</f>
        <v>0</v>
      </c>
      <c r="J293" s="487" t="n">
        <f aca="false">IF($E293="",0,IFERROR(DITARI!$G297,0))</f>
        <v>0</v>
      </c>
      <c r="K293" s="484" t="str">
        <f aca="false">IF($E293="","",IFERROR(VLOOKUP($E293,PLANI_LLOGARIVE!$A:$I,9,FALSE()),""))</f>
        <v/>
      </c>
      <c r="L293" s="487" t="str">
        <f aca="false">IF($E293="","",$I293-$J293)</f>
        <v/>
      </c>
      <c r="M293" s="484" t="str">
        <f aca="false">IF($E293="","",IF($I293&gt;0,"DEBIT",IF($J293&gt;0,"KREDIT","ZERO")))</f>
        <v/>
      </c>
      <c r="N293" s="484" t="str">
        <f aca="false">IF($E293="","",TEXT($B293,"yyyymmdd")&amp;"-"&amp;TEXT(ROW(),"0000"))</f>
        <v/>
      </c>
      <c r="O293" s="101" t="str">
        <f aca="false">IF($E293="","",$E293&amp;"")</f>
        <v/>
      </c>
      <c r="P293" s="101" t="str">
        <f aca="false">IF(AND($O293&lt;&gt;"",$I293&lt;&gt;0),COUNTIFS($O$2:O293,$O293,$I$2:I293,"&gt;0"),"")</f>
        <v/>
      </c>
      <c r="Q293" s="101" t="str">
        <f aca="false">IF(AND($O293&lt;&gt;"",$J293&lt;&gt;0),COUNTIFS($O$2:O293,$O293,$J$2:J293,"&gt;0"),"")</f>
        <v/>
      </c>
      <c r="R293" s="101" t="str">
        <f aca="false">IF($P293="","",$O293&amp;"|"&amp;$P293)</f>
        <v/>
      </c>
      <c r="S293" s="101" t="str">
        <f aca="false">IF($Q293="","",$O293&amp;"|"&amp;$Q293)</f>
        <v/>
      </c>
      <c r="T293" s="101" t="str">
        <f aca="false">IF($O293="","",COUNTIF($O$2:O293,$O293))</f>
        <v/>
      </c>
      <c r="U293" s="101" t="str">
        <f aca="false">IF($O293="","",$O293&amp;"|"&amp;$T293)</f>
        <v/>
      </c>
      <c r="V293" s="488" t="n">
        <f aca="false">IF(OR(LEFT($D293,5)="MB-CL",LEFT($D293,6)="MB-RES"),0,$I293)</f>
        <v>0</v>
      </c>
      <c r="W293" s="488" t="n">
        <f aca="false">IF(OR(LEFT($D293,5)="MB-CL",LEFT($D293,6)="MB-RES"),0,$J293)</f>
        <v>0</v>
      </c>
      <c r="X293" s="101" t="str">
        <f aca="false">IF($E293="","",LEFT($E293,1))</f>
        <v/>
      </c>
      <c r="Y293" s="101" t="str">
        <f aca="false">IF($E293="","",LEFT($E293,2))</f>
        <v/>
      </c>
      <c r="Z293" s="101" t="str">
        <f aca="false">IF($E293="","",LEFT($E293,3))</f>
        <v/>
      </c>
      <c r="AA293" s="101" t="str">
        <f aca="false">IF($E293="","",LEFT($E293,4))</f>
        <v/>
      </c>
    </row>
    <row r="294" customFormat="false" ht="15" hidden="false" customHeight="true" outlineLevel="0" collapsed="false">
      <c r="A294" s="484" t="str">
        <f aca="false">IF(DITARI!$D298="","",ROW()-1)</f>
        <v/>
      </c>
      <c r="B294" s="485" t="str">
        <f aca="false">IF(DITARI!$D298="","",DITARI!$A298)</f>
        <v/>
      </c>
      <c r="C294" s="484" t="str">
        <f aca="false">IF(DITARI!$D298="","",DITARI!$B298)</f>
        <v/>
      </c>
      <c r="D294" s="484" t="str">
        <f aca="false">IF(DITARI!$D298="","",DITARI!$C298)</f>
        <v/>
      </c>
      <c r="E294" s="484" t="str">
        <f aca="false">IF(DITARI!$D298="","",TRIM(DITARI!$D298&amp;""))</f>
        <v/>
      </c>
      <c r="F294" s="484" t="str">
        <f aca="false">IF($E294="","",IFERROR(VLOOKUP($E294,PLANI_LLOGARIVE!$A:$I,2,FALSE()),DITARI!$E298))</f>
        <v/>
      </c>
      <c r="G294" s="484" t="str">
        <f aca="false">IF($E294="","",DITARI!$I298)</f>
        <v/>
      </c>
      <c r="H294" s="484" t="str">
        <f aca="false">IFERROR(IF($E294="","",DITARI!$H298),"")</f>
        <v/>
      </c>
      <c r="I294" s="487" t="n">
        <f aca="false">IF($E294="",0,IFERROR(DITARI!$F298,0))</f>
        <v>0</v>
      </c>
      <c r="J294" s="487" t="n">
        <f aca="false">IF($E294="",0,IFERROR(DITARI!$G298,0))</f>
        <v>0</v>
      </c>
      <c r="K294" s="484" t="str">
        <f aca="false">IF($E294="","",IFERROR(VLOOKUP($E294,PLANI_LLOGARIVE!$A:$I,9,FALSE()),""))</f>
        <v/>
      </c>
      <c r="L294" s="487" t="str">
        <f aca="false">IF($E294="","",$I294-$J294)</f>
        <v/>
      </c>
      <c r="M294" s="484" t="str">
        <f aca="false">IF($E294="","",IF($I294&gt;0,"DEBIT",IF($J294&gt;0,"KREDIT","ZERO")))</f>
        <v/>
      </c>
      <c r="N294" s="484" t="str">
        <f aca="false">IF($E294="","",TEXT($B294,"yyyymmdd")&amp;"-"&amp;TEXT(ROW(),"0000"))</f>
        <v/>
      </c>
      <c r="O294" s="101" t="str">
        <f aca="false">IF($E294="","",$E294&amp;"")</f>
        <v/>
      </c>
      <c r="P294" s="101" t="str">
        <f aca="false">IF(AND($O294&lt;&gt;"",$I294&lt;&gt;0),COUNTIFS($O$2:O294,$O294,$I$2:I294,"&gt;0"),"")</f>
        <v/>
      </c>
      <c r="Q294" s="101" t="str">
        <f aca="false">IF(AND($O294&lt;&gt;"",$J294&lt;&gt;0),COUNTIFS($O$2:O294,$O294,$J$2:J294,"&gt;0"),"")</f>
        <v/>
      </c>
      <c r="R294" s="101" t="str">
        <f aca="false">IF($P294="","",$O294&amp;"|"&amp;$P294)</f>
        <v/>
      </c>
      <c r="S294" s="101" t="str">
        <f aca="false">IF($Q294="","",$O294&amp;"|"&amp;$Q294)</f>
        <v/>
      </c>
      <c r="T294" s="101" t="str">
        <f aca="false">IF($O294="","",COUNTIF($O$2:O294,$O294))</f>
        <v/>
      </c>
      <c r="U294" s="101" t="str">
        <f aca="false">IF($O294="","",$O294&amp;"|"&amp;$T294)</f>
        <v/>
      </c>
      <c r="V294" s="488" t="n">
        <f aca="false">IF(OR(LEFT($D294,5)="MB-CL",LEFT($D294,6)="MB-RES"),0,$I294)</f>
        <v>0</v>
      </c>
      <c r="W294" s="488" t="n">
        <f aca="false">IF(OR(LEFT($D294,5)="MB-CL",LEFT($D294,6)="MB-RES"),0,$J294)</f>
        <v>0</v>
      </c>
      <c r="X294" s="101" t="str">
        <f aca="false">IF($E294="","",LEFT($E294,1))</f>
        <v/>
      </c>
      <c r="Y294" s="101" t="str">
        <f aca="false">IF($E294="","",LEFT($E294,2))</f>
        <v/>
      </c>
      <c r="Z294" s="101" t="str">
        <f aca="false">IF($E294="","",LEFT($E294,3))</f>
        <v/>
      </c>
      <c r="AA294" s="101" t="str">
        <f aca="false">IF($E294="","",LEFT($E294,4))</f>
        <v/>
      </c>
    </row>
    <row r="295" customFormat="false" ht="15" hidden="false" customHeight="true" outlineLevel="0" collapsed="false">
      <c r="A295" s="484" t="str">
        <f aca="false">IF(DITARI!$D299="","",ROW()-1)</f>
        <v/>
      </c>
      <c r="B295" s="485" t="str">
        <f aca="false">IF(DITARI!$D299="","",DITARI!$A299)</f>
        <v/>
      </c>
      <c r="C295" s="484" t="str">
        <f aca="false">IF(DITARI!$D299="","",DITARI!$B299)</f>
        <v/>
      </c>
      <c r="D295" s="484" t="str">
        <f aca="false">IF(DITARI!$D299="","",DITARI!$C299)</f>
        <v/>
      </c>
      <c r="E295" s="484" t="str">
        <f aca="false">IF(DITARI!$D299="","",TRIM(DITARI!$D299&amp;""))</f>
        <v/>
      </c>
      <c r="F295" s="484" t="str">
        <f aca="false">IF($E295="","",IFERROR(VLOOKUP($E295,PLANI_LLOGARIVE!$A:$I,2,FALSE()),DITARI!$E299))</f>
        <v/>
      </c>
      <c r="G295" s="484" t="str">
        <f aca="false">IF($E295="","",DITARI!$I299)</f>
        <v/>
      </c>
      <c r="H295" s="484" t="str">
        <f aca="false">IFERROR(IF($E295="","",DITARI!$H299),"")</f>
        <v/>
      </c>
      <c r="I295" s="487" t="n">
        <f aca="false">IF($E295="",0,IFERROR(DITARI!$F299,0))</f>
        <v>0</v>
      </c>
      <c r="J295" s="487" t="n">
        <f aca="false">IF($E295="",0,IFERROR(DITARI!$G299,0))</f>
        <v>0</v>
      </c>
      <c r="K295" s="484" t="str">
        <f aca="false">IF($E295="","",IFERROR(VLOOKUP($E295,PLANI_LLOGARIVE!$A:$I,9,FALSE()),""))</f>
        <v/>
      </c>
      <c r="L295" s="487" t="str">
        <f aca="false">IF($E295="","",$I295-$J295)</f>
        <v/>
      </c>
      <c r="M295" s="484" t="str">
        <f aca="false">IF($E295="","",IF($I295&gt;0,"DEBIT",IF($J295&gt;0,"KREDIT","ZERO")))</f>
        <v/>
      </c>
      <c r="N295" s="484" t="str">
        <f aca="false">IF($E295="","",TEXT($B295,"yyyymmdd")&amp;"-"&amp;TEXT(ROW(),"0000"))</f>
        <v/>
      </c>
      <c r="O295" s="101" t="str">
        <f aca="false">IF($E295="","",$E295&amp;"")</f>
        <v/>
      </c>
      <c r="P295" s="101" t="str">
        <f aca="false">IF(AND($O295&lt;&gt;"",$I295&lt;&gt;0),COUNTIFS($O$2:O295,$O295,$I$2:I295,"&gt;0"),"")</f>
        <v/>
      </c>
      <c r="Q295" s="101" t="str">
        <f aca="false">IF(AND($O295&lt;&gt;"",$J295&lt;&gt;0),COUNTIFS($O$2:O295,$O295,$J$2:J295,"&gt;0"),"")</f>
        <v/>
      </c>
      <c r="R295" s="101" t="str">
        <f aca="false">IF($P295="","",$O295&amp;"|"&amp;$P295)</f>
        <v/>
      </c>
      <c r="S295" s="101" t="str">
        <f aca="false">IF($Q295="","",$O295&amp;"|"&amp;$Q295)</f>
        <v/>
      </c>
      <c r="T295" s="101" t="str">
        <f aca="false">IF($O295="","",COUNTIF($O$2:O295,$O295))</f>
        <v/>
      </c>
      <c r="U295" s="101" t="str">
        <f aca="false">IF($O295="","",$O295&amp;"|"&amp;$T295)</f>
        <v/>
      </c>
      <c r="V295" s="488" t="n">
        <f aca="false">IF(OR(LEFT($D295,5)="MB-CL",LEFT($D295,6)="MB-RES"),0,$I295)</f>
        <v>0</v>
      </c>
      <c r="W295" s="488" t="n">
        <f aca="false">IF(OR(LEFT($D295,5)="MB-CL",LEFT($D295,6)="MB-RES"),0,$J295)</f>
        <v>0</v>
      </c>
      <c r="X295" s="101" t="str">
        <f aca="false">IF($E295="","",LEFT($E295,1))</f>
        <v/>
      </c>
      <c r="Y295" s="101" t="str">
        <f aca="false">IF($E295="","",LEFT($E295,2))</f>
        <v/>
      </c>
      <c r="Z295" s="101" t="str">
        <f aca="false">IF($E295="","",LEFT($E295,3))</f>
        <v/>
      </c>
      <c r="AA295" s="101" t="str">
        <f aca="false">IF($E295="","",LEFT($E295,4))</f>
        <v/>
      </c>
    </row>
    <row r="296" customFormat="false" ht="15" hidden="false" customHeight="true" outlineLevel="0" collapsed="false">
      <c r="A296" s="484" t="str">
        <f aca="false">IF(DITARI!$D300="","",ROW()-1)</f>
        <v/>
      </c>
      <c r="B296" s="485" t="str">
        <f aca="false">IF(DITARI!$D300="","",DITARI!$A300)</f>
        <v/>
      </c>
      <c r="C296" s="484" t="str">
        <f aca="false">IF(DITARI!$D300="","",DITARI!$B300)</f>
        <v/>
      </c>
      <c r="D296" s="484" t="str">
        <f aca="false">IF(DITARI!$D300="","",DITARI!$C300)</f>
        <v/>
      </c>
      <c r="E296" s="484" t="str">
        <f aca="false">IF(DITARI!$D300="","",TRIM(DITARI!$D300&amp;""))</f>
        <v/>
      </c>
      <c r="F296" s="484" t="str">
        <f aca="false">IF($E296="","",IFERROR(VLOOKUP($E296,PLANI_LLOGARIVE!$A:$I,2,FALSE()),DITARI!$E300))</f>
        <v/>
      </c>
      <c r="G296" s="484" t="str">
        <f aca="false">IF($E296="","",DITARI!$I300)</f>
        <v/>
      </c>
      <c r="H296" s="484" t="str">
        <f aca="false">IFERROR(IF($E296="","",DITARI!$H300),"")</f>
        <v/>
      </c>
      <c r="I296" s="487" t="n">
        <f aca="false">IF($E296="",0,IFERROR(DITARI!$F300,0))</f>
        <v>0</v>
      </c>
      <c r="J296" s="487" t="n">
        <f aca="false">IF($E296="",0,IFERROR(DITARI!$G300,0))</f>
        <v>0</v>
      </c>
      <c r="K296" s="484" t="str">
        <f aca="false">IF($E296="","",IFERROR(VLOOKUP($E296,PLANI_LLOGARIVE!$A:$I,9,FALSE()),""))</f>
        <v/>
      </c>
      <c r="L296" s="487" t="str">
        <f aca="false">IF($E296="","",$I296-$J296)</f>
        <v/>
      </c>
      <c r="M296" s="484" t="str">
        <f aca="false">IF($E296="","",IF($I296&gt;0,"DEBIT",IF($J296&gt;0,"KREDIT","ZERO")))</f>
        <v/>
      </c>
      <c r="N296" s="484" t="str">
        <f aca="false">IF($E296="","",TEXT($B296,"yyyymmdd")&amp;"-"&amp;TEXT(ROW(),"0000"))</f>
        <v/>
      </c>
      <c r="O296" s="101" t="str">
        <f aca="false">IF($E296="","",$E296&amp;"")</f>
        <v/>
      </c>
      <c r="P296" s="101" t="str">
        <f aca="false">IF(AND($O296&lt;&gt;"",$I296&lt;&gt;0),COUNTIFS($O$2:O296,$O296,$I$2:I296,"&gt;0"),"")</f>
        <v/>
      </c>
      <c r="Q296" s="101" t="str">
        <f aca="false">IF(AND($O296&lt;&gt;"",$J296&lt;&gt;0),COUNTIFS($O$2:O296,$O296,$J$2:J296,"&gt;0"),"")</f>
        <v/>
      </c>
      <c r="R296" s="101" t="str">
        <f aca="false">IF($P296="","",$O296&amp;"|"&amp;$P296)</f>
        <v/>
      </c>
      <c r="S296" s="101" t="str">
        <f aca="false">IF($Q296="","",$O296&amp;"|"&amp;$Q296)</f>
        <v/>
      </c>
      <c r="T296" s="101" t="str">
        <f aca="false">IF($O296="","",COUNTIF($O$2:O296,$O296))</f>
        <v/>
      </c>
      <c r="U296" s="101" t="str">
        <f aca="false">IF($O296="","",$O296&amp;"|"&amp;$T296)</f>
        <v/>
      </c>
      <c r="V296" s="488" t="n">
        <f aca="false">IF(OR(LEFT($D296,5)="MB-CL",LEFT($D296,6)="MB-RES"),0,$I296)</f>
        <v>0</v>
      </c>
      <c r="W296" s="488" t="n">
        <f aca="false">IF(OR(LEFT($D296,5)="MB-CL",LEFT($D296,6)="MB-RES"),0,$J296)</f>
        <v>0</v>
      </c>
      <c r="X296" s="101" t="str">
        <f aca="false">IF($E296="","",LEFT($E296,1))</f>
        <v/>
      </c>
      <c r="Y296" s="101" t="str">
        <f aca="false">IF($E296="","",LEFT($E296,2))</f>
        <v/>
      </c>
      <c r="Z296" s="101" t="str">
        <f aca="false">IF($E296="","",LEFT($E296,3))</f>
        <v/>
      </c>
      <c r="AA296" s="101" t="str">
        <f aca="false">IF($E296="","",LEFT($E296,4))</f>
        <v/>
      </c>
    </row>
    <row r="297" customFormat="false" ht="15" hidden="false" customHeight="true" outlineLevel="0" collapsed="false">
      <c r="A297" s="484" t="str">
        <f aca="false">IF(DITARI!$D301="","",ROW()-1)</f>
        <v/>
      </c>
      <c r="B297" s="485" t="str">
        <f aca="false">IF(DITARI!$D301="","",DITARI!$A301)</f>
        <v/>
      </c>
      <c r="C297" s="484" t="str">
        <f aca="false">IF(DITARI!$D301="","",DITARI!$B301)</f>
        <v/>
      </c>
      <c r="D297" s="484" t="str">
        <f aca="false">IF(DITARI!$D301="","",DITARI!$C301)</f>
        <v/>
      </c>
      <c r="E297" s="484" t="str">
        <f aca="false">IF(DITARI!$D301="","",TRIM(DITARI!$D301&amp;""))</f>
        <v/>
      </c>
      <c r="F297" s="484" t="str">
        <f aca="false">IF($E297="","",IFERROR(VLOOKUP($E297,PLANI_LLOGARIVE!$A:$I,2,FALSE()),DITARI!$E301))</f>
        <v/>
      </c>
      <c r="G297" s="484" t="str">
        <f aca="false">IF($E297="","",DITARI!$I301)</f>
        <v/>
      </c>
      <c r="H297" s="484" t="str">
        <f aca="false">IFERROR(IF($E297="","",DITARI!$H301),"")</f>
        <v/>
      </c>
      <c r="I297" s="487" t="n">
        <f aca="false">IF($E297="",0,IFERROR(DITARI!$F301,0))</f>
        <v>0</v>
      </c>
      <c r="J297" s="487" t="n">
        <f aca="false">IF($E297="",0,IFERROR(DITARI!$G301,0))</f>
        <v>0</v>
      </c>
      <c r="K297" s="484" t="str">
        <f aca="false">IF($E297="","",IFERROR(VLOOKUP($E297,PLANI_LLOGARIVE!$A:$I,9,FALSE()),""))</f>
        <v/>
      </c>
      <c r="L297" s="487" t="str">
        <f aca="false">IF($E297="","",$I297-$J297)</f>
        <v/>
      </c>
      <c r="M297" s="484" t="str">
        <f aca="false">IF($E297="","",IF($I297&gt;0,"DEBIT",IF($J297&gt;0,"KREDIT","ZERO")))</f>
        <v/>
      </c>
      <c r="N297" s="484" t="str">
        <f aca="false">IF($E297="","",TEXT($B297,"yyyymmdd")&amp;"-"&amp;TEXT(ROW(),"0000"))</f>
        <v/>
      </c>
      <c r="O297" s="101" t="str">
        <f aca="false">IF($E297="","",$E297&amp;"")</f>
        <v/>
      </c>
      <c r="P297" s="101" t="str">
        <f aca="false">IF(AND($O297&lt;&gt;"",$I297&lt;&gt;0),COUNTIFS($O$2:O297,$O297,$I$2:I297,"&gt;0"),"")</f>
        <v/>
      </c>
      <c r="Q297" s="101" t="str">
        <f aca="false">IF(AND($O297&lt;&gt;"",$J297&lt;&gt;0),COUNTIFS($O$2:O297,$O297,$J$2:J297,"&gt;0"),"")</f>
        <v/>
      </c>
      <c r="R297" s="101" t="str">
        <f aca="false">IF($P297="","",$O297&amp;"|"&amp;$P297)</f>
        <v/>
      </c>
      <c r="S297" s="101" t="str">
        <f aca="false">IF($Q297="","",$O297&amp;"|"&amp;$Q297)</f>
        <v/>
      </c>
      <c r="T297" s="101" t="str">
        <f aca="false">IF($O297="","",COUNTIF($O$2:O297,$O297))</f>
        <v/>
      </c>
      <c r="U297" s="101" t="str">
        <f aca="false">IF($O297="","",$O297&amp;"|"&amp;$T297)</f>
        <v/>
      </c>
      <c r="V297" s="488" t="n">
        <f aca="false">IF(OR(LEFT($D297,5)="MB-CL",LEFT($D297,6)="MB-RES"),0,$I297)</f>
        <v>0</v>
      </c>
      <c r="W297" s="488" t="n">
        <f aca="false">IF(OR(LEFT($D297,5)="MB-CL",LEFT($D297,6)="MB-RES"),0,$J297)</f>
        <v>0</v>
      </c>
      <c r="X297" s="101" t="str">
        <f aca="false">IF($E297="","",LEFT($E297,1))</f>
        <v/>
      </c>
      <c r="Y297" s="101" t="str">
        <f aca="false">IF($E297="","",LEFT($E297,2))</f>
        <v/>
      </c>
      <c r="Z297" s="101" t="str">
        <f aca="false">IF($E297="","",LEFT($E297,3))</f>
        <v/>
      </c>
      <c r="AA297" s="101" t="str">
        <f aca="false">IF($E297="","",LEFT($E297,4))</f>
        <v/>
      </c>
    </row>
    <row r="298" customFormat="false" ht="15" hidden="false" customHeight="true" outlineLevel="0" collapsed="false">
      <c r="A298" s="484" t="str">
        <f aca="false">IF(DITARI!$D302="","",ROW()-1)</f>
        <v/>
      </c>
      <c r="B298" s="485" t="str">
        <f aca="false">IF(DITARI!$D302="","",DITARI!$A302)</f>
        <v/>
      </c>
      <c r="C298" s="484" t="str">
        <f aca="false">IF(DITARI!$D302="","",DITARI!$B302)</f>
        <v/>
      </c>
      <c r="D298" s="484" t="str">
        <f aca="false">IF(DITARI!$D302="","",DITARI!$C302)</f>
        <v/>
      </c>
      <c r="E298" s="484" t="str">
        <f aca="false">IF(DITARI!$D302="","",TRIM(DITARI!$D302&amp;""))</f>
        <v/>
      </c>
      <c r="F298" s="484" t="str">
        <f aca="false">IF($E298="","",IFERROR(VLOOKUP($E298,PLANI_LLOGARIVE!$A:$I,2,FALSE()),DITARI!$E302))</f>
        <v/>
      </c>
      <c r="G298" s="484" t="str">
        <f aca="false">IF($E298="","",DITARI!$I302)</f>
        <v/>
      </c>
      <c r="H298" s="484" t="str">
        <f aca="false">IFERROR(IF($E298="","",DITARI!$H302),"")</f>
        <v/>
      </c>
      <c r="I298" s="487" t="n">
        <f aca="false">IF($E298="",0,IFERROR(DITARI!$F302,0))</f>
        <v>0</v>
      </c>
      <c r="J298" s="487" t="n">
        <f aca="false">IF($E298="",0,IFERROR(DITARI!$G302,0))</f>
        <v>0</v>
      </c>
      <c r="K298" s="484" t="str">
        <f aca="false">IF($E298="","",IFERROR(VLOOKUP($E298,PLANI_LLOGARIVE!$A:$I,9,FALSE()),""))</f>
        <v/>
      </c>
      <c r="L298" s="487" t="str">
        <f aca="false">IF($E298="","",$I298-$J298)</f>
        <v/>
      </c>
      <c r="M298" s="484" t="str">
        <f aca="false">IF($E298="","",IF($I298&gt;0,"DEBIT",IF($J298&gt;0,"KREDIT","ZERO")))</f>
        <v/>
      </c>
      <c r="N298" s="484" t="str">
        <f aca="false">IF($E298="","",TEXT($B298,"yyyymmdd")&amp;"-"&amp;TEXT(ROW(),"0000"))</f>
        <v/>
      </c>
      <c r="O298" s="101" t="str">
        <f aca="false">IF($E298="","",$E298&amp;"")</f>
        <v/>
      </c>
      <c r="P298" s="101" t="str">
        <f aca="false">IF(AND($O298&lt;&gt;"",$I298&lt;&gt;0),COUNTIFS($O$2:O298,$O298,$I$2:I298,"&gt;0"),"")</f>
        <v/>
      </c>
      <c r="Q298" s="101" t="str">
        <f aca="false">IF(AND($O298&lt;&gt;"",$J298&lt;&gt;0),COUNTIFS($O$2:O298,$O298,$J$2:J298,"&gt;0"),"")</f>
        <v/>
      </c>
      <c r="R298" s="101" t="str">
        <f aca="false">IF($P298="","",$O298&amp;"|"&amp;$P298)</f>
        <v/>
      </c>
      <c r="S298" s="101" t="str">
        <f aca="false">IF($Q298="","",$O298&amp;"|"&amp;$Q298)</f>
        <v/>
      </c>
      <c r="T298" s="101" t="str">
        <f aca="false">IF($O298="","",COUNTIF($O$2:O298,$O298))</f>
        <v/>
      </c>
      <c r="U298" s="101" t="str">
        <f aca="false">IF($O298="","",$O298&amp;"|"&amp;$T298)</f>
        <v/>
      </c>
      <c r="V298" s="488" t="n">
        <f aca="false">IF(OR(LEFT($D298,5)="MB-CL",LEFT($D298,6)="MB-RES"),0,$I298)</f>
        <v>0</v>
      </c>
      <c r="W298" s="488" t="n">
        <f aca="false">IF(OR(LEFT($D298,5)="MB-CL",LEFT($D298,6)="MB-RES"),0,$J298)</f>
        <v>0</v>
      </c>
      <c r="X298" s="101" t="str">
        <f aca="false">IF($E298="","",LEFT($E298,1))</f>
        <v/>
      </c>
      <c r="Y298" s="101" t="str">
        <f aca="false">IF($E298="","",LEFT($E298,2))</f>
        <v/>
      </c>
      <c r="Z298" s="101" t="str">
        <f aca="false">IF($E298="","",LEFT($E298,3))</f>
        <v/>
      </c>
      <c r="AA298" s="101" t="str">
        <f aca="false">IF($E298="","",LEFT($E298,4))</f>
        <v/>
      </c>
    </row>
    <row r="299" customFormat="false" ht="15" hidden="false" customHeight="true" outlineLevel="0" collapsed="false">
      <c r="A299" s="484" t="str">
        <f aca="false">IF(DITARI!$D303="","",ROW()-1)</f>
        <v/>
      </c>
      <c r="B299" s="485" t="str">
        <f aca="false">IF(DITARI!$D303="","",DITARI!$A303)</f>
        <v/>
      </c>
      <c r="C299" s="484" t="str">
        <f aca="false">IF(DITARI!$D303="","",DITARI!$B303)</f>
        <v/>
      </c>
      <c r="D299" s="484" t="str">
        <f aca="false">IF(DITARI!$D303="","",DITARI!$C303)</f>
        <v/>
      </c>
      <c r="E299" s="484" t="str">
        <f aca="false">IF(DITARI!$D303="","",TRIM(DITARI!$D303&amp;""))</f>
        <v/>
      </c>
      <c r="F299" s="484" t="str">
        <f aca="false">IF($E299="","",IFERROR(VLOOKUP($E299,PLANI_LLOGARIVE!$A:$I,2,FALSE()),DITARI!$E303))</f>
        <v/>
      </c>
      <c r="G299" s="484" t="str">
        <f aca="false">IF($E299="","",DITARI!$I303)</f>
        <v/>
      </c>
      <c r="H299" s="484" t="str">
        <f aca="false">IFERROR(IF($E299="","",DITARI!$H303),"")</f>
        <v/>
      </c>
      <c r="I299" s="487" t="n">
        <f aca="false">IF($E299="",0,IFERROR(DITARI!$F303,0))</f>
        <v>0</v>
      </c>
      <c r="J299" s="487" t="n">
        <f aca="false">IF($E299="",0,IFERROR(DITARI!$G303,0))</f>
        <v>0</v>
      </c>
      <c r="K299" s="484" t="str">
        <f aca="false">IF($E299="","",IFERROR(VLOOKUP($E299,PLANI_LLOGARIVE!$A:$I,9,FALSE()),""))</f>
        <v/>
      </c>
      <c r="L299" s="487" t="str">
        <f aca="false">IF($E299="","",$I299-$J299)</f>
        <v/>
      </c>
      <c r="M299" s="484" t="str">
        <f aca="false">IF($E299="","",IF($I299&gt;0,"DEBIT",IF($J299&gt;0,"KREDIT","ZERO")))</f>
        <v/>
      </c>
      <c r="N299" s="484" t="str">
        <f aca="false">IF($E299="","",TEXT($B299,"yyyymmdd")&amp;"-"&amp;TEXT(ROW(),"0000"))</f>
        <v/>
      </c>
      <c r="O299" s="101" t="str">
        <f aca="false">IF($E299="","",$E299&amp;"")</f>
        <v/>
      </c>
      <c r="P299" s="101" t="str">
        <f aca="false">IF(AND($O299&lt;&gt;"",$I299&lt;&gt;0),COUNTIFS($O$2:O299,$O299,$I$2:I299,"&gt;0"),"")</f>
        <v/>
      </c>
      <c r="Q299" s="101" t="str">
        <f aca="false">IF(AND($O299&lt;&gt;"",$J299&lt;&gt;0),COUNTIFS($O$2:O299,$O299,$J$2:J299,"&gt;0"),"")</f>
        <v/>
      </c>
      <c r="R299" s="101" t="str">
        <f aca="false">IF($P299="","",$O299&amp;"|"&amp;$P299)</f>
        <v/>
      </c>
      <c r="S299" s="101" t="str">
        <f aca="false">IF($Q299="","",$O299&amp;"|"&amp;$Q299)</f>
        <v/>
      </c>
      <c r="T299" s="101" t="str">
        <f aca="false">IF($O299="","",COUNTIF($O$2:O299,$O299))</f>
        <v/>
      </c>
      <c r="U299" s="101" t="str">
        <f aca="false">IF($O299="","",$O299&amp;"|"&amp;$T299)</f>
        <v/>
      </c>
      <c r="V299" s="488" t="n">
        <f aca="false">IF(OR(LEFT($D299,5)="MB-CL",LEFT($D299,6)="MB-RES"),0,$I299)</f>
        <v>0</v>
      </c>
      <c r="W299" s="488" t="n">
        <f aca="false">IF(OR(LEFT($D299,5)="MB-CL",LEFT($D299,6)="MB-RES"),0,$J299)</f>
        <v>0</v>
      </c>
      <c r="X299" s="101" t="str">
        <f aca="false">IF($E299="","",LEFT($E299,1))</f>
        <v/>
      </c>
      <c r="Y299" s="101" t="str">
        <f aca="false">IF($E299="","",LEFT($E299,2))</f>
        <v/>
      </c>
      <c r="Z299" s="101" t="str">
        <f aca="false">IF($E299="","",LEFT($E299,3))</f>
        <v/>
      </c>
      <c r="AA299" s="101" t="str">
        <f aca="false">IF($E299="","",LEFT($E299,4))</f>
        <v/>
      </c>
    </row>
    <row r="300" customFormat="false" ht="15" hidden="false" customHeight="true" outlineLevel="0" collapsed="false">
      <c r="A300" s="484" t="str">
        <f aca="false">IF(DITARI!$D304="","",ROW()-1)</f>
        <v/>
      </c>
      <c r="B300" s="485" t="str">
        <f aca="false">IF(DITARI!$D304="","",DITARI!$A304)</f>
        <v/>
      </c>
      <c r="C300" s="484" t="str">
        <f aca="false">IF(DITARI!$D304="","",DITARI!$B304)</f>
        <v/>
      </c>
      <c r="D300" s="484" t="str">
        <f aca="false">IF(DITARI!$D304="","",DITARI!$C304)</f>
        <v/>
      </c>
      <c r="E300" s="484" t="str">
        <f aca="false">IF(DITARI!$D304="","",TRIM(DITARI!$D304&amp;""))</f>
        <v/>
      </c>
      <c r="F300" s="484" t="str">
        <f aca="false">IF($E300="","",IFERROR(VLOOKUP($E300,PLANI_LLOGARIVE!$A:$I,2,FALSE()),DITARI!$E304))</f>
        <v/>
      </c>
      <c r="G300" s="484" t="str">
        <f aca="false">IF($E300="","",DITARI!$I304)</f>
        <v/>
      </c>
      <c r="H300" s="484" t="str">
        <f aca="false">IFERROR(IF($E300="","",DITARI!$H304),"")</f>
        <v/>
      </c>
      <c r="I300" s="487" t="n">
        <f aca="false">IF($E300="",0,IFERROR(DITARI!$F304,0))</f>
        <v>0</v>
      </c>
      <c r="J300" s="487" t="n">
        <f aca="false">IF($E300="",0,IFERROR(DITARI!$G304,0))</f>
        <v>0</v>
      </c>
      <c r="K300" s="484" t="str">
        <f aca="false">IF($E300="","",IFERROR(VLOOKUP($E300,PLANI_LLOGARIVE!$A:$I,9,FALSE()),""))</f>
        <v/>
      </c>
      <c r="L300" s="487" t="str">
        <f aca="false">IF($E300="","",$I300-$J300)</f>
        <v/>
      </c>
      <c r="M300" s="484" t="str">
        <f aca="false">IF($E300="","",IF($I300&gt;0,"DEBIT",IF($J300&gt;0,"KREDIT","ZERO")))</f>
        <v/>
      </c>
      <c r="N300" s="484" t="str">
        <f aca="false">IF($E300="","",TEXT($B300,"yyyymmdd")&amp;"-"&amp;TEXT(ROW(),"0000"))</f>
        <v/>
      </c>
      <c r="O300" s="101" t="str">
        <f aca="false">IF($E300="","",$E300&amp;"")</f>
        <v/>
      </c>
      <c r="P300" s="101" t="str">
        <f aca="false">IF(AND($O300&lt;&gt;"",$I300&lt;&gt;0),COUNTIFS($O$2:O300,$O300,$I$2:I300,"&gt;0"),"")</f>
        <v/>
      </c>
      <c r="Q300" s="101" t="str">
        <f aca="false">IF(AND($O300&lt;&gt;"",$J300&lt;&gt;0),COUNTIFS($O$2:O300,$O300,$J$2:J300,"&gt;0"),"")</f>
        <v/>
      </c>
      <c r="R300" s="101" t="str">
        <f aca="false">IF($P300="","",$O300&amp;"|"&amp;$P300)</f>
        <v/>
      </c>
      <c r="S300" s="101" t="str">
        <f aca="false">IF($Q300="","",$O300&amp;"|"&amp;$Q300)</f>
        <v/>
      </c>
      <c r="T300" s="101" t="str">
        <f aca="false">IF($O300="","",COUNTIF($O$2:O300,$O300))</f>
        <v/>
      </c>
      <c r="U300" s="101" t="str">
        <f aca="false">IF($O300="","",$O300&amp;"|"&amp;$T300)</f>
        <v/>
      </c>
      <c r="V300" s="488" t="n">
        <f aca="false">IF(OR(LEFT($D300,5)="MB-CL",LEFT($D300,6)="MB-RES"),0,$I300)</f>
        <v>0</v>
      </c>
      <c r="W300" s="488" t="n">
        <f aca="false">IF(OR(LEFT($D300,5)="MB-CL",LEFT($D300,6)="MB-RES"),0,$J300)</f>
        <v>0</v>
      </c>
      <c r="X300" s="101" t="str">
        <f aca="false">IF($E300="","",LEFT($E300,1))</f>
        <v/>
      </c>
      <c r="Y300" s="101" t="str">
        <f aca="false">IF($E300="","",LEFT($E300,2))</f>
        <v/>
      </c>
      <c r="Z300" s="101" t="str">
        <f aca="false">IF($E300="","",LEFT($E300,3))</f>
        <v/>
      </c>
      <c r="AA300" s="101" t="str">
        <f aca="false">IF($E300="","",LEFT($E300,4))</f>
        <v/>
      </c>
    </row>
    <row r="301" customFormat="false" ht="15" hidden="false" customHeight="true" outlineLevel="0" collapsed="false">
      <c r="A301" s="484" t="str">
        <f aca="false">IF(DITARI!$D305="","",ROW()-1)</f>
        <v/>
      </c>
      <c r="B301" s="485" t="str">
        <f aca="false">IF(DITARI!$D305="","",DITARI!$A305)</f>
        <v/>
      </c>
      <c r="C301" s="484" t="str">
        <f aca="false">IF(DITARI!$D305="","",DITARI!$B305)</f>
        <v/>
      </c>
      <c r="D301" s="484" t="str">
        <f aca="false">IF(DITARI!$D305="","",DITARI!$C305)</f>
        <v/>
      </c>
      <c r="E301" s="484" t="str">
        <f aca="false">IF(DITARI!$D305="","",TRIM(DITARI!$D305&amp;""))</f>
        <v/>
      </c>
      <c r="F301" s="484" t="str">
        <f aca="false">IF($E301="","",IFERROR(VLOOKUP($E301,PLANI_LLOGARIVE!$A:$I,2,FALSE()),DITARI!$E305))</f>
        <v/>
      </c>
      <c r="G301" s="484" t="str">
        <f aca="false">IF($E301="","",DITARI!$I305)</f>
        <v/>
      </c>
      <c r="H301" s="484" t="str">
        <f aca="false">IFERROR(IF($E301="","",DITARI!$H305),"")</f>
        <v/>
      </c>
      <c r="I301" s="487" t="n">
        <f aca="false">IF($E301="",0,IFERROR(DITARI!$F305,0))</f>
        <v>0</v>
      </c>
      <c r="J301" s="487" t="n">
        <f aca="false">IF($E301="",0,IFERROR(DITARI!$G305,0))</f>
        <v>0</v>
      </c>
      <c r="K301" s="484" t="str">
        <f aca="false">IF($E301="","",IFERROR(VLOOKUP($E301,PLANI_LLOGARIVE!$A:$I,9,FALSE()),""))</f>
        <v/>
      </c>
      <c r="L301" s="487" t="str">
        <f aca="false">IF($E301="","",$I301-$J301)</f>
        <v/>
      </c>
      <c r="M301" s="484" t="str">
        <f aca="false">IF($E301="","",IF($I301&gt;0,"DEBIT",IF($J301&gt;0,"KREDIT","ZERO")))</f>
        <v/>
      </c>
      <c r="N301" s="484" t="str">
        <f aca="false">IF($E301="","",TEXT($B301,"yyyymmdd")&amp;"-"&amp;TEXT(ROW(),"0000"))</f>
        <v/>
      </c>
      <c r="O301" s="101" t="str">
        <f aca="false">IF($E301="","",$E301&amp;"")</f>
        <v/>
      </c>
      <c r="P301" s="101" t="str">
        <f aca="false">IF(AND($O301&lt;&gt;"",$I301&lt;&gt;0),COUNTIFS($O$2:O301,$O301,$I$2:I301,"&gt;0"),"")</f>
        <v/>
      </c>
      <c r="Q301" s="101" t="str">
        <f aca="false">IF(AND($O301&lt;&gt;"",$J301&lt;&gt;0),COUNTIFS($O$2:O301,$O301,$J$2:J301,"&gt;0"),"")</f>
        <v/>
      </c>
      <c r="R301" s="101" t="str">
        <f aca="false">IF($P301="","",$O301&amp;"|"&amp;$P301)</f>
        <v/>
      </c>
      <c r="S301" s="101" t="str">
        <f aca="false">IF($Q301="","",$O301&amp;"|"&amp;$Q301)</f>
        <v/>
      </c>
      <c r="T301" s="101" t="str">
        <f aca="false">IF($O301="","",COUNTIF($O$2:O301,$O301))</f>
        <v/>
      </c>
      <c r="U301" s="101" t="str">
        <f aca="false">IF($O301="","",$O301&amp;"|"&amp;$T301)</f>
        <v/>
      </c>
      <c r="V301" s="488" t="n">
        <f aca="false">IF(OR(LEFT($D301,5)="MB-CL",LEFT($D301,6)="MB-RES"),0,$I301)</f>
        <v>0</v>
      </c>
      <c r="W301" s="488" t="n">
        <f aca="false">IF(OR(LEFT($D301,5)="MB-CL",LEFT($D301,6)="MB-RES"),0,$J301)</f>
        <v>0</v>
      </c>
      <c r="X301" s="101" t="str">
        <f aca="false">IF($E301="","",LEFT($E301,1))</f>
        <v/>
      </c>
      <c r="Y301" s="101" t="str">
        <f aca="false">IF($E301="","",LEFT($E301,2))</f>
        <v/>
      </c>
      <c r="Z301" s="101" t="str">
        <f aca="false">IF($E301="","",LEFT($E301,3))</f>
        <v/>
      </c>
      <c r="AA301" s="101" t="str">
        <f aca="false">IF($E301="","",LEFT($E301,4))</f>
        <v/>
      </c>
    </row>
    <row r="302" customFormat="false" ht="15" hidden="false" customHeight="true" outlineLevel="0" collapsed="false">
      <c r="A302" s="484" t="str">
        <f aca="false">IF(DITARI!$D306="","",ROW()-1)</f>
        <v/>
      </c>
      <c r="B302" s="485" t="str">
        <f aca="false">IF(DITARI!$D306="","",DITARI!$A306)</f>
        <v/>
      </c>
      <c r="C302" s="484" t="str">
        <f aca="false">IF(DITARI!$D306="","",DITARI!$B306)</f>
        <v/>
      </c>
      <c r="D302" s="484" t="str">
        <f aca="false">IF(DITARI!$D306="","",DITARI!$C306)</f>
        <v/>
      </c>
      <c r="E302" s="484" t="str">
        <f aca="false">IF(DITARI!$D306="","",TRIM(DITARI!$D306&amp;""))</f>
        <v/>
      </c>
      <c r="F302" s="484" t="str">
        <f aca="false">IF($E302="","",IFERROR(VLOOKUP($E302,PLANI_LLOGARIVE!$A:$I,2,FALSE()),DITARI!$E306))</f>
        <v/>
      </c>
      <c r="G302" s="484" t="str">
        <f aca="false">IF($E302="","",DITARI!$I306)</f>
        <v/>
      </c>
      <c r="H302" s="484" t="str">
        <f aca="false">IFERROR(IF($E302="","",DITARI!$H306),"")</f>
        <v/>
      </c>
      <c r="I302" s="487" t="n">
        <f aca="false">IF($E302="",0,IFERROR(DITARI!$F306,0))</f>
        <v>0</v>
      </c>
      <c r="J302" s="487" t="n">
        <f aca="false">IF($E302="",0,IFERROR(DITARI!$G306,0))</f>
        <v>0</v>
      </c>
      <c r="K302" s="484" t="str">
        <f aca="false">IF($E302="","",IFERROR(VLOOKUP($E302,PLANI_LLOGARIVE!$A:$I,9,FALSE()),""))</f>
        <v/>
      </c>
      <c r="L302" s="487" t="str">
        <f aca="false">IF($E302="","",$I302-$J302)</f>
        <v/>
      </c>
      <c r="M302" s="484" t="str">
        <f aca="false">IF($E302="","",IF($I302&gt;0,"DEBIT",IF($J302&gt;0,"KREDIT","ZERO")))</f>
        <v/>
      </c>
      <c r="N302" s="484" t="str">
        <f aca="false">IF($E302="","",TEXT($B302,"yyyymmdd")&amp;"-"&amp;TEXT(ROW(),"0000"))</f>
        <v/>
      </c>
      <c r="O302" s="101" t="str">
        <f aca="false">IF($E302="","",$E302&amp;"")</f>
        <v/>
      </c>
      <c r="P302" s="101" t="str">
        <f aca="false">IF(AND($O302&lt;&gt;"",$I302&lt;&gt;0),COUNTIFS($O$2:O302,$O302,$I$2:I302,"&gt;0"),"")</f>
        <v/>
      </c>
      <c r="Q302" s="101" t="str">
        <f aca="false">IF(AND($O302&lt;&gt;"",$J302&lt;&gt;0),COUNTIFS($O$2:O302,$O302,$J$2:J302,"&gt;0"),"")</f>
        <v/>
      </c>
      <c r="R302" s="101" t="str">
        <f aca="false">IF($P302="","",$O302&amp;"|"&amp;$P302)</f>
        <v/>
      </c>
      <c r="S302" s="101" t="str">
        <f aca="false">IF($Q302="","",$O302&amp;"|"&amp;$Q302)</f>
        <v/>
      </c>
      <c r="T302" s="101" t="str">
        <f aca="false">IF($O302="","",COUNTIF($O$2:O302,$O302))</f>
        <v/>
      </c>
      <c r="U302" s="101" t="str">
        <f aca="false">IF($O302="","",$O302&amp;"|"&amp;$T302)</f>
        <v/>
      </c>
      <c r="V302" s="488" t="n">
        <f aca="false">IF(OR(LEFT($D302,5)="MB-CL",LEFT($D302,6)="MB-RES"),0,$I302)</f>
        <v>0</v>
      </c>
      <c r="W302" s="488" t="n">
        <f aca="false">IF(OR(LEFT($D302,5)="MB-CL",LEFT($D302,6)="MB-RES"),0,$J302)</f>
        <v>0</v>
      </c>
      <c r="X302" s="101" t="str">
        <f aca="false">IF($E302="","",LEFT($E302,1))</f>
        <v/>
      </c>
      <c r="Y302" s="101" t="str">
        <f aca="false">IF($E302="","",LEFT($E302,2))</f>
        <v/>
      </c>
      <c r="Z302" s="101" t="str">
        <f aca="false">IF($E302="","",LEFT($E302,3))</f>
        <v/>
      </c>
      <c r="AA302" s="101" t="str">
        <f aca="false">IF($E302="","",LEFT($E302,4))</f>
        <v/>
      </c>
    </row>
    <row r="303" customFormat="false" ht="15" hidden="false" customHeight="true" outlineLevel="0" collapsed="false">
      <c r="A303" s="484" t="str">
        <f aca="false">IF(DITARI!$D307="","",ROW()-1)</f>
        <v/>
      </c>
      <c r="B303" s="485" t="str">
        <f aca="false">IF(DITARI!$D307="","",DITARI!$A307)</f>
        <v/>
      </c>
      <c r="C303" s="484" t="str">
        <f aca="false">IF(DITARI!$D307="","",DITARI!$B307)</f>
        <v/>
      </c>
      <c r="D303" s="484" t="str">
        <f aca="false">IF(DITARI!$D307="","",DITARI!$C307)</f>
        <v/>
      </c>
      <c r="E303" s="484" t="str">
        <f aca="false">IF(DITARI!$D307="","",TRIM(DITARI!$D307&amp;""))</f>
        <v/>
      </c>
      <c r="F303" s="484" t="str">
        <f aca="false">IF($E303="","",IFERROR(VLOOKUP($E303,PLANI_LLOGARIVE!$A:$I,2,FALSE()),DITARI!$E307))</f>
        <v/>
      </c>
      <c r="G303" s="484" t="str">
        <f aca="false">IF($E303="","",DITARI!$I307)</f>
        <v/>
      </c>
      <c r="H303" s="484" t="str">
        <f aca="false">IFERROR(IF($E303="","",DITARI!$H307),"")</f>
        <v/>
      </c>
      <c r="I303" s="487" t="n">
        <f aca="false">IF($E303="",0,IFERROR(DITARI!$F307,0))</f>
        <v>0</v>
      </c>
      <c r="J303" s="487" t="n">
        <f aca="false">IF($E303="",0,IFERROR(DITARI!$G307,0))</f>
        <v>0</v>
      </c>
      <c r="K303" s="484" t="str">
        <f aca="false">IF($E303="","",IFERROR(VLOOKUP($E303,PLANI_LLOGARIVE!$A:$I,9,FALSE()),""))</f>
        <v/>
      </c>
      <c r="L303" s="487" t="str">
        <f aca="false">IF($E303="","",$I303-$J303)</f>
        <v/>
      </c>
      <c r="M303" s="484" t="str">
        <f aca="false">IF($E303="","",IF($I303&gt;0,"DEBIT",IF($J303&gt;0,"KREDIT","ZERO")))</f>
        <v/>
      </c>
      <c r="N303" s="484" t="str">
        <f aca="false">IF($E303="","",TEXT($B303,"yyyymmdd")&amp;"-"&amp;TEXT(ROW(),"0000"))</f>
        <v/>
      </c>
      <c r="O303" s="101" t="str">
        <f aca="false">IF($E303="","",$E303&amp;"")</f>
        <v/>
      </c>
      <c r="P303" s="101" t="str">
        <f aca="false">IF(AND($O303&lt;&gt;"",$I303&lt;&gt;0),COUNTIFS($O$2:O303,$O303,$I$2:I303,"&gt;0"),"")</f>
        <v/>
      </c>
      <c r="Q303" s="101" t="str">
        <f aca="false">IF(AND($O303&lt;&gt;"",$J303&lt;&gt;0),COUNTIFS($O$2:O303,$O303,$J$2:J303,"&gt;0"),"")</f>
        <v/>
      </c>
      <c r="R303" s="101" t="str">
        <f aca="false">IF($P303="","",$O303&amp;"|"&amp;$P303)</f>
        <v/>
      </c>
      <c r="S303" s="101" t="str">
        <f aca="false">IF($Q303="","",$O303&amp;"|"&amp;$Q303)</f>
        <v/>
      </c>
      <c r="T303" s="101" t="str">
        <f aca="false">IF($O303="","",COUNTIF($O$2:O303,$O303))</f>
        <v/>
      </c>
      <c r="U303" s="101" t="str">
        <f aca="false">IF($O303="","",$O303&amp;"|"&amp;$T303)</f>
        <v/>
      </c>
      <c r="V303" s="488" t="n">
        <f aca="false">IF(OR(LEFT($D303,5)="MB-CL",LEFT($D303,6)="MB-RES"),0,$I303)</f>
        <v>0</v>
      </c>
      <c r="W303" s="488" t="n">
        <f aca="false">IF(OR(LEFT($D303,5)="MB-CL",LEFT($D303,6)="MB-RES"),0,$J303)</f>
        <v>0</v>
      </c>
      <c r="X303" s="101" t="str">
        <f aca="false">IF($E303="","",LEFT($E303,1))</f>
        <v/>
      </c>
      <c r="Y303" s="101" t="str">
        <f aca="false">IF($E303="","",LEFT($E303,2))</f>
        <v/>
      </c>
      <c r="Z303" s="101" t="str">
        <f aca="false">IF($E303="","",LEFT($E303,3))</f>
        <v/>
      </c>
      <c r="AA303" s="101" t="str">
        <f aca="false">IF($E303="","",LEFT($E303,4))</f>
        <v/>
      </c>
    </row>
    <row r="304" customFormat="false" ht="15" hidden="false" customHeight="true" outlineLevel="0" collapsed="false">
      <c r="A304" s="484" t="str">
        <f aca="false">IF(DITARI!$D308="","",ROW()-1)</f>
        <v/>
      </c>
      <c r="B304" s="485" t="str">
        <f aca="false">IF(DITARI!$D308="","",DITARI!$A308)</f>
        <v/>
      </c>
      <c r="C304" s="484" t="str">
        <f aca="false">IF(DITARI!$D308="","",DITARI!$B308)</f>
        <v/>
      </c>
      <c r="D304" s="484" t="str">
        <f aca="false">IF(DITARI!$D308="","",DITARI!$C308)</f>
        <v/>
      </c>
      <c r="E304" s="484" t="str">
        <f aca="false">IF(DITARI!$D308="","",TRIM(DITARI!$D308&amp;""))</f>
        <v/>
      </c>
      <c r="F304" s="484" t="str">
        <f aca="false">IF($E304="","",IFERROR(VLOOKUP($E304,PLANI_LLOGARIVE!$A:$I,2,FALSE()),DITARI!$E308))</f>
        <v/>
      </c>
      <c r="G304" s="484" t="str">
        <f aca="false">IF($E304="","",DITARI!$I308)</f>
        <v/>
      </c>
      <c r="H304" s="484" t="str">
        <f aca="false">IFERROR(IF($E304="","",DITARI!$H308),"")</f>
        <v/>
      </c>
      <c r="I304" s="487" t="n">
        <f aca="false">IF($E304="",0,IFERROR(DITARI!$F308,0))</f>
        <v>0</v>
      </c>
      <c r="J304" s="487" t="n">
        <f aca="false">IF($E304="",0,IFERROR(DITARI!$G308,0))</f>
        <v>0</v>
      </c>
      <c r="K304" s="484" t="str">
        <f aca="false">IF($E304="","",IFERROR(VLOOKUP($E304,PLANI_LLOGARIVE!$A:$I,9,FALSE()),""))</f>
        <v/>
      </c>
      <c r="L304" s="487" t="str">
        <f aca="false">IF($E304="","",$I304-$J304)</f>
        <v/>
      </c>
      <c r="M304" s="484" t="str">
        <f aca="false">IF($E304="","",IF($I304&gt;0,"DEBIT",IF($J304&gt;0,"KREDIT","ZERO")))</f>
        <v/>
      </c>
      <c r="N304" s="484" t="str">
        <f aca="false">IF($E304="","",TEXT($B304,"yyyymmdd")&amp;"-"&amp;TEXT(ROW(),"0000"))</f>
        <v/>
      </c>
      <c r="O304" s="101" t="str">
        <f aca="false">IF($E304="","",$E304&amp;"")</f>
        <v/>
      </c>
      <c r="P304" s="101" t="str">
        <f aca="false">IF(AND($O304&lt;&gt;"",$I304&lt;&gt;0),COUNTIFS($O$2:O304,$O304,$I$2:I304,"&gt;0"),"")</f>
        <v/>
      </c>
      <c r="Q304" s="101" t="str">
        <f aca="false">IF(AND($O304&lt;&gt;"",$J304&lt;&gt;0),COUNTIFS($O$2:O304,$O304,$J$2:J304,"&gt;0"),"")</f>
        <v/>
      </c>
      <c r="R304" s="101" t="str">
        <f aca="false">IF($P304="","",$O304&amp;"|"&amp;$P304)</f>
        <v/>
      </c>
      <c r="S304" s="101" t="str">
        <f aca="false">IF($Q304="","",$O304&amp;"|"&amp;$Q304)</f>
        <v/>
      </c>
      <c r="T304" s="101" t="str">
        <f aca="false">IF($O304="","",COUNTIF($O$2:O304,$O304))</f>
        <v/>
      </c>
      <c r="U304" s="101" t="str">
        <f aca="false">IF($O304="","",$O304&amp;"|"&amp;$T304)</f>
        <v/>
      </c>
      <c r="V304" s="488" t="n">
        <f aca="false">IF(OR(LEFT($D304,5)="MB-CL",LEFT($D304,6)="MB-RES"),0,$I304)</f>
        <v>0</v>
      </c>
      <c r="W304" s="488" t="n">
        <f aca="false">IF(OR(LEFT($D304,5)="MB-CL",LEFT($D304,6)="MB-RES"),0,$J304)</f>
        <v>0</v>
      </c>
      <c r="X304" s="101" t="str">
        <f aca="false">IF($E304="","",LEFT($E304,1))</f>
        <v/>
      </c>
      <c r="Y304" s="101" t="str">
        <f aca="false">IF($E304="","",LEFT($E304,2))</f>
        <v/>
      </c>
      <c r="Z304" s="101" t="str">
        <f aca="false">IF($E304="","",LEFT($E304,3))</f>
        <v/>
      </c>
      <c r="AA304" s="101" t="str">
        <f aca="false">IF($E304="","",LEFT($E304,4))</f>
        <v/>
      </c>
    </row>
    <row r="305" customFormat="false" ht="15" hidden="false" customHeight="true" outlineLevel="0" collapsed="false">
      <c r="A305" s="484" t="str">
        <f aca="false">IF(DITARI!$D309="","",ROW()-1)</f>
        <v/>
      </c>
      <c r="B305" s="485" t="str">
        <f aca="false">IF(DITARI!$D309="","",DITARI!$A309)</f>
        <v/>
      </c>
      <c r="C305" s="484" t="str">
        <f aca="false">IF(DITARI!$D309="","",DITARI!$B309)</f>
        <v/>
      </c>
      <c r="D305" s="484" t="str">
        <f aca="false">IF(DITARI!$D309="","",DITARI!$C309)</f>
        <v/>
      </c>
      <c r="E305" s="484" t="str">
        <f aca="false">IF(DITARI!$D309="","",TRIM(DITARI!$D309&amp;""))</f>
        <v/>
      </c>
      <c r="F305" s="484" t="str">
        <f aca="false">IF($E305="","",IFERROR(VLOOKUP($E305,PLANI_LLOGARIVE!$A:$I,2,FALSE()),DITARI!$E309))</f>
        <v/>
      </c>
      <c r="G305" s="484" t="str">
        <f aca="false">IF($E305="","",DITARI!$I309)</f>
        <v/>
      </c>
      <c r="H305" s="484" t="str">
        <f aca="false">IFERROR(IF($E305="","",DITARI!$H309),"")</f>
        <v/>
      </c>
      <c r="I305" s="487" t="n">
        <f aca="false">IF($E305="",0,IFERROR(DITARI!$F309,0))</f>
        <v>0</v>
      </c>
      <c r="J305" s="487" t="n">
        <f aca="false">IF($E305="",0,IFERROR(DITARI!$G309,0))</f>
        <v>0</v>
      </c>
      <c r="K305" s="484" t="str">
        <f aca="false">IF($E305="","",IFERROR(VLOOKUP($E305,PLANI_LLOGARIVE!$A:$I,9,FALSE()),""))</f>
        <v/>
      </c>
      <c r="L305" s="487" t="str">
        <f aca="false">IF($E305="","",$I305-$J305)</f>
        <v/>
      </c>
      <c r="M305" s="484" t="str">
        <f aca="false">IF($E305="","",IF($I305&gt;0,"DEBIT",IF($J305&gt;0,"KREDIT","ZERO")))</f>
        <v/>
      </c>
      <c r="N305" s="484" t="str">
        <f aca="false">IF($E305="","",TEXT($B305,"yyyymmdd")&amp;"-"&amp;TEXT(ROW(),"0000"))</f>
        <v/>
      </c>
      <c r="O305" s="101" t="str">
        <f aca="false">IF($E305="","",$E305&amp;"")</f>
        <v/>
      </c>
      <c r="P305" s="101" t="str">
        <f aca="false">IF(AND($O305&lt;&gt;"",$I305&lt;&gt;0),COUNTIFS($O$2:O305,$O305,$I$2:I305,"&gt;0"),"")</f>
        <v/>
      </c>
      <c r="Q305" s="101" t="str">
        <f aca="false">IF(AND($O305&lt;&gt;"",$J305&lt;&gt;0),COUNTIFS($O$2:O305,$O305,$J$2:J305,"&gt;0"),"")</f>
        <v/>
      </c>
      <c r="R305" s="101" t="str">
        <f aca="false">IF($P305="","",$O305&amp;"|"&amp;$P305)</f>
        <v/>
      </c>
      <c r="S305" s="101" t="str">
        <f aca="false">IF($Q305="","",$O305&amp;"|"&amp;$Q305)</f>
        <v/>
      </c>
      <c r="T305" s="101" t="str">
        <f aca="false">IF($O305="","",COUNTIF($O$2:O305,$O305))</f>
        <v/>
      </c>
      <c r="U305" s="101" t="str">
        <f aca="false">IF($O305="","",$O305&amp;"|"&amp;$T305)</f>
        <v/>
      </c>
      <c r="V305" s="488" t="n">
        <f aca="false">IF(OR(LEFT($D305,5)="MB-CL",LEFT($D305,6)="MB-RES"),0,$I305)</f>
        <v>0</v>
      </c>
      <c r="W305" s="488" t="n">
        <f aca="false">IF(OR(LEFT($D305,5)="MB-CL",LEFT($D305,6)="MB-RES"),0,$J305)</f>
        <v>0</v>
      </c>
      <c r="X305" s="101" t="str">
        <f aca="false">IF($E305="","",LEFT($E305,1))</f>
        <v/>
      </c>
      <c r="Y305" s="101" t="str">
        <f aca="false">IF($E305="","",LEFT($E305,2))</f>
        <v/>
      </c>
      <c r="Z305" s="101" t="str">
        <f aca="false">IF($E305="","",LEFT($E305,3))</f>
        <v/>
      </c>
      <c r="AA305" s="101" t="str">
        <f aca="false">IF($E305="","",LEFT($E305,4))</f>
        <v/>
      </c>
    </row>
    <row r="306" customFormat="false" ht="15" hidden="false" customHeight="true" outlineLevel="0" collapsed="false">
      <c r="A306" s="484" t="str">
        <f aca="false">IF(DITARI!$D310="","",ROW()-1)</f>
        <v/>
      </c>
      <c r="B306" s="485" t="str">
        <f aca="false">IF(DITARI!$D310="","",DITARI!$A310)</f>
        <v/>
      </c>
      <c r="C306" s="484" t="str">
        <f aca="false">IF(DITARI!$D310="","",DITARI!$B310)</f>
        <v/>
      </c>
      <c r="D306" s="484" t="str">
        <f aca="false">IF(DITARI!$D310="","",DITARI!$C310)</f>
        <v/>
      </c>
      <c r="E306" s="484" t="str">
        <f aca="false">IF(DITARI!$D310="","",TRIM(DITARI!$D310&amp;""))</f>
        <v/>
      </c>
      <c r="F306" s="484" t="str">
        <f aca="false">IF($E306="","",IFERROR(VLOOKUP($E306,PLANI_LLOGARIVE!$A:$I,2,FALSE()),DITARI!$E310))</f>
        <v/>
      </c>
      <c r="G306" s="484" t="str">
        <f aca="false">IF($E306="","",DITARI!$I310)</f>
        <v/>
      </c>
      <c r="H306" s="484" t="str">
        <f aca="false">IFERROR(IF($E306="","",DITARI!$H310),"")</f>
        <v/>
      </c>
      <c r="I306" s="487" t="n">
        <f aca="false">IF($E306="",0,IFERROR(DITARI!$F310,0))</f>
        <v>0</v>
      </c>
      <c r="J306" s="487" t="n">
        <f aca="false">IF($E306="",0,IFERROR(DITARI!$G310,0))</f>
        <v>0</v>
      </c>
      <c r="K306" s="484" t="str">
        <f aca="false">IF($E306="","",IFERROR(VLOOKUP($E306,PLANI_LLOGARIVE!$A:$I,9,FALSE()),""))</f>
        <v/>
      </c>
      <c r="L306" s="487" t="str">
        <f aca="false">IF($E306="","",$I306-$J306)</f>
        <v/>
      </c>
      <c r="M306" s="484" t="str">
        <f aca="false">IF($E306="","",IF($I306&gt;0,"DEBIT",IF($J306&gt;0,"KREDIT","ZERO")))</f>
        <v/>
      </c>
      <c r="N306" s="484" t="str">
        <f aca="false">IF($E306="","",TEXT($B306,"yyyymmdd")&amp;"-"&amp;TEXT(ROW(),"0000"))</f>
        <v/>
      </c>
      <c r="O306" s="101" t="str">
        <f aca="false">IF($E306="","",$E306&amp;"")</f>
        <v/>
      </c>
      <c r="P306" s="101" t="str">
        <f aca="false">IF(AND($O306&lt;&gt;"",$I306&lt;&gt;0),COUNTIFS($O$2:O306,$O306,$I$2:I306,"&gt;0"),"")</f>
        <v/>
      </c>
      <c r="Q306" s="101" t="str">
        <f aca="false">IF(AND($O306&lt;&gt;"",$J306&lt;&gt;0),COUNTIFS($O$2:O306,$O306,$J$2:J306,"&gt;0"),"")</f>
        <v/>
      </c>
      <c r="R306" s="101" t="str">
        <f aca="false">IF($P306="","",$O306&amp;"|"&amp;$P306)</f>
        <v/>
      </c>
      <c r="S306" s="101" t="str">
        <f aca="false">IF($Q306="","",$O306&amp;"|"&amp;$Q306)</f>
        <v/>
      </c>
      <c r="T306" s="101" t="str">
        <f aca="false">IF($O306="","",COUNTIF($O$2:O306,$O306))</f>
        <v/>
      </c>
      <c r="U306" s="101" t="str">
        <f aca="false">IF($O306="","",$O306&amp;"|"&amp;$T306)</f>
        <v/>
      </c>
      <c r="V306" s="488" t="n">
        <f aca="false">IF(OR(LEFT($D306,5)="MB-CL",LEFT($D306,6)="MB-RES"),0,$I306)</f>
        <v>0</v>
      </c>
      <c r="W306" s="488" t="n">
        <f aca="false">IF(OR(LEFT($D306,5)="MB-CL",LEFT($D306,6)="MB-RES"),0,$J306)</f>
        <v>0</v>
      </c>
      <c r="X306" s="101" t="str">
        <f aca="false">IF($E306="","",LEFT($E306,1))</f>
        <v/>
      </c>
      <c r="Y306" s="101" t="str">
        <f aca="false">IF($E306="","",LEFT($E306,2))</f>
        <v/>
      </c>
      <c r="Z306" s="101" t="str">
        <f aca="false">IF($E306="","",LEFT($E306,3))</f>
        <v/>
      </c>
      <c r="AA306" s="101" t="str">
        <f aca="false">IF($E306="","",LEFT($E306,4))</f>
        <v/>
      </c>
    </row>
    <row r="307" customFormat="false" ht="15" hidden="false" customHeight="true" outlineLevel="0" collapsed="false">
      <c r="A307" s="484" t="str">
        <f aca="false">IF(DITARI!$D311="","",ROW()-1)</f>
        <v/>
      </c>
      <c r="B307" s="485" t="str">
        <f aca="false">IF(DITARI!$D311="","",DITARI!$A311)</f>
        <v/>
      </c>
      <c r="C307" s="484" t="str">
        <f aca="false">IF(DITARI!$D311="","",DITARI!$B311)</f>
        <v/>
      </c>
      <c r="D307" s="484" t="str">
        <f aca="false">IF(DITARI!$D311="","",DITARI!$C311)</f>
        <v/>
      </c>
      <c r="E307" s="484" t="str">
        <f aca="false">IF(DITARI!$D311="","",TRIM(DITARI!$D311&amp;""))</f>
        <v/>
      </c>
      <c r="F307" s="484" t="str">
        <f aca="false">IF($E307="","",IFERROR(VLOOKUP($E307,PLANI_LLOGARIVE!$A:$I,2,FALSE()),DITARI!$E311))</f>
        <v/>
      </c>
      <c r="G307" s="484" t="str">
        <f aca="false">IF($E307="","",DITARI!$I311)</f>
        <v/>
      </c>
      <c r="H307" s="484" t="str">
        <f aca="false">IFERROR(IF($E307="","",DITARI!$H311),"")</f>
        <v/>
      </c>
      <c r="I307" s="487" t="n">
        <f aca="false">IF($E307="",0,IFERROR(DITARI!$F311,0))</f>
        <v>0</v>
      </c>
      <c r="J307" s="487" t="n">
        <f aca="false">IF($E307="",0,IFERROR(DITARI!$G311,0))</f>
        <v>0</v>
      </c>
      <c r="K307" s="484" t="str">
        <f aca="false">IF($E307="","",IFERROR(VLOOKUP($E307,PLANI_LLOGARIVE!$A:$I,9,FALSE()),""))</f>
        <v/>
      </c>
      <c r="L307" s="487" t="str">
        <f aca="false">IF($E307="","",$I307-$J307)</f>
        <v/>
      </c>
      <c r="M307" s="484" t="str">
        <f aca="false">IF($E307="","",IF($I307&gt;0,"DEBIT",IF($J307&gt;0,"KREDIT","ZERO")))</f>
        <v/>
      </c>
      <c r="N307" s="484" t="str">
        <f aca="false">IF($E307="","",TEXT($B307,"yyyymmdd")&amp;"-"&amp;TEXT(ROW(),"0000"))</f>
        <v/>
      </c>
      <c r="O307" s="101" t="str">
        <f aca="false">IF($E307="","",$E307&amp;"")</f>
        <v/>
      </c>
      <c r="P307" s="101" t="str">
        <f aca="false">IF(AND($O307&lt;&gt;"",$I307&lt;&gt;0),COUNTIFS($O$2:O307,$O307,$I$2:I307,"&gt;0"),"")</f>
        <v/>
      </c>
      <c r="Q307" s="101" t="str">
        <f aca="false">IF(AND($O307&lt;&gt;"",$J307&lt;&gt;0),COUNTIFS($O$2:O307,$O307,$J$2:J307,"&gt;0"),"")</f>
        <v/>
      </c>
      <c r="R307" s="101" t="str">
        <f aca="false">IF($P307="","",$O307&amp;"|"&amp;$P307)</f>
        <v/>
      </c>
      <c r="S307" s="101" t="str">
        <f aca="false">IF($Q307="","",$O307&amp;"|"&amp;$Q307)</f>
        <v/>
      </c>
      <c r="T307" s="101" t="str">
        <f aca="false">IF($O307="","",COUNTIF($O$2:O307,$O307))</f>
        <v/>
      </c>
      <c r="U307" s="101" t="str">
        <f aca="false">IF($O307="","",$O307&amp;"|"&amp;$T307)</f>
        <v/>
      </c>
      <c r="V307" s="488" t="n">
        <f aca="false">IF(OR(LEFT($D307,5)="MB-CL",LEFT($D307,6)="MB-RES"),0,$I307)</f>
        <v>0</v>
      </c>
      <c r="W307" s="488" t="n">
        <f aca="false">IF(OR(LEFT($D307,5)="MB-CL",LEFT($D307,6)="MB-RES"),0,$J307)</f>
        <v>0</v>
      </c>
      <c r="X307" s="101" t="str">
        <f aca="false">IF($E307="","",LEFT($E307,1))</f>
        <v/>
      </c>
      <c r="Y307" s="101" t="str">
        <f aca="false">IF($E307="","",LEFT($E307,2))</f>
        <v/>
      </c>
      <c r="Z307" s="101" t="str">
        <f aca="false">IF($E307="","",LEFT($E307,3))</f>
        <v/>
      </c>
      <c r="AA307" s="101" t="str">
        <f aca="false">IF($E307="","",LEFT($E307,4))</f>
        <v/>
      </c>
    </row>
    <row r="308" customFormat="false" ht="15" hidden="false" customHeight="true" outlineLevel="0" collapsed="false">
      <c r="A308" s="484" t="str">
        <f aca="false">IF(DITARI!$D312="","",ROW()-1)</f>
        <v/>
      </c>
      <c r="B308" s="485" t="str">
        <f aca="false">IF(DITARI!$D312="","",DITARI!$A312)</f>
        <v/>
      </c>
      <c r="C308" s="484" t="str">
        <f aca="false">IF(DITARI!$D312="","",DITARI!$B312)</f>
        <v/>
      </c>
      <c r="D308" s="484" t="str">
        <f aca="false">IF(DITARI!$D312="","",DITARI!$C312)</f>
        <v/>
      </c>
      <c r="E308" s="484" t="str">
        <f aca="false">IF(DITARI!$D312="","",TRIM(DITARI!$D312&amp;""))</f>
        <v/>
      </c>
      <c r="F308" s="484" t="str">
        <f aca="false">IF($E308="","",IFERROR(VLOOKUP($E308,PLANI_LLOGARIVE!$A:$I,2,FALSE()),DITARI!$E312))</f>
        <v/>
      </c>
      <c r="G308" s="484" t="str">
        <f aca="false">IF($E308="","",DITARI!$I312)</f>
        <v/>
      </c>
      <c r="H308" s="484" t="str">
        <f aca="false">IFERROR(IF($E308="","",DITARI!$H312),"")</f>
        <v/>
      </c>
      <c r="I308" s="487" t="n">
        <f aca="false">IF($E308="",0,IFERROR(DITARI!$F312,0))</f>
        <v>0</v>
      </c>
      <c r="J308" s="487" t="n">
        <f aca="false">IF($E308="",0,IFERROR(DITARI!$G312,0))</f>
        <v>0</v>
      </c>
      <c r="K308" s="484" t="str">
        <f aca="false">IF($E308="","",IFERROR(VLOOKUP($E308,PLANI_LLOGARIVE!$A:$I,9,FALSE()),""))</f>
        <v/>
      </c>
      <c r="L308" s="487" t="str">
        <f aca="false">IF($E308="","",$I308-$J308)</f>
        <v/>
      </c>
      <c r="M308" s="484" t="str">
        <f aca="false">IF($E308="","",IF($I308&gt;0,"DEBIT",IF($J308&gt;0,"KREDIT","ZERO")))</f>
        <v/>
      </c>
      <c r="N308" s="484" t="str">
        <f aca="false">IF($E308="","",TEXT($B308,"yyyymmdd")&amp;"-"&amp;TEXT(ROW(),"0000"))</f>
        <v/>
      </c>
      <c r="O308" s="101" t="str">
        <f aca="false">IF($E308="","",$E308&amp;"")</f>
        <v/>
      </c>
      <c r="P308" s="101" t="str">
        <f aca="false">IF(AND($O308&lt;&gt;"",$I308&lt;&gt;0),COUNTIFS($O$2:O308,$O308,$I$2:I308,"&gt;0"),"")</f>
        <v/>
      </c>
      <c r="Q308" s="101" t="str">
        <f aca="false">IF(AND($O308&lt;&gt;"",$J308&lt;&gt;0),COUNTIFS($O$2:O308,$O308,$J$2:J308,"&gt;0"),"")</f>
        <v/>
      </c>
      <c r="R308" s="101" t="str">
        <f aca="false">IF($P308="","",$O308&amp;"|"&amp;$P308)</f>
        <v/>
      </c>
      <c r="S308" s="101" t="str">
        <f aca="false">IF($Q308="","",$O308&amp;"|"&amp;$Q308)</f>
        <v/>
      </c>
      <c r="T308" s="101" t="str">
        <f aca="false">IF($O308="","",COUNTIF($O$2:O308,$O308))</f>
        <v/>
      </c>
      <c r="U308" s="101" t="str">
        <f aca="false">IF($O308="","",$O308&amp;"|"&amp;$T308)</f>
        <v/>
      </c>
      <c r="V308" s="488" t="n">
        <f aca="false">IF(OR(LEFT($D308,5)="MB-CL",LEFT($D308,6)="MB-RES"),0,$I308)</f>
        <v>0</v>
      </c>
      <c r="W308" s="488" t="n">
        <f aca="false">IF(OR(LEFT($D308,5)="MB-CL",LEFT($D308,6)="MB-RES"),0,$J308)</f>
        <v>0</v>
      </c>
      <c r="X308" s="101" t="str">
        <f aca="false">IF($E308="","",LEFT($E308,1))</f>
        <v/>
      </c>
      <c r="Y308" s="101" t="str">
        <f aca="false">IF($E308="","",LEFT($E308,2))</f>
        <v/>
      </c>
      <c r="Z308" s="101" t="str">
        <f aca="false">IF($E308="","",LEFT($E308,3))</f>
        <v/>
      </c>
      <c r="AA308" s="101" t="str">
        <f aca="false">IF($E308="","",LEFT($E308,4))</f>
        <v/>
      </c>
    </row>
    <row r="309" customFormat="false" ht="15" hidden="false" customHeight="true" outlineLevel="0" collapsed="false">
      <c r="A309" s="484" t="str">
        <f aca="false">IF(DITARI!$D313="","",ROW()-1)</f>
        <v/>
      </c>
      <c r="B309" s="485" t="str">
        <f aca="false">IF(DITARI!$D313="","",DITARI!$A313)</f>
        <v/>
      </c>
      <c r="C309" s="484" t="str">
        <f aca="false">IF(DITARI!$D313="","",DITARI!$B313)</f>
        <v/>
      </c>
      <c r="D309" s="484" t="str">
        <f aca="false">IF(DITARI!$D313="","",DITARI!$C313)</f>
        <v/>
      </c>
      <c r="E309" s="484" t="str">
        <f aca="false">IF(DITARI!$D313="","",TRIM(DITARI!$D313&amp;""))</f>
        <v/>
      </c>
      <c r="F309" s="484" t="str">
        <f aca="false">IF($E309="","",IFERROR(VLOOKUP($E309,PLANI_LLOGARIVE!$A:$I,2,FALSE()),DITARI!$E313))</f>
        <v/>
      </c>
      <c r="G309" s="484" t="str">
        <f aca="false">IF($E309="","",DITARI!$I313)</f>
        <v/>
      </c>
      <c r="H309" s="484" t="str">
        <f aca="false">IFERROR(IF($E309="","",DITARI!$H313),"")</f>
        <v/>
      </c>
      <c r="I309" s="487" t="n">
        <f aca="false">IF($E309="",0,IFERROR(DITARI!$F313,0))</f>
        <v>0</v>
      </c>
      <c r="J309" s="487" t="n">
        <f aca="false">IF($E309="",0,IFERROR(DITARI!$G313,0))</f>
        <v>0</v>
      </c>
      <c r="K309" s="484" t="str">
        <f aca="false">IF($E309="","",IFERROR(VLOOKUP($E309,PLANI_LLOGARIVE!$A:$I,9,FALSE()),""))</f>
        <v/>
      </c>
      <c r="L309" s="487" t="str">
        <f aca="false">IF($E309="","",$I309-$J309)</f>
        <v/>
      </c>
      <c r="M309" s="484" t="str">
        <f aca="false">IF($E309="","",IF($I309&gt;0,"DEBIT",IF($J309&gt;0,"KREDIT","ZERO")))</f>
        <v/>
      </c>
      <c r="N309" s="484" t="str">
        <f aca="false">IF($E309="","",TEXT($B309,"yyyymmdd")&amp;"-"&amp;TEXT(ROW(),"0000"))</f>
        <v/>
      </c>
      <c r="O309" s="101" t="str">
        <f aca="false">IF($E309="","",$E309&amp;"")</f>
        <v/>
      </c>
      <c r="P309" s="101" t="str">
        <f aca="false">IF(AND($O309&lt;&gt;"",$I309&lt;&gt;0),COUNTIFS($O$2:O309,$O309,$I$2:I309,"&gt;0"),"")</f>
        <v/>
      </c>
      <c r="Q309" s="101" t="str">
        <f aca="false">IF(AND($O309&lt;&gt;"",$J309&lt;&gt;0),COUNTIFS($O$2:O309,$O309,$J$2:J309,"&gt;0"),"")</f>
        <v/>
      </c>
      <c r="R309" s="101" t="str">
        <f aca="false">IF($P309="","",$O309&amp;"|"&amp;$P309)</f>
        <v/>
      </c>
      <c r="S309" s="101" t="str">
        <f aca="false">IF($Q309="","",$O309&amp;"|"&amp;$Q309)</f>
        <v/>
      </c>
      <c r="T309" s="101" t="str">
        <f aca="false">IF($O309="","",COUNTIF($O$2:O309,$O309))</f>
        <v/>
      </c>
      <c r="U309" s="101" t="str">
        <f aca="false">IF($O309="","",$O309&amp;"|"&amp;$T309)</f>
        <v/>
      </c>
      <c r="V309" s="488" t="n">
        <f aca="false">IF(OR(LEFT($D309,5)="MB-CL",LEFT($D309,6)="MB-RES"),0,$I309)</f>
        <v>0</v>
      </c>
      <c r="W309" s="488" t="n">
        <f aca="false">IF(OR(LEFT($D309,5)="MB-CL",LEFT($D309,6)="MB-RES"),0,$J309)</f>
        <v>0</v>
      </c>
      <c r="X309" s="101" t="str">
        <f aca="false">IF($E309="","",LEFT($E309,1))</f>
        <v/>
      </c>
      <c r="Y309" s="101" t="str">
        <f aca="false">IF($E309="","",LEFT($E309,2))</f>
        <v/>
      </c>
      <c r="Z309" s="101" t="str">
        <f aca="false">IF($E309="","",LEFT($E309,3))</f>
        <v/>
      </c>
      <c r="AA309" s="101" t="str">
        <f aca="false">IF($E309="","",LEFT($E309,4))</f>
        <v/>
      </c>
    </row>
    <row r="310" customFormat="false" ht="15" hidden="false" customHeight="true" outlineLevel="0" collapsed="false">
      <c r="A310" s="484" t="str">
        <f aca="false">IF(DITARI!$D314="","",ROW()-1)</f>
        <v/>
      </c>
      <c r="B310" s="485" t="str">
        <f aca="false">IF(DITARI!$D314="","",DITARI!$A314)</f>
        <v/>
      </c>
      <c r="C310" s="484" t="str">
        <f aca="false">IF(DITARI!$D314="","",DITARI!$B314)</f>
        <v/>
      </c>
      <c r="D310" s="484" t="str">
        <f aca="false">IF(DITARI!$D314="","",DITARI!$C314)</f>
        <v/>
      </c>
      <c r="E310" s="484" t="str">
        <f aca="false">IF(DITARI!$D314="","",TRIM(DITARI!$D314&amp;""))</f>
        <v/>
      </c>
      <c r="F310" s="484" t="str">
        <f aca="false">IF($E310="","",IFERROR(VLOOKUP($E310,PLANI_LLOGARIVE!$A:$I,2,FALSE()),DITARI!$E314))</f>
        <v/>
      </c>
      <c r="G310" s="484" t="str">
        <f aca="false">IF($E310="","",DITARI!$I314)</f>
        <v/>
      </c>
      <c r="H310" s="484" t="str">
        <f aca="false">IFERROR(IF($E310="","",DITARI!$H314),"")</f>
        <v/>
      </c>
      <c r="I310" s="487" t="n">
        <f aca="false">IF($E310="",0,IFERROR(DITARI!$F314,0))</f>
        <v>0</v>
      </c>
      <c r="J310" s="487" t="n">
        <f aca="false">IF($E310="",0,IFERROR(DITARI!$G314,0))</f>
        <v>0</v>
      </c>
      <c r="K310" s="484" t="str">
        <f aca="false">IF($E310="","",IFERROR(VLOOKUP($E310,PLANI_LLOGARIVE!$A:$I,9,FALSE()),""))</f>
        <v/>
      </c>
      <c r="L310" s="487" t="str">
        <f aca="false">IF($E310="","",$I310-$J310)</f>
        <v/>
      </c>
      <c r="M310" s="484" t="str">
        <f aca="false">IF($E310="","",IF($I310&gt;0,"DEBIT",IF($J310&gt;0,"KREDIT","ZERO")))</f>
        <v/>
      </c>
      <c r="N310" s="484" t="str">
        <f aca="false">IF($E310="","",TEXT($B310,"yyyymmdd")&amp;"-"&amp;TEXT(ROW(),"0000"))</f>
        <v/>
      </c>
      <c r="O310" s="101" t="str">
        <f aca="false">IF($E310="","",$E310&amp;"")</f>
        <v/>
      </c>
      <c r="P310" s="101" t="str">
        <f aca="false">IF(AND($O310&lt;&gt;"",$I310&lt;&gt;0),COUNTIFS($O$2:O310,$O310,$I$2:I310,"&gt;0"),"")</f>
        <v/>
      </c>
      <c r="Q310" s="101" t="str">
        <f aca="false">IF(AND($O310&lt;&gt;"",$J310&lt;&gt;0),COUNTIFS($O$2:O310,$O310,$J$2:J310,"&gt;0"),"")</f>
        <v/>
      </c>
      <c r="R310" s="101" t="str">
        <f aca="false">IF($P310="","",$O310&amp;"|"&amp;$P310)</f>
        <v/>
      </c>
      <c r="S310" s="101" t="str">
        <f aca="false">IF($Q310="","",$O310&amp;"|"&amp;$Q310)</f>
        <v/>
      </c>
      <c r="T310" s="101" t="str">
        <f aca="false">IF($O310="","",COUNTIF($O$2:O310,$O310))</f>
        <v/>
      </c>
      <c r="U310" s="101" t="str">
        <f aca="false">IF($O310="","",$O310&amp;"|"&amp;$T310)</f>
        <v/>
      </c>
      <c r="V310" s="488" t="n">
        <f aca="false">IF(OR(LEFT($D310,5)="MB-CL",LEFT($D310,6)="MB-RES"),0,$I310)</f>
        <v>0</v>
      </c>
      <c r="W310" s="488" t="n">
        <f aca="false">IF(OR(LEFT($D310,5)="MB-CL",LEFT($D310,6)="MB-RES"),0,$J310)</f>
        <v>0</v>
      </c>
      <c r="X310" s="101" t="str">
        <f aca="false">IF($E310="","",LEFT($E310,1))</f>
        <v/>
      </c>
      <c r="Y310" s="101" t="str">
        <f aca="false">IF($E310="","",LEFT($E310,2))</f>
        <v/>
      </c>
      <c r="Z310" s="101" t="str">
        <f aca="false">IF($E310="","",LEFT($E310,3))</f>
        <v/>
      </c>
      <c r="AA310" s="101" t="str">
        <f aca="false">IF($E310="","",LEFT($E310,4))</f>
        <v/>
      </c>
    </row>
    <row r="311" customFormat="false" ht="15" hidden="false" customHeight="true" outlineLevel="0" collapsed="false">
      <c r="A311" s="484" t="str">
        <f aca="false">IF(DITARI!$D315="","",ROW()-1)</f>
        <v/>
      </c>
      <c r="B311" s="485" t="str">
        <f aca="false">IF(DITARI!$D315="","",DITARI!$A315)</f>
        <v/>
      </c>
      <c r="C311" s="484" t="str">
        <f aca="false">IF(DITARI!$D315="","",DITARI!$B315)</f>
        <v/>
      </c>
      <c r="D311" s="484" t="str">
        <f aca="false">IF(DITARI!$D315="","",DITARI!$C315)</f>
        <v/>
      </c>
      <c r="E311" s="484" t="str">
        <f aca="false">IF(DITARI!$D315="","",TRIM(DITARI!$D315&amp;""))</f>
        <v/>
      </c>
      <c r="F311" s="484" t="str">
        <f aca="false">IF($E311="","",IFERROR(VLOOKUP($E311,PLANI_LLOGARIVE!$A:$I,2,FALSE()),DITARI!$E315))</f>
        <v/>
      </c>
      <c r="G311" s="484" t="str">
        <f aca="false">IF($E311="","",DITARI!$I315)</f>
        <v/>
      </c>
      <c r="H311" s="484" t="str">
        <f aca="false">IFERROR(IF($E311="","",DITARI!$H315),"")</f>
        <v/>
      </c>
      <c r="I311" s="487" t="n">
        <f aca="false">IF($E311="",0,IFERROR(DITARI!$F315,0))</f>
        <v>0</v>
      </c>
      <c r="J311" s="487" t="n">
        <f aca="false">IF($E311="",0,IFERROR(DITARI!$G315,0))</f>
        <v>0</v>
      </c>
      <c r="K311" s="484" t="str">
        <f aca="false">IF($E311="","",IFERROR(VLOOKUP($E311,PLANI_LLOGARIVE!$A:$I,9,FALSE()),""))</f>
        <v/>
      </c>
      <c r="L311" s="487" t="str">
        <f aca="false">IF($E311="","",$I311-$J311)</f>
        <v/>
      </c>
      <c r="M311" s="484" t="str">
        <f aca="false">IF($E311="","",IF($I311&gt;0,"DEBIT",IF($J311&gt;0,"KREDIT","ZERO")))</f>
        <v/>
      </c>
      <c r="N311" s="484" t="str">
        <f aca="false">IF($E311="","",TEXT($B311,"yyyymmdd")&amp;"-"&amp;TEXT(ROW(),"0000"))</f>
        <v/>
      </c>
      <c r="O311" s="101" t="str">
        <f aca="false">IF($E311="","",$E311&amp;"")</f>
        <v/>
      </c>
      <c r="P311" s="101" t="str">
        <f aca="false">IF(AND($O311&lt;&gt;"",$I311&lt;&gt;0),COUNTIFS($O$2:O311,$O311,$I$2:I311,"&gt;0"),"")</f>
        <v/>
      </c>
      <c r="Q311" s="101" t="str">
        <f aca="false">IF(AND($O311&lt;&gt;"",$J311&lt;&gt;0),COUNTIFS($O$2:O311,$O311,$J$2:J311,"&gt;0"),"")</f>
        <v/>
      </c>
      <c r="R311" s="101" t="str">
        <f aca="false">IF($P311="","",$O311&amp;"|"&amp;$P311)</f>
        <v/>
      </c>
      <c r="S311" s="101" t="str">
        <f aca="false">IF($Q311="","",$O311&amp;"|"&amp;$Q311)</f>
        <v/>
      </c>
      <c r="T311" s="101" t="str">
        <f aca="false">IF($O311="","",COUNTIF($O$2:O311,$O311))</f>
        <v/>
      </c>
      <c r="U311" s="101" t="str">
        <f aca="false">IF($O311="","",$O311&amp;"|"&amp;$T311)</f>
        <v/>
      </c>
      <c r="V311" s="488" t="n">
        <f aca="false">IF(OR(LEFT($D311,5)="MB-CL",LEFT($D311,6)="MB-RES"),0,$I311)</f>
        <v>0</v>
      </c>
      <c r="W311" s="488" t="n">
        <f aca="false">IF(OR(LEFT($D311,5)="MB-CL",LEFT($D311,6)="MB-RES"),0,$J311)</f>
        <v>0</v>
      </c>
      <c r="X311" s="101" t="str">
        <f aca="false">IF($E311="","",LEFT($E311,1))</f>
        <v/>
      </c>
      <c r="Y311" s="101" t="str">
        <f aca="false">IF($E311="","",LEFT($E311,2))</f>
        <v/>
      </c>
      <c r="Z311" s="101" t="str">
        <f aca="false">IF($E311="","",LEFT($E311,3))</f>
        <v/>
      </c>
      <c r="AA311" s="101" t="str">
        <f aca="false">IF($E311="","",LEFT($E311,4))</f>
        <v/>
      </c>
    </row>
    <row r="312" customFormat="false" ht="15" hidden="false" customHeight="true" outlineLevel="0" collapsed="false">
      <c r="A312" s="484" t="str">
        <f aca="false">IF(DITARI!$D316="","",ROW()-1)</f>
        <v/>
      </c>
      <c r="B312" s="485" t="str">
        <f aca="false">IF(DITARI!$D316="","",DITARI!$A316)</f>
        <v/>
      </c>
      <c r="C312" s="484" t="str">
        <f aca="false">IF(DITARI!$D316="","",DITARI!$B316)</f>
        <v/>
      </c>
      <c r="D312" s="484" t="str">
        <f aca="false">IF(DITARI!$D316="","",DITARI!$C316)</f>
        <v/>
      </c>
      <c r="E312" s="484" t="str">
        <f aca="false">IF(DITARI!$D316="","",TRIM(DITARI!$D316&amp;""))</f>
        <v/>
      </c>
      <c r="F312" s="484" t="str">
        <f aca="false">IF($E312="","",IFERROR(VLOOKUP($E312,PLANI_LLOGARIVE!$A:$I,2,FALSE()),DITARI!$E316))</f>
        <v/>
      </c>
      <c r="G312" s="484" t="str">
        <f aca="false">IF($E312="","",DITARI!$I316)</f>
        <v/>
      </c>
      <c r="H312" s="484" t="str">
        <f aca="false">IFERROR(IF($E312="","",DITARI!$H316),"")</f>
        <v/>
      </c>
      <c r="I312" s="487" t="n">
        <f aca="false">IF($E312="",0,IFERROR(DITARI!$F316,0))</f>
        <v>0</v>
      </c>
      <c r="J312" s="487" t="n">
        <f aca="false">IF($E312="",0,IFERROR(DITARI!$G316,0))</f>
        <v>0</v>
      </c>
      <c r="K312" s="484" t="str">
        <f aca="false">IF($E312="","",IFERROR(VLOOKUP($E312,PLANI_LLOGARIVE!$A:$I,9,FALSE()),""))</f>
        <v/>
      </c>
      <c r="L312" s="487" t="str">
        <f aca="false">IF($E312="","",$I312-$J312)</f>
        <v/>
      </c>
      <c r="M312" s="484" t="str">
        <f aca="false">IF($E312="","",IF($I312&gt;0,"DEBIT",IF($J312&gt;0,"KREDIT","ZERO")))</f>
        <v/>
      </c>
      <c r="N312" s="484" t="str">
        <f aca="false">IF($E312="","",TEXT($B312,"yyyymmdd")&amp;"-"&amp;TEXT(ROW(),"0000"))</f>
        <v/>
      </c>
      <c r="O312" s="101" t="str">
        <f aca="false">IF($E312="","",$E312&amp;"")</f>
        <v/>
      </c>
      <c r="P312" s="101" t="str">
        <f aca="false">IF(AND($O312&lt;&gt;"",$I312&lt;&gt;0),COUNTIFS($O$2:O312,$O312,$I$2:I312,"&gt;0"),"")</f>
        <v/>
      </c>
      <c r="Q312" s="101" t="str">
        <f aca="false">IF(AND($O312&lt;&gt;"",$J312&lt;&gt;0),COUNTIFS($O$2:O312,$O312,$J$2:J312,"&gt;0"),"")</f>
        <v/>
      </c>
      <c r="R312" s="101" t="str">
        <f aca="false">IF($P312="","",$O312&amp;"|"&amp;$P312)</f>
        <v/>
      </c>
      <c r="S312" s="101" t="str">
        <f aca="false">IF($Q312="","",$O312&amp;"|"&amp;$Q312)</f>
        <v/>
      </c>
      <c r="T312" s="101" t="str">
        <f aca="false">IF($O312="","",COUNTIF($O$2:O312,$O312))</f>
        <v/>
      </c>
      <c r="U312" s="101" t="str">
        <f aca="false">IF($O312="","",$O312&amp;"|"&amp;$T312)</f>
        <v/>
      </c>
      <c r="V312" s="488" t="n">
        <f aca="false">IF(OR(LEFT($D312,5)="MB-CL",LEFT($D312,6)="MB-RES"),0,$I312)</f>
        <v>0</v>
      </c>
      <c r="W312" s="488" t="n">
        <f aca="false">IF(OR(LEFT($D312,5)="MB-CL",LEFT($D312,6)="MB-RES"),0,$J312)</f>
        <v>0</v>
      </c>
      <c r="X312" s="101" t="str">
        <f aca="false">IF($E312="","",LEFT($E312,1))</f>
        <v/>
      </c>
      <c r="Y312" s="101" t="str">
        <f aca="false">IF($E312="","",LEFT($E312,2))</f>
        <v/>
      </c>
      <c r="Z312" s="101" t="str">
        <f aca="false">IF($E312="","",LEFT($E312,3))</f>
        <v/>
      </c>
      <c r="AA312" s="101" t="str">
        <f aca="false">IF($E312="","",LEFT($E312,4))</f>
        <v/>
      </c>
    </row>
    <row r="313" customFormat="false" ht="15" hidden="false" customHeight="true" outlineLevel="0" collapsed="false">
      <c r="A313" s="484" t="str">
        <f aca="false">IF(DITARI!$D317="","",ROW()-1)</f>
        <v/>
      </c>
      <c r="B313" s="485" t="str">
        <f aca="false">IF(DITARI!$D317="","",DITARI!$A317)</f>
        <v/>
      </c>
      <c r="C313" s="484" t="str">
        <f aca="false">IF(DITARI!$D317="","",DITARI!$B317)</f>
        <v/>
      </c>
      <c r="D313" s="484" t="str">
        <f aca="false">IF(DITARI!$D317="","",DITARI!$C317)</f>
        <v/>
      </c>
      <c r="E313" s="484" t="str">
        <f aca="false">IF(DITARI!$D317="","",TRIM(DITARI!$D317&amp;""))</f>
        <v/>
      </c>
      <c r="F313" s="484" t="str">
        <f aca="false">IF($E313="","",IFERROR(VLOOKUP($E313,PLANI_LLOGARIVE!$A:$I,2,FALSE()),DITARI!$E317))</f>
        <v/>
      </c>
      <c r="G313" s="484" t="str">
        <f aca="false">IF($E313="","",DITARI!$I317)</f>
        <v/>
      </c>
      <c r="H313" s="484" t="str">
        <f aca="false">IFERROR(IF($E313="","",DITARI!$H317),"")</f>
        <v/>
      </c>
      <c r="I313" s="487" t="n">
        <f aca="false">IF($E313="",0,IFERROR(DITARI!$F317,0))</f>
        <v>0</v>
      </c>
      <c r="J313" s="487" t="n">
        <f aca="false">IF($E313="",0,IFERROR(DITARI!$G317,0))</f>
        <v>0</v>
      </c>
      <c r="K313" s="484" t="str">
        <f aca="false">IF($E313="","",IFERROR(VLOOKUP($E313,PLANI_LLOGARIVE!$A:$I,9,FALSE()),""))</f>
        <v/>
      </c>
      <c r="L313" s="487" t="str">
        <f aca="false">IF($E313="","",$I313-$J313)</f>
        <v/>
      </c>
      <c r="M313" s="484" t="str">
        <f aca="false">IF($E313="","",IF($I313&gt;0,"DEBIT",IF($J313&gt;0,"KREDIT","ZERO")))</f>
        <v/>
      </c>
      <c r="N313" s="484" t="str">
        <f aca="false">IF($E313="","",TEXT($B313,"yyyymmdd")&amp;"-"&amp;TEXT(ROW(),"0000"))</f>
        <v/>
      </c>
      <c r="O313" s="101" t="str">
        <f aca="false">IF($E313="","",$E313&amp;"")</f>
        <v/>
      </c>
      <c r="P313" s="101" t="str">
        <f aca="false">IF(AND($O313&lt;&gt;"",$I313&lt;&gt;0),COUNTIFS($O$2:O313,$O313,$I$2:I313,"&gt;0"),"")</f>
        <v/>
      </c>
      <c r="Q313" s="101" t="str">
        <f aca="false">IF(AND($O313&lt;&gt;"",$J313&lt;&gt;0),COUNTIFS($O$2:O313,$O313,$J$2:J313,"&gt;0"),"")</f>
        <v/>
      </c>
      <c r="R313" s="101" t="str">
        <f aca="false">IF($P313="","",$O313&amp;"|"&amp;$P313)</f>
        <v/>
      </c>
      <c r="S313" s="101" t="str">
        <f aca="false">IF($Q313="","",$O313&amp;"|"&amp;$Q313)</f>
        <v/>
      </c>
      <c r="T313" s="101" t="str">
        <f aca="false">IF($O313="","",COUNTIF($O$2:O313,$O313))</f>
        <v/>
      </c>
      <c r="U313" s="101" t="str">
        <f aca="false">IF($O313="","",$O313&amp;"|"&amp;$T313)</f>
        <v/>
      </c>
      <c r="V313" s="488" t="n">
        <f aca="false">IF(OR(LEFT($D313,5)="MB-CL",LEFT($D313,6)="MB-RES"),0,$I313)</f>
        <v>0</v>
      </c>
      <c r="W313" s="488" t="n">
        <f aca="false">IF(OR(LEFT($D313,5)="MB-CL",LEFT($D313,6)="MB-RES"),0,$J313)</f>
        <v>0</v>
      </c>
      <c r="X313" s="101" t="str">
        <f aca="false">IF($E313="","",LEFT($E313,1))</f>
        <v/>
      </c>
      <c r="Y313" s="101" t="str">
        <f aca="false">IF($E313="","",LEFT($E313,2))</f>
        <v/>
      </c>
      <c r="Z313" s="101" t="str">
        <f aca="false">IF($E313="","",LEFT($E313,3))</f>
        <v/>
      </c>
      <c r="AA313" s="101" t="str">
        <f aca="false">IF($E313="","",LEFT($E313,4))</f>
        <v/>
      </c>
    </row>
    <row r="314" customFormat="false" ht="15" hidden="false" customHeight="true" outlineLevel="0" collapsed="false">
      <c r="A314" s="484" t="str">
        <f aca="false">IF(DITARI!$D318="","",ROW()-1)</f>
        <v/>
      </c>
      <c r="B314" s="485" t="str">
        <f aca="false">IF(DITARI!$D318="","",DITARI!$A318)</f>
        <v/>
      </c>
      <c r="C314" s="484" t="str">
        <f aca="false">IF(DITARI!$D318="","",DITARI!$B318)</f>
        <v/>
      </c>
      <c r="D314" s="484" t="str">
        <f aca="false">IF(DITARI!$D318="","",DITARI!$C318)</f>
        <v/>
      </c>
      <c r="E314" s="484" t="str">
        <f aca="false">IF(DITARI!$D318="","",TRIM(DITARI!$D318&amp;""))</f>
        <v/>
      </c>
      <c r="F314" s="484" t="str">
        <f aca="false">IF($E314="","",IFERROR(VLOOKUP($E314,PLANI_LLOGARIVE!$A:$I,2,FALSE()),DITARI!$E318))</f>
        <v/>
      </c>
      <c r="G314" s="484" t="str">
        <f aca="false">IF($E314="","",DITARI!$I318)</f>
        <v/>
      </c>
      <c r="H314" s="484" t="str">
        <f aca="false">IFERROR(IF($E314="","",DITARI!$H318),"")</f>
        <v/>
      </c>
      <c r="I314" s="487" t="n">
        <f aca="false">IF($E314="",0,IFERROR(DITARI!$F318,0))</f>
        <v>0</v>
      </c>
      <c r="J314" s="487" t="n">
        <f aca="false">IF($E314="",0,IFERROR(DITARI!$G318,0))</f>
        <v>0</v>
      </c>
      <c r="K314" s="484" t="str">
        <f aca="false">IF($E314="","",IFERROR(VLOOKUP($E314,PLANI_LLOGARIVE!$A:$I,9,FALSE()),""))</f>
        <v/>
      </c>
      <c r="L314" s="487" t="str">
        <f aca="false">IF($E314="","",$I314-$J314)</f>
        <v/>
      </c>
      <c r="M314" s="484" t="str">
        <f aca="false">IF($E314="","",IF($I314&gt;0,"DEBIT",IF($J314&gt;0,"KREDIT","ZERO")))</f>
        <v/>
      </c>
      <c r="N314" s="484" t="str">
        <f aca="false">IF($E314="","",TEXT($B314,"yyyymmdd")&amp;"-"&amp;TEXT(ROW(),"0000"))</f>
        <v/>
      </c>
      <c r="O314" s="101" t="str">
        <f aca="false">IF($E314="","",$E314&amp;"")</f>
        <v/>
      </c>
      <c r="P314" s="101" t="str">
        <f aca="false">IF(AND($O314&lt;&gt;"",$I314&lt;&gt;0),COUNTIFS($O$2:O314,$O314,$I$2:I314,"&gt;0"),"")</f>
        <v/>
      </c>
      <c r="Q314" s="101" t="str">
        <f aca="false">IF(AND($O314&lt;&gt;"",$J314&lt;&gt;0),COUNTIFS($O$2:O314,$O314,$J$2:J314,"&gt;0"),"")</f>
        <v/>
      </c>
      <c r="R314" s="101" t="str">
        <f aca="false">IF($P314="","",$O314&amp;"|"&amp;$P314)</f>
        <v/>
      </c>
      <c r="S314" s="101" t="str">
        <f aca="false">IF($Q314="","",$O314&amp;"|"&amp;$Q314)</f>
        <v/>
      </c>
      <c r="T314" s="101" t="str">
        <f aca="false">IF($O314="","",COUNTIF($O$2:O314,$O314))</f>
        <v/>
      </c>
      <c r="U314" s="101" t="str">
        <f aca="false">IF($O314="","",$O314&amp;"|"&amp;$T314)</f>
        <v/>
      </c>
      <c r="V314" s="488" t="n">
        <f aca="false">IF(OR(LEFT($D314,5)="MB-CL",LEFT($D314,6)="MB-RES"),0,$I314)</f>
        <v>0</v>
      </c>
      <c r="W314" s="488" t="n">
        <f aca="false">IF(OR(LEFT($D314,5)="MB-CL",LEFT($D314,6)="MB-RES"),0,$J314)</f>
        <v>0</v>
      </c>
      <c r="X314" s="101" t="str">
        <f aca="false">IF($E314="","",LEFT($E314,1))</f>
        <v/>
      </c>
      <c r="Y314" s="101" t="str">
        <f aca="false">IF($E314="","",LEFT($E314,2))</f>
        <v/>
      </c>
      <c r="Z314" s="101" t="str">
        <f aca="false">IF($E314="","",LEFT($E314,3))</f>
        <v/>
      </c>
      <c r="AA314" s="101" t="str">
        <f aca="false">IF($E314="","",LEFT($E314,4))</f>
        <v/>
      </c>
    </row>
    <row r="315" customFormat="false" ht="15" hidden="false" customHeight="true" outlineLevel="0" collapsed="false">
      <c r="A315" s="484" t="str">
        <f aca="false">IF(DITARI!$D319="","",ROW()-1)</f>
        <v/>
      </c>
      <c r="B315" s="485" t="str">
        <f aca="false">IF(DITARI!$D319="","",DITARI!$A319)</f>
        <v/>
      </c>
      <c r="C315" s="484" t="str">
        <f aca="false">IF(DITARI!$D319="","",DITARI!$B319)</f>
        <v/>
      </c>
      <c r="D315" s="484" t="str">
        <f aca="false">IF(DITARI!$D319="","",DITARI!$C319)</f>
        <v/>
      </c>
      <c r="E315" s="484" t="str">
        <f aca="false">IF(DITARI!$D319="","",TRIM(DITARI!$D319&amp;""))</f>
        <v/>
      </c>
      <c r="F315" s="484" t="str">
        <f aca="false">IF($E315="","",IFERROR(VLOOKUP($E315,PLANI_LLOGARIVE!$A:$I,2,FALSE()),DITARI!$E319))</f>
        <v/>
      </c>
      <c r="G315" s="484" t="str">
        <f aca="false">IF($E315="","",DITARI!$I319)</f>
        <v/>
      </c>
      <c r="H315" s="484" t="str">
        <f aca="false">IFERROR(IF($E315="","",DITARI!$H319),"")</f>
        <v/>
      </c>
      <c r="I315" s="487" t="n">
        <f aca="false">IF($E315="",0,IFERROR(DITARI!$F319,0))</f>
        <v>0</v>
      </c>
      <c r="J315" s="487" t="n">
        <f aca="false">IF($E315="",0,IFERROR(DITARI!$G319,0))</f>
        <v>0</v>
      </c>
      <c r="K315" s="484" t="str">
        <f aca="false">IF($E315="","",IFERROR(VLOOKUP($E315,PLANI_LLOGARIVE!$A:$I,9,FALSE()),""))</f>
        <v/>
      </c>
      <c r="L315" s="487" t="str">
        <f aca="false">IF($E315="","",$I315-$J315)</f>
        <v/>
      </c>
      <c r="M315" s="484" t="str">
        <f aca="false">IF($E315="","",IF($I315&gt;0,"DEBIT",IF($J315&gt;0,"KREDIT","ZERO")))</f>
        <v/>
      </c>
      <c r="N315" s="484" t="str">
        <f aca="false">IF($E315="","",TEXT($B315,"yyyymmdd")&amp;"-"&amp;TEXT(ROW(),"0000"))</f>
        <v/>
      </c>
      <c r="O315" s="101" t="str">
        <f aca="false">IF($E315="","",$E315&amp;"")</f>
        <v/>
      </c>
      <c r="P315" s="101" t="str">
        <f aca="false">IF(AND($O315&lt;&gt;"",$I315&lt;&gt;0),COUNTIFS($O$2:O315,$O315,$I$2:I315,"&gt;0"),"")</f>
        <v/>
      </c>
      <c r="Q315" s="101" t="str">
        <f aca="false">IF(AND($O315&lt;&gt;"",$J315&lt;&gt;0),COUNTIFS($O$2:O315,$O315,$J$2:J315,"&gt;0"),"")</f>
        <v/>
      </c>
      <c r="R315" s="101" t="str">
        <f aca="false">IF($P315="","",$O315&amp;"|"&amp;$P315)</f>
        <v/>
      </c>
      <c r="S315" s="101" t="str">
        <f aca="false">IF($Q315="","",$O315&amp;"|"&amp;$Q315)</f>
        <v/>
      </c>
      <c r="T315" s="101" t="str">
        <f aca="false">IF($O315="","",COUNTIF($O$2:O315,$O315))</f>
        <v/>
      </c>
      <c r="U315" s="101" t="str">
        <f aca="false">IF($O315="","",$O315&amp;"|"&amp;$T315)</f>
        <v/>
      </c>
      <c r="V315" s="488" t="n">
        <f aca="false">IF(OR(LEFT($D315,5)="MB-CL",LEFT($D315,6)="MB-RES"),0,$I315)</f>
        <v>0</v>
      </c>
      <c r="W315" s="488" t="n">
        <f aca="false">IF(OR(LEFT($D315,5)="MB-CL",LEFT($D315,6)="MB-RES"),0,$J315)</f>
        <v>0</v>
      </c>
      <c r="X315" s="101" t="str">
        <f aca="false">IF($E315="","",LEFT($E315,1))</f>
        <v/>
      </c>
      <c r="Y315" s="101" t="str">
        <f aca="false">IF($E315="","",LEFT($E315,2))</f>
        <v/>
      </c>
      <c r="Z315" s="101" t="str">
        <f aca="false">IF($E315="","",LEFT($E315,3))</f>
        <v/>
      </c>
      <c r="AA315" s="101" t="str">
        <f aca="false">IF($E315="","",LEFT($E315,4))</f>
        <v/>
      </c>
    </row>
    <row r="316" customFormat="false" ht="15" hidden="false" customHeight="true" outlineLevel="0" collapsed="false">
      <c r="A316" s="484" t="str">
        <f aca="false">IF(DITARI!$D320="","",ROW()-1)</f>
        <v/>
      </c>
      <c r="B316" s="485" t="str">
        <f aca="false">IF(DITARI!$D320="","",DITARI!$A320)</f>
        <v/>
      </c>
      <c r="C316" s="484" t="str">
        <f aca="false">IF(DITARI!$D320="","",DITARI!$B320)</f>
        <v/>
      </c>
      <c r="D316" s="484" t="str">
        <f aca="false">IF(DITARI!$D320="","",DITARI!$C320)</f>
        <v/>
      </c>
      <c r="E316" s="484" t="str">
        <f aca="false">IF(DITARI!$D320="","",TRIM(DITARI!$D320&amp;""))</f>
        <v/>
      </c>
      <c r="F316" s="484" t="str">
        <f aca="false">IF($E316="","",IFERROR(VLOOKUP($E316,PLANI_LLOGARIVE!$A:$I,2,FALSE()),DITARI!$E320))</f>
        <v/>
      </c>
      <c r="G316" s="484" t="str">
        <f aca="false">IF($E316="","",DITARI!$I320)</f>
        <v/>
      </c>
      <c r="H316" s="484" t="str">
        <f aca="false">IFERROR(IF($E316="","",DITARI!$H320),"")</f>
        <v/>
      </c>
      <c r="I316" s="487" t="n">
        <f aca="false">IF($E316="",0,IFERROR(DITARI!$F320,0))</f>
        <v>0</v>
      </c>
      <c r="J316" s="487" t="n">
        <f aca="false">IF($E316="",0,IFERROR(DITARI!$G320,0))</f>
        <v>0</v>
      </c>
      <c r="K316" s="484" t="str">
        <f aca="false">IF($E316="","",IFERROR(VLOOKUP($E316,PLANI_LLOGARIVE!$A:$I,9,FALSE()),""))</f>
        <v/>
      </c>
      <c r="L316" s="487" t="str">
        <f aca="false">IF($E316="","",$I316-$J316)</f>
        <v/>
      </c>
      <c r="M316" s="484" t="str">
        <f aca="false">IF($E316="","",IF($I316&gt;0,"DEBIT",IF($J316&gt;0,"KREDIT","ZERO")))</f>
        <v/>
      </c>
      <c r="N316" s="484" t="str">
        <f aca="false">IF($E316="","",TEXT($B316,"yyyymmdd")&amp;"-"&amp;TEXT(ROW(),"0000"))</f>
        <v/>
      </c>
      <c r="O316" s="101" t="str">
        <f aca="false">IF($E316="","",$E316&amp;"")</f>
        <v/>
      </c>
      <c r="P316" s="101" t="str">
        <f aca="false">IF(AND($O316&lt;&gt;"",$I316&lt;&gt;0),COUNTIFS($O$2:O316,$O316,$I$2:I316,"&gt;0"),"")</f>
        <v/>
      </c>
      <c r="Q316" s="101" t="str">
        <f aca="false">IF(AND($O316&lt;&gt;"",$J316&lt;&gt;0),COUNTIFS($O$2:O316,$O316,$J$2:J316,"&gt;0"),"")</f>
        <v/>
      </c>
      <c r="R316" s="101" t="str">
        <f aca="false">IF($P316="","",$O316&amp;"|"&amp;$P316)</f>
        <v/>
      </c>
      <c r="S316" s="101" t="str">
        <f aca="false">IF($Q316="","",$O316&amp;"|"&amp;$Q316)</f>
        <v/>
      </c>
      <c r="T316" s="101" t="str">
        <f aca="false">IF($O316="","",COUNTIF($O$2:O316,$O316))</f>
        <v/>
      </c>
      <c r="U316" s="101" t="str">
        <f aca="false">IF($O316="","",$O316&amp;"|"&amp;$T316)</f>
        <v/>
      </c>
      <c r="V316" s="488" t="n">
        <f aca="false">IF(OR(LEFT($D316,5)="MB-CL",LEFT($D316,6)="MB-RES"),0,$I316)</f>
        <v>0</v>
      </c>
      <c r="W316" s="488" t="n">
        <f aca="false">IF(OR(LEFT($D316,5)="MB-CL",LEFT($D316,6)="MB-RES"),0,$J316)</f>
        <v>0</v>
      </c>
      <c r="X316" s="101" t="str">
        <f aca="false">IF($E316="","",LEFT($E316,1))</f>
        <v/>
      </c>
      <c r="Y316" s="101" t="str">
        <f aca="false">IF($E316="","",LEFT($E316,2))</f>
        <v/>
      </c>
      <c r="Z316" s="101" t="str">
        <f aca="false">IF($E316="","",LEFT($E316,3))</f>
        <v/>
      </c>
      <c r="AA316" s="101" t="str">
        <f aca="false">IF($E316="","",LEFT($E316,4))</f>
        <v/>
      </c>
    </row>
    <row r="317" customFormat="false" ht="15" hidden="false" customHeight="true" outlineLevel="0" collapsed="false">
      <c r="A317" s="484" t="str">
        <f aca="false">IF(DITARI!$D321="","",ROW()-1)</f>
        <v/>
      </c>
      <c r="B317" s="485" t="str">
        <f aca="false">IF(DITARI!$D321="","",DITARI!$A321)</f>
        <v/>
      </c>
      <c r="C317" s="484" t="str">
        <f aca="false">IF(DITARI!$D321="","",DITARI!$B321)</f>
        <v/>
      </c>
      <c r="D317" s="484" t="str">
        <f aca="false">IF(DITARI!$D321="","",DITARI!$C321)</f>
        <v/>
      </c>
      <c r="E317" s="484" t="str">
        <f aca="false">IF(DITARI!$D321="","",TRIM(DITARI!$D321&amp;""))</f>
        <v/>
      </c>
      <c r="F317" s="484" t="str">
        <f aca="false">IF($E317="","",IFERROR(VLOOKUP($E317,PLANI_LLOGARIVE!$A:$I,2,FALSE()),DITARI!$E321))</f>
        <v/>
      </c>
      <c r="G317" s="484" t="str">
        <f aca="false">IF($E317="","",DITARI!$I321)</f>
        <v/>
      </c>
      <c r="H317" s="484" t="str">
        <f aca="false">IFERROR(IF($E317="","",DITARI!$H321),"")</f>
        <v/>
      </c>
      <c r="I317" s="487" t="n">
        <f aca="false">IF($E317="",0,IFERROR(DITARI!$F321,0))</f>
        <v>0</v>
      </c>
      <c r="J317" s="487" t="n">
        <f aca="false">IF($E317="",0,IFERROR(DITARI!$G321,0))</f>
        <v>0</v>
      </c>
      <c r="K317" s="484" t="str">
        <f aca="false">IF($E317="","",IFERROR(VLOOKUP($E317,PLANI_LLOGARIVE!$A:$I,9,FALSE()),""))</f>
        <v/>
      </c>
      <c r="L317" s="487" t="str">
        <f aca="false">IF($E317="","",$I317-$J317)</f>
        <v/>
      </c>
      <c r="M317" s="484" t="str">
        <f aca="false">IF($E317="","",IF($I317&gt;0,"DEBIT",IF($J317&gt;0,"KREDIT","ZERO")))</f>
        <v/>
      </c>
      <c r="N317" s="484" t="str">
        <f aca="false">IF($E317="","",TEXT($B317,"yyyymmdd")&amp;"-"&amp;TEXT(ROW(),"0000"))</f>
        <v/>
      </c>
      <c r="O317" s="101" t="str">
        <f aca="false">IF($E317="","",$E317&amp;"")</f>
        <v/>
      </c>
      <c r="P317" s="101" t="str">
        <f aca="false">IF(AND($O317&lt;&gt;"",$I317&lt;&gt;0),COUNTIFS($O$2:O317,$O317,$I$2:I317,"&gt;0"),"")</f>
        <v/>
      </c>
      <c r="Q317" s="101" t="str">
        <f aca="false">IF(AND($O317&lt;&gt;"",$J317&lt;&gt;0),COUNTIFS($O$2:O317,$O317,$J$2:J317,"&gt;0"),"")</f>
        <v/>
      </c>
      <c r="R317" s="101" t="str">
        <f aca="false">IF($P317="","",$O317&amp;"|"&amp;$P317)</f>
        <v/>
      </c>
      <c r="S317" s="101" t="str">
        <f aca="false">IF($Q317="","",$O317&amp;"|"&amp;$Q317)</f>
        <v/>
      </c>
      <c r="T317" s="101" t="str">
        <f aca="false">IF($O317="","",COUNTIF($O$2:O317,$O317))</f>
        <v/>
      </c>
      <c r="U317" s="101" t="str">
        <f aca="false">IF($O317="","",$O317&amp;"|"&amp;$T317)</f>
        <v/>
      </c>
      <c r="V317" s="488" t="n">
        <f aca="false">IF(OR(LEFT($D317,5)="MB-CL",LEFT($D317,6)="MB-RES"),0,$I317)</f>
        <v>0</v>
      </c>
      <c r="W317" s="488" t="n">
        <f aca="false">IF(OR(LEFT($D317,5)="MB-CL",LEFT($D317,6)="MB-RES"),0,$J317)</f>
        <v>0</v>
      </c>
      <c r="X317" s="101" t="str">
        <f aca="false">IF($E317="","",LEFT($E317,1))</f>
        <v/>
      </c>
      <c r="Y317" s="101" t="str">
        <f aca="false">IF($E317="","",LEFT($E317,2))</f>
        <v/>
      </c>
      <c r="Z317" s="101" t="str">
        <f aca="false">IF($E317="","",LEFT($E317,3))</f>
        <v/>
      </c>
      <c r="AA317" s="101" t="str">
        <f aca="false">IF($E317="","",LEFT($E317,4))</f>
        <v/>
      </c>
    </row>
    <row r="318" customFormat="false" ht="15" hidden="false" customHeight="true" outlineLevel="0" collapsed="false">
      <c r="A318" s="484" t="str">
        <f aca="false">IF(DITARI!$D322="","",ROW()-1)</f>
        <v/>
      </c>
      <c r="B318" s="485" t="str">
        <f aca="false">IF(DITARI!$D322="","",DITARI!$A322)</f>
        <v/>
      </c>
      <c r="C318" s="484" t="str">
        <f aca="false">IF(DITARI!$D322="","",DITARI!$B322)</f>
        <v/>
      </c>
      <c r="D318" s="484" t="str">
        <f aca="false">IF(DITARI!$D322="","",DITARI!$C322)</f>
        <v/>
      </c>
      <c r="E318" s="484" t="str">
        <f aca="false">IF(DITARI!$D322="","",TRIM(DITARI!$D322&amp;""))</f>
        <v/>
      </c>
      <c r="F318" s="484" t="str">
        <f aca="false">IF($E318="","",IFERROR(VLOOKUP($E318,PLANI_LLOGARIVE!$A:$I,2,FALSE()),DITARI!$E322))</f>
        <v/>
      </c>
      <c r="G318" s="484" t="str">
        <f aca="false">IF($E318="","",DITARI!$I322)</f>
        <v/>
      </c>
      <c r="H318" s="484" t="str">
        <f aca="false">IFERROR(IF($E318="","",DITARI!$H322),"")</f>
        <v/>
      </c>
      <c r="I318" s="487" t="n">
        <f aca="false">IF($E318="",0,IFERROR(DITARI!$F322,0))</f>
        <v>0</v>
      </c>
      <c r="J318" s="487" t="n">
        <f aca="false">IF($E318="",0,IFERROR(DITARI!$G322,0))</f>
        <v>0</v>
      </c>
      <c r="K318" s="484" t="str">
        <f aca="false">IF($E318="","",IFERROR(VLOOKUP($E318,PLANI_LLOGARIVE!$A:$I,9,FALSE()),""))</f>
        <v/>
      </c>
      <c r="L318" s="487" t="str">
        <f aca="false">IF($E318="","",$I318-$J318)</f>
        <v/>
      </c>
      <c r="M318" s="484" t="str">
        <f aca="false">IF($E318="","",IF($I318&gt;0,"DEBIT",IF($J318&gt;0,"KREDIT","ZERO")))</f>
        <v/>
      </c>
      <c r="N318" s="484" t="str">
        <f aca="false">IF($E318="","",TEXT($B318,"yyyymmdd")&amp;"-"&amp;TEXT(ROW(),"0000"))</f>
        <v/>
      </c>
      <c r="O318" s="101" t="str">
        <f aca="false">IF($E318="","",$E318&amp;"")</f>
        <v/>
      </c>
      <c r="P318" s="101" t="str">
        <f aca="false">IF(AND($O318&lt;&gt;"",$I318&lt;&gt;0),COUNTIFS($O$2:O318,$O318,$I$2:I318,"&gt;0"),"")</f>
        <v/>
      </c>
      <c r="Q318" s="101" t="str">
        <f aca="false">IF(AND($O318&lt;&gt;"",$J318&lt;&gt;0),COUNTIFS($O$2:O318,$O318,$J$2:J318,"&gt;0"),"")</f>
        <v/>
      </c>
      <c r="R318" s="101" t="str">
        <f aca="false">IF($P318="","",$O318&amp;"|"&amp;$P318)</f>
        <v/>
      </c>
      <c r="S318" s="101" t="str">
        <f aca="false">IF($Q318="","",$O318&amp;"|"&amp;$Q318)</f>
        <v/>
      </c>
      <c r="T318" s="101" t="str">
        <f aca="false">IF($O318="","",COUNTIF($O$2:O318,$O318))</f>
        <v/>
      </c>
      <c r="U318" s="101" t="str">
        <f aca="false">IF($O318="","",$O318&amp;"|"&amp;$T318)</f>
        <v/>
      </c>
      <c r="V318" s="488" t="n">
        <f aca="false">IF(OR(LEFT($D318,5)="MB-CL",LEFT($D318,6)="MB-RES"),0,$I318)</f>
        <v>0</v>
      </c>
      <c r="W318" s="488" t="n">
        <f aca="false">IF(OR(LEFT($D318,5)="MB-CL",LEFT($D318,6)="MB-RES"),0,$J318)</f>
        <v>0</v>
      </c>
      <c r="X318" s="101" t="str">
        <f aca="false">IF($E318="","",LEFT($E318,1))</f>
        <v/>
      </c>
      <c r="Y318" s="101" t="str">
        <f aca="false">IF($E318="","",LEFT($E318,2))</f>
        <v/>
      </c>
      <c r="Z318" s="101" t="str">
        <f aca="false">IF($E318="","",LEFT($E318,3))</f>
        <v/>
      </c>
      <c r="AA318" s="101" t="str">
        <f aca="false">IF($E318="","",LEFT($E318,4))</f>
        <v/>
      </c>
    </row>
    <row r="319" customFormat="false" ht="15" hidden="false" customHeight="true" outlineLevel="0" collapsed="false">
      <c r="A319" s="484" t="str">
        <f aca="false">IF(DITARI!$D323="","",ROW()-1)</f>
        <v/>
      </c>
      <c r="B319" s="485" t="str">
        <f aca="false">IF(DITARI!$D323="","",DITARI!$A323)</f>
        <v/>
      </c>
      <c r="C319" s="484" t="str">
        <f aca="false">IF(DITARI!$D323="","",DITARI!$B323)</f>
        <v/>
      </c>
      <c r="D319" s="484" t="str">
        <f aca="false">IF(DITARI!$D323="","",DITARI!$C323)</f>
        <v/>
      </c>
      <c r="E319" s="484" t="str">
        <f aca="false">IF(DITARI!$D323="","",TRIM(DITARI!$D323&amp;""))</f>
        <v/>
      </c>
      <c r="F319" s="484" t="str">
        <f aca="false">IF($E319="","",IFERROR(VLOOKUP($E319,PLANI_LLOGARIVE!$A:$I,2,FALSE()),DITARI!$E323))</f>
        <v/>
      </c>
      <c r="G319" s="484" t="str">
        <f aca="false">IF($E319="","",DITARI!$I323)</f>
        <v/>
      </c>
      <c r="H319" s="484" t="str">
        <f aca="false">IFERROR(IF($E319="","",DITARI!$H323),"")</f>
        <v/>
      </c>
      <c r="I319" s="487" t="n">
        <f aca="false">IF($E319="",0,IFERROR(DITARI!$F323,0))</f>
        <v>0</v>
      </c>
      <c r="J319" s="487" t="n">
        <f aca="false">IF($E319="",0,IFERROR(DITARI!$G323,0))</f>
        <v>0</v>
      </c>
      <c r="K319" s="484" t="str">
        <f aca="false">IF($E319="","",IFERROR(VLOOKUP($E319,PLANI_LLOGARIVE!$A:$I,9,FALSE()),""))</f>
        <v/>
      </c>
      <c r="L319" s="487" t="str">
        <f aca="false">IF($E319="","",$I319-$J319)</f>
        <v/>
      </c>
      <c r="M319" s="484" t="str">
        <f aca="false">IF($E319="","",IF($I319&gt;0,"DEBIT",IF($J319&gt;0,"KREDIT","ZERO")))</f>
        <v/>
      </c>
      <c r="N319" s="484" t="str">
        <f aca="false">IF($E319="","",TEXT($B319,"yyyymmdd")&amp;"-"&amp;TEXT(ROW(),"0000"))</f>
        <v/>
      </c>
      <c r="O319" s="101" t="str">
        <f aca="false">IF($E319="","",$E319&amp;"")</f>
        <v/>
      </c>
      <c r="P319" s="101" t="str">
        <f aca="false">IF(AND($O319&lt;&gt;"",$I319&lt;&gt;0),COUNTIFS($O$2:O319,$O319,$I$2:I319,"&gt;0"),"")</f>
        <v/>
      </c>
      <c r="Q319" s="101" t="str">
        <f aca="false">IF(AND($O319&lt;&gt;"",$J319&lt;&gt;0),COUNTIFS($O$2:O319,$O319,$J$2:J319,"&gt;0"),"")</f>
        <v/>
      </c>
      <c r="R319" s="101" t="str">
        <f aca="false">IF($P319="","",$O319&amp;"|"&amp;$P319)</f>
        <v/>
      </c>
      <c r="S319" s="101" t="str">
        <f aca="false">IF($Q319="","",$O319&amp;"|"&amp;$Q319)</f>
        <v/>
      </c>
      <c r="T319" s="101" t="str">
        <f aca="false">IF($O319="","",COUNTIF($O$2:O319,$O319))</f>
        <v/>
      </c>
      <c r="U319" s="101" t="str">
        <f aca="false">IF($O319="","",$O319&amp;"|"&amp;$T319)</f>
        <v/>
      </c>
      <c r="V319" s="488" t="n">
        <f aca="false">IF(OR(LEFT($D319,5)="MB-CL",LEFT($D319,6)="MB-RES"),0,$I319)</f>
        <v>0</v>
      </c>
      <c r="W319" s="488" t="n">
        <f aca="false">IF(OR(LEFT($D319,5)="MB-CL",LEFT($D319,6)="MB-RES"),0,$J319)</f>
        <v>0</v>
      </c>
      <c r="X319" s="101" t="str">
        <f aca="false">IF($E319="","",LEFT($E319,1))</f>
        <v/>
      </c>
      <c r="Y319" s="101" t="str">
        <f aca="false">IF($E319="","",LEFT($E319,2))</f>
        <v/>
      </c>
      <c r="Z319" s="101" t="str">
        <f aca="false">IF($E319="","",LEFT($E319,3))</f>
        <v/>
      </c>
      <c r="AA319" s="101" t="str">
        <f aca="false">IF($E319="","",LEFT($E319,4))</f>
        <v/>
      </c>
    </row>
    <row r="320" customFormat="false" ht="15" hidden="false" customHeight="true" outlineLevel="0" collapsed="false">
      <c r="A320" s="484" t="str">
        <f aca="false">IF(DITARI!$D324="","",ROW()-1)</f>
        <v/>
      </c>
      <c r="B320" s="485" t="str">
        <f aca="false">IF(DITARI!$D324="","",DITARI!$A324)</f>
        <v/>
      </c>
      <c r="C320" s="484" t="str">
        <f aca="false">IF(DITARI!$D324="","",DITARI!$B324)</f>
        <v/>
      </c>
      <c r="D320" s="484" t="str">
        <f aca="false">IF(DITARI!$D324="","",DITARI!$C324)</f>
        <v/>
      </c>
      <c r="E320" s="484" t="str">
        <f aca="false">IF(DITARI!$D324="","",TRIM(DITARI!$D324&amp;""))</f>
        <v/>
      </c>
      <c r="F320" s="484" t="str">
        <f aca="false">IF($E320="","",IFERROR(VLOOKUP($E320,PLANI_LLOGARIVE!$A:$I,2,FALSE()),DITARI!$E324))</f>
        <v/>
      </c>
      <c r="G320" s="484" t="str">
        <f aca="false">IF($E320="","",DITARI!$I324)</f>
        <v/>
      </c>
      <c r="H320" s="484" t="str">
        <f aca="false">IFERROR(IF($E320="","",DITARI!$H324),"")</f>
        <v/>
      </c>
      <c r="I320" s="487" t="n">
        <f aca="false">IF($E320="",0,IFERROR(DITARI!$F324,0))</f>
        <v>0</v>
      </c>
      <c r="J320" s="487" t="n">
        <f aca="false">IF($E320="",0,IFERROR(DITARI!$G324,0))</f>
        <v>0</v>
      </c>
      <c r="K320" s="484" t="str">
        <f aca="false">IF($E320="","",IFERROR(VLOOKUP($E320,PLANI_LLOGARIVE!$A:$I,9,FALSE()),""))</f>
        <v/>
      </c>
      <c r="L320" s="487" t="str">
        <f aca="false">IF($E320="","",$I320-$J320)</f>
        <v/>
      </c>
      <c r="M320" s="484" t="str">
        <f aca="false">IF($E320="","",IF($I320&gt;0,"DEBIT",IF($J320&gt;0,"KREDIT","ZERO")))</f>
        <v/>
      </c>
      <c r="N320" s="484" t="str">
        <f aca="false">IF($E320="","",TEXT($B320,"yyyymmdd")&amp;"-"&amp;TEXT(ROW(),"0000"))</f>
        <v/>
      </c>
      <c r="O320" s="101" t="str">
        <f aca="false">IF($E320="","",$E320&amp;"")</f>
        <v/>
      </c>
      <c r="P320" s="101" t="str">
        <f aca="false">IF(AND($O320&lt;&gt;"",$I320&lt;&gt;0),COUNTIFS($O$2:O320,$O320,$I$2:I320,"&gt;0"),"")</f>
        <v/>
      </c>
      <c r="Q320" s="101" t="str">
        <f aca="false">IF(AND($O320&lt;&gt;"",$J320&lt;&gt;0),COUNTIFS($O$2:O320,$O320,$J$2:J320,"&gt;0"),"")</f>
        <v/>
      </c>
      <c r="R320" s="101" t="str">
        <f aca="false">IF($P320="","",$O320&amp;"|"&amp;$P320)</f>
        <v/>
      </c>
      <c r="S320" s="101" t="str">
        <f aca="false">IF($Q320="","",$O320&amp;"|"&amp;$Q320)</f>
        <v/>
      </c>
      <c r="T320" s="101" t="str">
        <f aca="false">IF($O320="","",COUNTIF($O$2:O320,$O320))</f>
        <v/>
      </c>
      <c r="U320" s="101" t="str">
        <f aca="false">IF($O320="","",$O320&amp;"|"&amp;$T320)</f>
        <v/>
      </c>
      <c r="V320" s="488" t="n">
        <f aca="false">IF(OR(LEFT($D320,5)="MB-CL",LEFT($D320,6)="MB-RES"),0,$I320)</f>
        <v>0</v>
      </c>
      <c r="W320" s="488" t="n">
        <f aca="false">IF(OR(LEFT($D320,5)="MB-CL",LEFT($D320,6)="MB-RES"),0,$J320)</f>
        <v>0</v>
      </c>
      <c r="X320" s="101" t="str">
        <f aca="false">IF($E320="","",LEFT($E320,1))</f>
        <v/>
      </c>
      <c r="Y320" s="101" t="str">
        <f aca="false">IF($E320="","",LEFT($E320,2))</f>
        <v/>
      </c>
      <c r="Z320" s="101" t="str">
        <f aca="false">IF($E320="","",LEFT($E320,3))</f>
        <v/>
      </c>
      <c r="AA320" s="101" t="str">
        <f aca="false">IF($E320="","",LEFT($E320,4))</f>
        <v/>
      </c>
    </row>
    <row r="321" customFormat="false" ht="15" hidden="false" customHeight="true" outlineLevel="0" collapsed="false">
      <c r="A321" s="484" t="str">
        <f aca="false">IF(DITARI!$D325="","",ROW()-1)</f>
        <v/>
      </c>
      <c r="B321" s="485" t="str">
        <f aca="false">IF(DITARI!$D325="","",DITARI!$A325)</f>
        <v/>
      </c>
      <c r="C321" s="484" t="str">
        <f aca="false">IF(DITARI!$D325="","",DITARI!$B325)</f>
        <v/>
      </c>
      <c r="D321" s="484" t="str">
        <f aca="false">IF(DITARI!$D325="","",DITARI!$C325)</f>
        <v/>
      </c>
      <c r="E321" s="484" t="str">
        <f aca="false">IF(DITARI!$D325="","",TRIM(DITARI!$D325&amp;""))</f>
        <v/>
      </c>
      <c r="F321" s="484" t="str">
        <f aca="false">IF($E321="","",IFERROR(VLOOKUP($E321,PLANI_LLOGARIVE!$A:$I,2,FALSE()),DITARI!$E325))</f>
        <v/>
      </c>
      <c r="G321" s="484" t="str">
        <f aca="false">IF($E321="","",DITARI!$I325)</f>
        <v/>
      </c>
      <c r="H321" s="484" t="str">
        <f aca="false">IFERROR(IF($E321="","",DITARI!$H325),"")</f>
        <v/>
      </c>
      <c r="I321" s="487" t="n">
        <f aca="false">IF($E321="",0,IFERROR(DITARI!$F325,0))</f>
        <v>0</v>
      </c>
      <c r="J321" s="487" t="n">
        <f aca="false">IF($E321="",0,IFERROR(DITARI!$G325,0))</f>
        <v>0</v>
      </c>
      <c r="K321" s="484" t="str">
        <f aca="false">IF($E321="","",IFERROR(VLOOKUP($E321,PLANI_LLOGARIVE!$A:$I,9,FALSE()),""))</f>
        <v/>
      </c>
      <c r="L321" s="487" t="str">
        <f aca="false">IF($E321="","",$I321-$J321)</f>
        <v/>
      </c>
      <c r="M321" s="484" t="str">
        <f aca="false">IF($E321="","",IF($I321&gt;0,"DEBIT",IF($J321&gt;0,"KREDIT","ZERO")))</f>
        <v/>
      </c>
      <c r="N321" s="484" t="str">
        <f aca="false">IF($E321="","",TEXT($B321,"yyyymmdd")&amp;"-"&amp;TEXT(ROW(),"0000"))</f>
        <v/>
      </c>
      <c r="O321" s="101" t="str">
        <f aca="false">IF($E321="","",$E321&amp;"")</f>
        <v/>
      </c>
      <c r="P321" s="101" t="str">
        <f aca="false">IF(AND($O321&lt;&gt;"",$I321&lt;&gt;0),COUNTIFS($O$2:O321,$O321,$I$2:I321,"&gt;0"),"")</f>
        <v/>
      </c>
      <c r="Q321" s="101" t="str">
        <f aca="false">IF(AND($O321&lt;&gt;"",$J321&lt;&gt;0),COUNTIFS($O$2:O321,$O321,$J$2:J321,"&gt;0"),"")</f>
        <v/>
      </c>
      <c r="R321" s="101" t="str">
        <f aca="false">IF($P321="","",$O321&amp;"|"&amp;$P321)</f>
        <v/>
      </c>
      <c r="S321" s="101" t="str">
        <f aca="false">IF($Q321="","",$O321&amp;"|"&amp;$Q321)</f>
        <v/>
      </c>
      <c r="T321" s="101" t="str">
        <f aca="false">IF($O321="","",COUNTIF($O$2:O321,$O321))</f>
        <v/>
      </c>
      <c r="U321" s="101" t="str">
        <f aca="false">IF($O321="","",$O321&amp;"|"&amp;$T321)</f>
        <v/>
      </c>
      <c r="V321" s="488" t="n">
        <f aca="false">IF(OR(LEFT($D321,5)="MB-CL",LEFT($D321,6)="MB-RES"),0,$I321)</f>
        <v>0</v>
      </c>
      <c r="W321" s="488" t="n">
        <f aca="false">IF(OR(LEFT($D321,5)="MB-CL",LEFT($D321,6)="MB-RES"),0,$J321)</f>
        <v>0</v>
      </c>
      <c r="X321" s="101" t="str">
        <f aca="false">IF($E321="","",LEFT($E321,1))</f>
        <v/>
      </c>
      <c r="Y321" s="101" t="str">
        <f aca="false">IF($E321="","",LEFT($E321,2))</f>
        <v/>
      </c>
      <c r="Z321" s="101" t="str">
        <f aca="false">IF($E321="","",LEFT($E321,3))</f>
        <v/>
      </c>
      <c r="AA321" s="101" t="str">
        <f aca="false">IF($E321="","",LEFT($E321,4))</f>
        <v/>
      </c>
    </row>
    <row r="322" customFormat="false" ht="15" hidden="false" customHeight="true" outlineLevel="0" collapsed="false">
      <c r="A322" s="484" t="str">
        <f aca="false">IF(DITARI!$D326="","",ROW()-1)</f>
        <v/>
      </c>
      <c r="B322" s="485" t="str">
        <f aca="false">IF(DITARI!$D326="","",DITARI!$A326)</f>
        <v/>
      </c>
      <c r="C322" s="484" t="str">
        <f aca="false">IF(DITARI!$D326="","",DITARI!$B326)</f>
        <v/>
      </c>
      <c r="D322" s="484" t="str">
        <f aca="false">IF(DITARI!$D326="","",DITARI!$C326)</f>
        <v/>
      </c>
      <c r="E322" s="484" t="str">
        <f aca="false">IF(DITARI!$D326="","",TRIM(DITARI!$D326&amp;""))</f>
        <v/>
      </c>
      <c r="F322" s="484" t="str">
        <f aca="false">IF($E322="","",IFERROR(VLOOKUP($E322,PLANI_LLOGARIVE!$A:$I,2,FALSE()),DITARI!$E326))</f>
        <v/>
      </c>
      <c r="G322" s="484" t="str">
        <f aca="false">IF($E322="","",DITARI!$I326)</f>
        <v/>
      </c>
      <c r="H322" s="484" t="str">
        <f aca="false">IFERROR(IF($E322="","",DITARI!$H326),"")</f>
        <v/>
      </c>
      <c r="I322" s="487" t="n">
        <f aca="false">IF($E322="",0,IFERROR(DITARI!$F326,0))</f>
        <v>0</v>
      </c>
      <c r="J322" s="487" t="n">
        <f aca="false">IF($E322="",0,IFERROR(DITARI!$G326,0))</f>
        <v>0</v>
      </c>
      <c r="K322" s="484" t="str">
        <f aca="false">IF($E322="","",IFERROR(VLOOKUP($E322,PLANI_LLOGARIVE!$A:$I,9,FALSE()),""))</f>
        <v/>
      </c>
      <c r="L322" s="487" t="str">
        <f aca="false">IF($E322="","",$I322-$J322)</f>
        <v/>
      </c>
      <c r="M322" s="484" t="str">
        <f aca="false">IF($E322="","",IF($I322&gt;0,"DEBIT",IF($J322&gt;0,"KREDIT","ZERO")))</f>
        <v/>
      </c>
      <c r="N322" s="484" t="str">
        <f aca="false">IF($E322="","",TEXT($B322,"yyyymmdd")&amp;"-"&amp;TEXT(ROW(),"0000"))</f>
        <v/>
      </c>
      <c r="O322" s="101" t="str">
        <f aca="false">IF($E322="","",$E322&amp;"")</f>
        <v/>
      </c>
      <c r="P322" s="101" t="str">
        <f aca="false">IF(AND($O322&lt;&gt;"",$I322&lt;&gt;0),COUNTIFS($O$2:O322,$O322,$I$2:I322,"&gt;0"),"")</f>
        <v/>
      </c>
      <c r="Q322" s="101" t="str">
        <f aca="false">IF(AND($O322&lt;&gt;"",$J322&lt;&gt;0),COUNTIFS($O$2:O322,$O322,$J$2:J322,"&gt;0"),"")</f>
        <v/>
      </c>
      <c r="R322" s="101" t="str">
        <f aca="false">IF($P322="","",$O322&amp;"|"&amp;$P322)</f>
        <v/>
      </c>
      <c r="S322" s="101" t="str">
        <f aca="false">IF($Q322="","",$O322&amp;"|"&amp;$Q322)</f>
        <v/>
      </c>
      <c r="T322" s="101" t="str">
        <f aca="false">IF($O322="","",COUNTIF($O$2:O322,$O322))</f>
        <v/>
      </c>
      <c r="U322" s="101" t="str">
        <f aca="false">IF($O322="","",$O322&amp;"|"&amp;$T322)</f>
        <v/>
      </c>
      <c r="V322" s="488" t="n">
        <f aca="false">IF(OR(LEFT($D322,5)="MB-CL",LEFT($D322,6)="MB-RES"),0,$I322)</f>
        <v>0</v>
      </c>
      <c r="W322" s="488" t="n">
        <f aca="false">IF(OR(LEFT($D322,5)="MB-CL",LEFT($D322,6)="MB-RES"),0,$J322)</f>
        <v>0</v>
      </c>
      <c r="X322" s="101" t="str">
        <f aca="false">IF($E322="","",LEFT($E322,1))</f>
        <v/>
      </c>
      <c r="Y322" s="101" t="str">
        <f aca="false">IF($E322="","",LEFT($E322,2))</f>
        <v/>
      </c>
      <c r="Z322" s="101" t="str">
        <f aca="false">IF($E322="","",LEFT($E322,3))</f>
        <v/>
      </c>
      <c r="AA322" s="101" t="str">
        <f aca="false">IF($E322="","",LEFT($E322,4))</f>
        <v/>
      </c>
    </row>
    <row r="323" customFormat="false" ht="15" hidden="false" customHeight="true" outlineLevel="0" collapsed="false">
      <c r="A323" s="484" t="str">
        <f aca="false">IF(DITARI!$D327="","",ROW()-1)</f>
        <v/>
      </c>
      <c r="B323" s="485" t="str">
        <f aca="false">IF(DITARI!$D327="","",DITARI!$A327)</f>
        <v/>
      </c>
      <c r="C323" s="484" t="str">
        <f aca="false">IF(DITARI!$D327="","",DITARI!$B327)</f>
        <v/>
      </c>
      <c r="D323" s="484" t="str">
        <f aca="false">IF(DITARI!$D327="","",DITARI!$C327)</f>
        <v/>
      </c>
      <c r="E323" s="484" t="str">
        <f aca="false">IF(DITARI!$D327="","",TRIM(DITARI!$D327&amp;""))</f>
        <v/>
      </c>
      <c r="F323" s="484" t="str">
        <f aca="false">IF($E323="","",IFERROR(VLOOKUP($E323,PLANI_LLOGARIVE!$A:$I,2,FALSE()),DITARI!$E327))</f>
        <v/>
      </c>
      <c r="G323" s="484" t="str">
        <f aca="false">IF($E323="","",DITARI!$I327)</f>
        <v/>
      </c>
      <c r="H323" s="484" t="str">
        <f aca="false">IFERROR(IF($E323="","",DITARI!$H327),"")</f>
        <v/>
      </c>
      <c r="I323" s="487" t="n">
        <f aca="false">IF($E323="",0,IFERROR(DITARI!$F327,0))</f>
        <v>0</v>
      </c>
      <c r="J323" s="487" t="n">
        <f aca="false">IF($E323="",0,IFERROR(DITARI!$G327,0))</f>
        <v>0</v>
      </c>
      <c r="K323" s="484" t="str">
        <f aca="false">IF($E323="","",IFERROR(VLOOKUP($E323,PLANI_LLOGARIVE!$A:$I,9,FALSE()),""))</f>
        <v/>
      </c>
      <c r="L323" s="487" t="str">
        <f aca="false">IF($E323="","",$I323-$J323)</f>
        <v/>
      </c>
      <c r="M323" s="484" t="str">
        <f aca="false">IF($E323="","",IF($I323&gt;0,"DEBIT",IF($J323&gt;0,"KREDIT","ZERO")))</f>
        <v/>
      </c>
      <c r="N323" s="484" t="str">
        <f aca="false">IF($E323="","",TEXT($B323,"yyyymmdd")&amp;"-"&amp;TEXT(ROW(),"0000"))</f>
        <v/>
      </c>
      <c r="O323" s="101" t="str">
        <f aca="false">IF($E323="","",$E323&amp;"")</f>
        <v/>
      </c>
      <c r="P323" s="101" t="str">
        <f aca="false">IF(AND($O323&lt;&gt;"",$I323&lt;&gt;0),COUNTIFS($O$2:O323,$O323,$I$2:I323,"&gt;0"),"")</f>
        <v/>
      </c>
      <c r="Q323" s="101" t="str">
        <f aca="false">IF(AND($O323&lt;&gt;"",$J323&lt;&gt;0),COUNTIFS($O$2:O323,$O323,$J$2:J323,"&gt;0"),"")</f>
        <v/>
      </c>
      <c r="R323" s="101" t="str">
        <f aca="false">IF($P323="","",$O323&amp;"|"&amp;$P323)</f>
        <v/>
      </c>
      <c r="S323" s="101" t="str">
        <f aca="false">IF($Q323="","",$O323&amp;"|"&amp;$Q323)</f>
        <v/>
      </c>
      <c r="T323" s="101" t="str">
        <f aca="false">IF($O323="","",COUNTIF($O$2:O323,$O323))</f>
        <v/>
      </c>
      <c r="U323" s="101" t="str">
        <f aca="false">IF($O323="","",$O323&amp;"|"&amp;$T323)</f>
        <v/>
      </c>
      <c r="V323" s="488" t="n">
        <f aca="false">IF(OR(LEFT($D323,5)="MB-CL",LEFT($D323,6)="MB-RES"),0,$I323)</f>
        <v>0</v>
      </c>
      <c r="W323" s="488" t="n">
        <f aca="false">IF(OR(LEFT($D323,5)="MB-CL",LEFT($D323,6)="MB-RES"),0,$J323)</f>
        <v>0</v>
      </c>
      <c r="X323" s="101" t="str">
        <f aca="false">IF($E323="","",LEFT($E323,1))</f>
        <v/>
      </c>
      <c r="Y323" s="101" t="str">
        <f aca="false">IF($E323="","",LEFT($E323,2))</f>
        <v/>
      </c>
      <c r="Z323" s="101" t="str">
        <f aca="false">IF($E323="","",LEFT($E323,3))</f>
        <v/>
      </c>
      <c r="AA323" s="101" t="str">
        <f aca="false">IF($E323="","",LEFT($E323,4))</f>
        <v/>
      </c>
    </row>
    <row r="324" customFormat="false" ht="15" hidden="false" customHeight="true" outlineLevel="0" collapsed="false">
      <c r="A324" s="484" t="str">
        <f aca="false">IF(DITARI!$D328="","",ROW()-1)</f>
        <v/>
      </c>
      <c r="B324" s="485" t="str">
        <f aca="false">IF(DITARI!$D328="","",DITARI!$A328)</f>
        <v/>
      </c>
      <c r="C324" s="484" t="str">
        <f aca="false">IF(DITARI!$D328="","",DITARI!$B328)</f>
        <v/>
      </c>
      <c r="D324" s="484" t="str">
        <f aca="false">IF(DITARI!$D328="","",DITARI!$C328)</f>
        <v/>
      </c>
      <c r="E324" s="484" t="str">
        <f aca="false">IF(DITARI!$D328="","",TRIM(DITARI!$D328&amp;""))</f>
        <v/>
      </c>
      <c r="F324" s="484" t="str">
        <f aca="false">IF($E324="","",IFERROR(VLOOKUP($E324,PLANI_LLOGARIVE!$A:$I,2,FALSE()),DITARI!$E328))</f>
        <v/>
      </c>
      <c r="G324" s="484" t="str">
        <f aca="false">IF($E324="","",DITARI!$I328)</f>
        <v/>
      </c>
      <c r="H324" s="484" t="str">
        <f aca="false">IFERROR(IF($E324="","",DITARI!$H328),"")</f>
        <v/>
      </c>
      <c r="I324" s="487" t="n">
        <f aca="false">IF($E324="",0,IFERROR(DITARI!$F328,0))</f>
        <v>0</v>
      </c>
      <c r="J324" s="487" t="n">
        <f aca="false">IF($E324="",0,IFERROR(DITARI!$G328,0))</f>
        <v>0</v>
      </c>
      <c r="K324" s="484" t="str">
        <f aca="false">IF($E324="","",IFERROR(VLOOKUP($E324,PLANI_LLOGARIVE!$A:$I,9,FALSE()),""))</f>
        <v/>
      </c>
      <c r="L324" s="487" t="str">
        <f aca="false">IF($E324="","",$I324-$J324)</f>
        <v/>
      </c>
      <c r="M324" s="484" t="str">
        <f aca="false">IF($E324="","",IF($I324&gt;0,"DEBIT",IF($J324&gt;0,"KREDIT","ZERO")))</f>
        <v/>
      </c>
      <c r="N324" s="484" t="str">
        <f aca="false">IF($E324="","",TEXT($B324,"yyyymmdd")&amp;"-"&amp;TEXT(ROW(),"0000"))</f>
        <v/>
      </c>
      <c r="O324" s="101" t="str">
        <f aca="false">IF($E324="","",$E324&amp;"")</f>
        <v/>
      </c>
      <c r="P324" s="101" t="str">
        <f aca="false">IF(AND($O324&lt;&gt;"",$I324&lt;&gt;0),COUNTIFS($O$2:O324,$O324,$I$2:I324,"&gt;0"),"")</f>
        <v/>
      </c>
      <c r="Q324" s="101" t="str">
        <f aca="false">IF(AND($O324&lt;&gt;"",$J324&lt;&gt;0),COUNTIFS($O$2:O324,$O324,$J$2:J324,"&gt;0"),"")</f>
        <v/>
      </c>
      <c r="R324" s="101" t="str">
        <f aca="false">IF($P324="","",$O324&amp;"|"&amp;$P324)</f>
        <v/>
      </c>
      <c r="S324" s="101" t="str">
        <f aca="false">IF($Q324="","",$O324&amp;"|"&amp;$Q324)</f>
        <v/>
      </c>
      <c r="T324" s="101" t="str">
        <f aca="false">IF($O324="","",COUNTIF($O$2:O324,$O324))</f>
        <v/>
      </c>
      <c r="U324" s="101" t="str">
        <f aca="false">IF($O324="","",$O324&amp;"|"&amp;$T324)</f>
        <v/>
      </c>
      <c r="V324" s="488" t="n">
        <f aca="false">IF(OR(LEFT($D324,5)="MB-CL",LEFT($D324,6)="MB-RES"),0,$I324)</f>
        <v>0</v>
      </c>
      <c r="W324" s="488" t="n">
        <f aca="false">IF(OR(LEFT($D324,5)="MB-CL",LEFT($D324,6)="MB-RES"),0,$J324)</f>
        <v>0</v>
      </c>
      <c r="X324" s="101" t="str">
        <f aca="false">IF($E324="","",LEFT($E324,1))</f>
        <v/>
      </c>
      <c r="Y324" s="101" t="str">
        <f aca="false">IF($E324="","",LEFT($E324,2))</f>
        <v/>
      </c>
      <c r="Z324" s="101" t="str">
        <f aca="false">IF($E324="","",LEFT($E324,3))</f>
        <v/>
      </c>
      <c r="AA324" s="101" t="str">
        <f aca="false">IF($E324="","",LEFT($E324,4))</f>
        <v/>
      </c>
    </row>
    <row r="325" customFormat="false" ht="15" hidden="false" customHeight="true" outlineLevel="0" collapsed="false">
      <c r="A325" s="484" t="str">
        <f aca="false">IF(DITARI!$D329="","",ROW()-1)</f>
        <v/>
      </c>
      <c r="B325" s="485" t="str">
        <f aca="false">IF(DITARI!$D329="","",DITARI!$A329)</f>
        <v/>
      </c>
      <c r="C325" s="484" t="str">
        <f aca="false">IF(DITARI!$D329="","",DITARI!$B329)</f>
        <v/>
      </c>
      <c r="D325" s="484" t="str">
        <f aca="false">IF(DITARI!$D329="","",DITARI!$C329)</f>
        <v/>
      </c>
      <c r="E325" s="484" t="str">
        <f aca="false">IF(DITARI!$D329="","",TRIM(DITARI!$D329&amp;""))</f>
        <v/>
      </c>
      <c r="F325" s="484" t="str">
        <f aca="false">IF($E325="","",IFERROR(VLOOKUP($E325,PLANI_LLOGARIVE!$A:$I,2,FALSE()),DITARI!$E329))</f>
        <v/>
      </c>
      <c r="G325" s="484" t="str">
        <f aca="false">IF($E325="","",DITARI!$I329)</f>
        <v/>
      </c>
      <c r="H325" s="484" t="str">
        <f aca="false">IFERROR(IF($E325="","",DITARI!$H329),"")</f>
        <v/>
      </c>
      <c r="I325" s="487" t="n">
        <f aca="false">IF($E325="",0,IFERROR(DITARI!$F329,0))</f>
        <v>0</v>
      </c>
      <c r="J325" s="487" t="n">
        <f aca="false">IF($E325="",0,IFERROR(DITARI!$G329,0))</f>
        <v>0</v>
      </c>
      <c r="K325" s="484" t="str">
        <f aca="false">IF($E325="","",IFERROR(VLOOKUP($E325,PLANI_LLOGARIVE!$A:$I,9,FALSE()),""))</f>
        <v/>
      </c>
      <c r="L325" s="487" t="str">
        <f aca="false">IF($E325="","",$I325-$J325)</f>
        <v/>
      </c>
      <c r="M325" s="484" t="str">
        <f aca="false">IF($E325="","",IF($I325&gt;0,"DEBIT",IF($J325&gt;0,"KREDIT","ZERO")))</f>
        <v/>
      </c>
      <c r="N325" s="484" t="str">
        <f aca="false">IF($E325="","",TEXT($B325,"yyyymmdd")&amp;"-"&amp;TEXT(ROW(),"0000"))</f>
        <v/>
      </c>
      <c r="O325" s="101" t="str">
        <f aca="false">IF($E325="","",$E325&amp;"")</f>
        <v/>
      </c>
      <c r="P325" s="101" t="str">
        <f aca="false">IF(AND($O325&lt;&gt;"",$I325&lt;&gt;0),COUNTIFS($O$2:O325,$O325,$I$2:I325,"&gt;0"),"")</f>
        <v/>
      </c>
      <c r="Q325" s="101" t="str">
        <f aca="false">IF(AND($O325&lt;&gt;"",$J325&lt;&gt;0),COUNTIFS($O$2:O325,$O325,$J$2:J325,"&gt;0"),"")</f>
        <v/>
      </c>
      <c r="R325" s="101" t="str">
        <f aca="false">IF($P325="","",$O325&amp;"|"&amp;$P325)</f>
        <v/>
      </c>
      <c r="S325" s="101" t="str">
        <f aca="false">IF($Q325="","",$O325&amp;"|"&amp;$Q325)</f>
        <v/>
      </c>
      <c r="T325" s="101" t="str">
        <f aca="false">IF($O325="","",COUNTIF($O$2:O325,$O325))</f>
        <v/>
      </c>
      <c r="U325" s="101" t="str">
        <f aca="false">IF($O325="","",$O325&amp;"|"&amp;$T325)</f>
        <v/>
      </c>
      <c r="V325" s="488" t="n">
        <f aca="false">IF(OR(LEFT($D325,5)="MB-CL",LEFT($D325,6)="MB-RES"),0,$I325)</f>
        <v>0</v>
      </c>
      <c r="W325" s="488" t="n">
        <f aca="false">IF(OR(LEFT($D325,5)="MB-CL",LEFT($D325,6)="MB-RES"),0,$J325)</f>
        <v>0</v>
      </c>
      <c r="X325" s="101" t="str">
        <f aca="false">IF($E325="","",LEFT($E325,1))</f>
        <v/>
      </c>
      <c r="Y325" s="101" t="str">
        <f aca="false">IF($E325="","",LEFT($E325,2))</f>
        <v/>
      </c>
      <c r="Z325" s="101" t="str">
        <f aca="false">IF($E325="","",LEFT($E325,3))</f>
        <v/>
      </c>
      <c r="AA325" s="101" t="str">
        <f aca="false">IF($E325="","",LEFT($E325,4))</f>
        <v/>
      </c>
    </row>
    <row r="326" customFormat="false" ht="15" hidden="false" customHeight="true" outlineLevel="0" collapsed="false">
      <c r="A326" s="484" t="str">
        <f aca="false">IF(DITARI!$D330="","",ROW()-1)</f>
        <v/>
      </c>
      <c r="B326" s="485" t="str">
        <f aca="false">IF(DITARI!$D330="","",DITARI!$A330)</f>
        <v/>
      </c>
      <c r="C326" s="484" t="str">
        <f aca="false">IF(DITARI!$D330="","",DITARI!$B330)</f>
        <v/>
      </c>
      <c r="D326" s="484" t="str">
        <f aca="false">IF(DITARI!$D330="","",DITARI!$C330)</f>
        <v/>
      </c>
      <c r="E326" s="484" t="str">
        <f aca="false">IF(DITARI!$D330="","",TRIM(DITARI!$D330&amp;""))</f>
        <v/>
      </c>
      <c r="F326" s="484" t="str">
        <f aca="false">IF($E326="","",IFERROR(VLOOKUP($E326,PLANI_LLOGARIVE!$A:$I,2,FALSE()),DITARI!$E330))</f>
        <v/>
      </c>
      <c r="G326" s="484" t="str">
        <f aca="false">IF($E326="","",DITARI!$I330)</f>
        <v/>
      </c>
      <c r="H326" s="484" t="str">
        <f aca="false">IFERROR(IF($E326="","",DITARI!$H330),"")</f>
        <v/>
      </c>
      <c r="I326" s="487" t="n">
        <f aca="false">IF($E326="",0,IFERROR(DITARI!$F330,0))</f>
        <v>0</v>
      </c>
      <c r="J326" s="487" t="n">
        <f aca="false">IF($E326="",0,IFERROR(DITARI!$G330,0))</f>
        <v>0</v>
      </c>
      <c r="K326" s="484" t="str">
        <f aca="false">IF($E326="","",IFERROR(VLOOKUP($E326,PLANI_LLOGARIVE!$A:$I,9,FALSE()),""))</f>
        <v/>
      </c>
      <c r="L326" s="487" t="str">
        <f aca="false">IF($E326="","",$I326-$J326)</f>
        <v/>
      </c>
      <c r="M326" s="484" t="str">
        <f aca="false">IF($E326="","",IF($I326&gt;0,"DEBIT",IF($J326&gt;0,"KREDIT","ZERO")))</f>
        <v/>
      </c>
      <c r="N326" s="484" t="str">
        <f aca="false">IF($E326="","",TEXT($B326,"yyyymmdd")&amp;"-"&amp;TEXT(ROW(),"0000"))</f>
        <v/>
      </c>
      <c r="O326" s="101" t="str">
        <f aca="false">IF($E326="","",$E326&amp;"")</f>
        <v/>
      </c>
      <c r="P326" s="101" t="str">
        <f aca="false">IF(AND($O326&lt;&gt;"",$I326&lt;&gt;0),COUNTIFS($O$2:O326,$O326,$I$2:I326,"&gt;0"),"")</f>
        <v/>
      </c>
      <c r="Q326" s="101" t="str">
        <f aca="false">IF(AND($O326&lt;&gt;"",$J326&lt;&gt;0),COUNTIFS($O$2:O326,$O326,$J$2:J326,"&gt;0"),"")</f>
        <v/>
      </c>
      <c r="R326" s="101" t="str">
        <f aca="false">IF($P326="","",$O326&amp;"|"&amp;$P326)</f>
        <v/>
      </c>
      <c r="S326" s="101" t="str">
        <f aca="false">IF($Q326="","",$O326&amp;"|"&amp;$Q326)</f>
        <v/>
      </c>
      <c r="T326" s="101" t="str">
        <f aca="false">IF($O326="","",COUNTIF($O$2:O326,$O326))</f>
        <v/>
      </c>
      <c r="U326" s="101" t="str">
        <f aca="false">IF($O326="","",$O326&amp;"|"&amp;$T326)</f>
        <v/>
      </c>
      <c r="V326" s="488" t="n">
        <f aca="false">IF(OR(LEFT($D326,5)="MB-CL",LEFT($D326,6)="MB-RES"),0,$I326)</f>
        <v>0</v>
      </c>
      <c r="W326" s="488" t="n">
        <f aca="false">IF(OR(LEFT($D326,5)="MB-CL",LEFT($D326,6)="MB-RES"),0,$J326)</f>
        <v>0</v>
      </c>
      <c r="X326" s="101" t="str">
        <f aca="false">IF($E326="","",LEFT($E326,1))</f>
        <v/>
      </c>
      <c r="Y326" s="101" t="str">
        <f aca="false">IF($E326="","",LEFT($E326,2))</f>
        <v/>
      </c>
      <c r="Z326" s="101" t="str">
        <f aca="false">IF($E326="","",LEFT($E326,3))</f>
        <v/>
      </c>
      <c r="AA326" s="101" t="str">
        <f aca="false">IF($E326="","",LEFT($E326,4))</f>
        <v/>
      </c>
    </row>
    <row r="327" customFormat="false" ht="15" hidden="false" customHeight="true" outlineLevel="0" collapsed="false">
      <c r="A327" s="484" t="str">
        <f aca="false">IF(DITARI!$D331="","",ROW()-1)</f>
        <v/>
      </c>
      <c r="B327" s="485" t="str">
        <f aca="false">IF(DITARI!$D331="","",DITARI!$A331)</f>
        <v/>
      </c>
      <c r="C327" s="484" t="str">
        <f aca="false">IF(DITARI!$D331="","",DITARI!$B331)</f>
        <v/>
      </c>
      <c r="D327" s="484" t="str">
        <f aca="false">IF(DITARI!$D331="","",DITARI!$C331)</f>
        <v/>
      </c>
      <c r="E327" s="484" t="str">
        <f aca="false">IF(DITARI!$D331="","",TRIM(DITARI!$D331&amp;""))</f>
        <v/>
      </c>
      <c r="F327" s="484" t="str">
        <f aca="false">IF($E327="","",IFERROR(VLOOKUP($E327,PLANI_LLOGARIVE!$A:$I,2,FALSE()),DITARI!$E331))</f>
        <v/>
      </c>
      <c r="G327" s="484" t="str">
        <f aca="false">IF($E327="","",DITARI!$I331)</f>
        <v/>
      </c>
      <c r="H327" s="484" t="str">
        <f aca="false">IFERROR(IF($E327="","",DITARI!$H331),"")</f>
        <v/>
      </c>
      <c r="I327" s="487" t="n">
        <f aca="false">IF($E327="",0,IFERROR(DITARI!$F331,0))</f>
        <v>0</v>
      </c>
      <c r="J327" s="487" t="n">
        <f aca="false">IF($E327="",0,IFERROR(DITARI!$G331,0))</f>
        <v>0</v>
      </c>
      <c r="K327" s="484" t="str">
        <f aca="false">IF($E327="","",IFERROR(VLOOKUP($E327,PLANI_LLOGARIVE!$A:$I,9,FALSE()),""))</f>
        <v/>
      </c>
      <c r="L327" s="487" t="str">
        <f aca="false">IF($E327="","",$I327-$J327)</f>
        <v/>
      </c>
      <c r="M327" s="484" t="str">
        <f aca="false">IF($E327="","",IF($I327&gt;0,"DEBIT",IF($J327&gt;0,"KREDIT","ZERO")))</f>
        <v/>
      </c>
      <c r="N327" s="484" t="str">
        <f aca="false">IF($E327="","",TEXT($B327,"yyyymmdd")&amp;"-"&amp;TEXT(ROW(),"0000"))</f>
        <v/>
      </c>
      <c r="O327" s="101" t="str">
        <f aca="false">IF($E327="","",$E327&amp;"")</f>
        <v/>
      </c>
      <c r="P327" s="101" t="str">
        <f aca="false">IF(AND($O327&lt;&gt;"",$I327&lt;&gt;0),COUNTIFS($O$2:O327,$O327,$I$2:I327,"&gt;0"),"")</f>
        <v/>
      </c>
      <c r="Q327" s="101" t="str">
        <f aca="false">IF(AND($O327&lt;&gt;"",$J327&lt;&gt;0),COUNTIFS($O$2:O327,$O327,$J$2:J327,"&gt;0"),"")</f>
        <v/>
      </c>
      <c r="R327" s="101" t="str">
        <f aca="false">IF($P327="","",$O327&amp;"|"&amp;$P327)</f>
        <v/>
      </c>
      <c r="S327" s="101" t="str">
        <f aca="false">IF($Q327="","",$O327&amp;"|"&amp;$Q327)</f>
        <v/>
      </c>
      <c r="T327" s="101" t="str">
        <f aca="false">IF($O327="","",COUNTIF($O$2:O327,$O327))</f>
        <v/>
      </c>
      <c r="U327" s="101" t="str">
        <f aca="false">IF($O327="","",$O327&amp;"|"&amp;$T327)</f>
        <v/>
      </c>
      <c r="V327" s="488" t="n">
        <f aca="false">IF(OR(LEFT($D327,5)="MB-CL",LEFT($D327,6)="MB-RES"),0,$I327)</f>
        <v>0</v>
      </c>
      <c r="W327" s="488" t="n">
        <f aca="false">IF(OR(LEFT($D327,5)="MB-CL",LEFT($D327,6)="MB-RES"),0,$J327)</f>
        <v>0</v>
      </c>
      <c r="X327" s="101" t="str">
        <f aca="false">IF($E327="","",LEFT($E327,1))</f>
        <v/>
      </c>
      <c r="Y327" s="101" t="str">
        <f aca="false">IF($E327="","",LEFT($E327,2))</f>
        <v/>
      </c>
      <c r="Z327" s="101" t="str">
        <f aca="false">IF($E327="","",LEFT($E327,3))</f>
        <v/>
      </c>
      <c r="AA327" s="101" t="str">
        <f aca="false">IF($E327="","",LEFT($E327,4))</f>
        <v/>
      </c>
    </row>
    <row r="328" customFormat="false" ht="15" hidden="false" customHeight="true" outlineLevel="0" collapsed="false">
      <c r="A328" s="484" t="str">
        <f aca="false">IF(DITARI!$D332="","",ROW()-1)</f>
        <v/>
      </c>
      <c r="B328" s="485" t="str">
        <f aca="false">IF(DITARI!$D332="","",DITARI!$A332)</f>
        <v/>
      </c>
      <c r="C328" s="484" t="str">
        <f aca="false">IF(DITARI!$D332="","",DITARI!$B332)</f>
        <v/>
      </c>
      <c r="D328" s="484" t="str">
        <f aca="false">IF(DITARI!$D332="","",DITARI!$C332)</f>
        <v/>
      </c>
      <c r="E328" s="484" t="str">
        <f aca="false">IF(DITARI!$D332="","",TRIM(DITARI!$D332&amp;""))</f>
        <v/>
      </c>
      <c r="F328" s="484" t="str">
        <f aca="false">IF($E328="","",IFERROR(VLOOKUP($E328,PLANI_LLOGARIVE!$A:$I,2,FALSE()),DITARI!$E332))</f>
        <v/>
      </c>
      <c r="G328" s="484" t="str">
        <f aca="false">IF($E328="","",DITARI!$I332)</f>
        <v/>
      </c>
      <c r="H328" s="484" t="str">
        <f aca="false">IFERROR(IF($E328="","",DITARI!$H332),"")</f>
        <v/>
      </c>
      <c r="I328" s="487" t="n">
        <f aca="false">IF($E328="",0,IFERROR(DITARI!$F332,0))</f>
        <v>0</v>
      </c>
      <c r="J328" s="487" t="n">
        <f aca="false">IF($E328="",0,IFERROR(DITARI!$G332,0))</f>
        <v>0</v>
      </c>
      <c r="K328" s="484" t="str">
        <f aca="false">IF($E328="","",IFERROR(VLOOKUP($E328,PLANI_LLOGARIVE!$A:$I,9,FALSE()),""))</f>
        <v/>
      </c>
      <c r="L328" s="487" t="str">
        <f aca="false">IF($E328="","",$I328-$J328)</f>
        <v/>
      </c>
      <c r="M328" s="484" t="str">
        <f aca="false">IF($E328="","",IF($I328&gt;0,"DEBIT",IF($J328&gt;0,"KREDIT","ZERO")))</f>
        <v/>
      </c>
      <c r="N328" s="484" t="str">
        <f aca="false">IF($E328="","",TEXT($B328,"yyyymmdd")&amp;"-"&amp;TEXT(ROW(),"0000"))</f>
        <v/>
      </c>
      <c r="O328" s="101" t="str">
        <f aca="false">IF($E328="","",$E328&amp;"")</f>
        <v/>
      </c>
      <c r="P328" s="101" t="str">
        <f aca="false">IF(AND($O328&lt;&gt;"",$I328&lt;&gt;0),COUNTIFS($O$2:O328,$O328,$I$2:I328,"&gt;0"),"")</f>
        <v/>
      </c>
      <c r="Q328" s="101" t="str">
        <f aca="false">IF(AND($O328&lt;&gt;"",$J328&lt;&gt;0),COUNTIFS($O$2:O328,$O328,$J$2:J328,"&gt;0"),"")</f>
        <v/>
      </c>
      <c r="R328" s="101" t="str">
        <f aca="false">IF($P328="","",$O328&amp;"|"&amp;$P328)</f>
        <v/>
      </c>
      <c r="S328" s="101" t="str">
        <f aca="false">IF($Q328="","",$O328&amp;"|"&amp;$Q328)</f>
        <v/>
      </c>
      <c r="T328" s="101" t="str">
        <f aca="false">IF($O328="","",COUNTIF($O$2:O328,$O328))</f>
        <v/>
      </c>
      <c r="U328" s="101" t="str">
        <f aca="false">IF($O328="","",$O328&amp;"|"&amp;$T328)</f>
        <v/>
      </c>
      <c r="V328" s="488" t="n">
        <f aca="false">IF(OR(LEFT($D328,5)="MB-CL",LEFT($D328,6)="MB-RES"),0,$I328)</f>
        <v>0</v>
      </c>
      <c r="W328" s="488" t="n">
        <f aca="false">IF(OR(LEFT($D328,5)="MB-CL",LEFT($D328,6)="MB-RES"),0,$J328)</f>
        <v>0</v>
      </c>
      <c r="X328" s="101" t="str">
        <f aca="false">IF($E328="","",LEFT($E328,1))</f>
        <v/>
      </c>
      <c r="Y328" s="101" t="str">
        <f aca="false">IF($E328="","",LEFT($E328,2))</f>
        <v/>
      </c>
      <c r="Z328" s="101" t="str">
        <f aca="false">IF($E328="","",LEFT($E328,3))</f>
        <v/>
      </c>
      <c r="AA328" s="101" t="str">
        <f aca="false">IF($E328="","",LEFT($E328,4))</f>
        <v/>
      </c>
    </row>
    <row r="329" customFormat="false" ht="15" hidden="false" customHeight="true" outlineLevel="0" collapsed="false">
      <c r="A329" s="484" t="str">
        <f aca="false">IF(DITARI!$D333="","",ROW()-1)</f>
        <v/>
      </c>
      <c r="B329" s="485" t="str">
        <f aca="false">IF(DITARI!$D333="","",DITARI!$A333)</f>
        <v/>
      </c>
      <c r="C329" s="484" t="str">
        <f aca="false">IF(DITARI!$D333="","",DITARI!$B333)</f>
        <v/>
      </c>
      <c r="D329" s="484" t="str">
        <f aca="false">IF(DITARI!$D333="","",DITARI!$C333)</f>
        <v/>
      </c>
      <c r="E329" s="484" t="str">
        <f aca="false">IF(DITARI!$D333="","",TRIM(DITARI!$D333&amp;""))</f>
        <v/>
      </c>
      <c r="F329" s="484" t="str">
        <f aca="false">IF($E329="","",IFERROR(VLOOKUP($E329,PLANI_LLOGARIVE!$A:$I,2,FALSE()),DITARI!$E333))</f>
        <v/>
      </c>
      <c r="G329" s="484" t="str">
        <f aca="false">IF($E329="","",DITARI!$I333)</f>
        <v/>
      </c>
      <c r="H329" s="484" t="str">
        <f aca="false">IFERROR(IF($E329="","",DITARI!$H333),"")</f>
        <v/>
      </c>
      <c r="I329" s="487" t="n">
        <f aca="false">IF($E329="",0,IFERROR(DITARI!$F333,0))</f>
        <v>0</v>
      </c>
      <c r="J329" s="487" t="n">
        <f aca="false">IF($E329="",0,IFERROR(DITARI!$G333,0))</f>
        <v>0</v>
      </c>
      <c r="K329" s="484" t="str">
        <f aca="false">IF($E329="","",IFERROR(VLOOKUP($E329,PLANI_LLOGARIVE!$A:$I,9,FALSE()),""))</f>
        <v/>
      </c>
      <c r="L329" s="487" t="str">
        <f aca="false">IF($E329="","",$I329-$J329)</f>
        <v/>
      </c>
      <c r="M329" s="484" t="str">
        <f aca="false">IF($E329="","",IF($I329&gt;0,"DEBIT",IF($J329&gt;0,"KREDIT","ZERO")))</f>
        <v/>
      </c>
      <c r="N329" s="484" t="str">
        <f aca="false">IF($E329="","",TEXT($B329,"yyyymmdd")&amp;"-"&amp;TEXT(ROW(),"0000"))</f>
        <v/>
      </c>
      <c r="O329" s="101" t="str">
        <f aca="false">IF($E329="","",$E329&amp;"")</f>
        <v/>
      </c>
      <c r="P329" s="101" t="str">
        <f aca="false">IF(AND($O329&lt;&gt;"",$I329&lt;&gt;0),COUNTIFS($O$2:O329,$O329,$I$2:I329,"&gt;0"),"")</f>
        <v/>
      </c>
      <c r="Q329" s="101" t="str">
        <f aca="false">IF(AND($O329&lt;&gt;"",$J329&lt;&gt;0),COUNTIFS($O$2:O329,$O329,$J$2:J329,"&gt;0"),"")</f>
        <v/>
      </c>
      <c r="R329" s="101" t="str">
        <f aca="false">IF($P329="","",$O329&amp;"|"&amp;$P329)</f>
        <v/>
      </c>
      <c r="S329" s="101" t="str">
        <f aca="false">IF($Q329="","",$O329&amp;"|"&amp;$Q329)</f>
        <v/>
      </c>
      <c r="T329" s="101" t="str">
        <f aca="false">IF($O329="","",COUNTIF($O$2:O329,$O329))</f>
        <v/>
      </c>
      <c r="U329" s="101" t="str">
        <f aca="false">IF($O329="","",$O329&amp;"|"&amp;$T329)</f>
        <v/>
      </c>
      <c r="V329" s="488" t="n">
        <f aca="false">IF(OR(LEFT($D329,5)="MB-CL",LEFT($D329,6)="MB-RES"),0,$I329)</f>
        <v>0</v>
      </c>
      <c r="W329" s="488" t="n">
        <f aca="false">IF(OR(LEFT($D329,5)="MB-CL",LEFT($D329,6)="MB-RES"),0,$J329)</f>
        <v>0</v>
      </c>
      <c r="X329" s="101" t="str">
        <f aca="false">IF($E329="","",LEFT($E329,1))</f>
        <v/>
      </c>
      <c r="Y329" s="101" t="str">
        <f aca="false">IF($E329="","",LEFT($E329,2))</f>
        <v/>
      </c>
      <c r="Z329" s="101" t="str">
        <f aca="false">IF($E329="","",LEFT($E329,3))</f>
        <v/>
      </c>
      <c r="AA329" s="101" t="str">
        <f aca="false">IF($E329="","",LEFT($E329,4))</f>
        <v/>
      </c>
    </row>
    <row r="330" customFormat="false" ht="15" hidden="false" customHeight="true" outlineLevel="0" collapsed="false">
      <c r="A330" s="484" t="str">
        <f aca="false">IF(DITARI!$D334="","",ROW()-1)</f>
        <v/>
      </c>
      <c r="B330" s="485" t="str">
        <f aca="false">IF(DITARI!$D334="","",DITARI!$A334)</f>
        <v/>
      </c>
      <c r="C330" s="484" t="str">
        <f aca="false">IF(DITARI!$D334="","",DITARI!$B334)</f>
        <v/>
      </c>
      <c r="D330" s="484" t="str">
        <f aca="false">IF(DITARI!$D334="","",DITARI!$C334)</f>
        <v/>
      </c>
      <c r="E330" s="484" t="str">
        <f aca="false">IF(DITARI!$D334="","",TRIM(DITARI!$D334&amp;""))</f>
        <v/>
      </c>
      <c r="F330" s="484" t="str">
        <f aca="false">IF($E330="","",IFERROR(VLOOKUP($E330,PLANI_LLOGARIVE!$A:$I,2,FALSE()),DITARI!$E334))</f>
        <v/>
      </c>
      <c r="G330" s="484" t="str">
        <f aca="false">IF($E330="","",DITARI!$I334)</f>
        <v/>
      </c>
      <c r="H330" s="484" t="str">
        <f aca="false">IFERROR(IF($E330="","",DITARI!$H334),"")</f>
        <v/>
      </c>
      <c r="I330" s="487" t="n">
        <f aca="false">IF($E330="",0,IFERROR(DITARI!$F334,0))</f>
        <v>0</v>
      </c>
      <c r="J330" s="487" t="n">
        <f aca="false">IF($E330="",0,IFERROR(DITARI!$G334,0))</f>
        <v>0</v>
      </c>
      <c r="K330" s="484" t="str">
        <f aca="false">IF($E330="","",IFERROR(VLOOKUP($E330,PLANI_LLOGARIVE!$A:$I,9,FALSE()),""))</f>
        <v/>
      </c>
      <c r="L330" s="487" t="str">
        <f aca="false">IF($E330="","",$I330-$J330)</f>
        <v/>
      </c>
      <c r="M330" s="484" t="str">
        <f aca="false">IF($E330="","",IF($I330&gt;0,"DEBIT",IF($J330&gt;0,"KREDIT","ZERO")))</f>
        <v/>
      </c>
      <c r="N330" s="484" t="str">
        <f aca="false">IF($E330="","",TEXT($B330,"yyyymmdd")&amp;"-"&amp;TEXT(ROW(),"0000"))</f>
        <v/>
      </c>
      <c r="O330" s="101" t="str">
        <f aca="false">IF($E330="","",$E330&amp;"")</f>
        <v/>
      </c>
      <c r="P330" s="101" t="str">
        <f aca="false">IF(AND($O330&lt;&gt;"",$I330&lt;&gt;0),COUNTIFS($O$2:O330,$O330,$I$2:I330,"&gt;0"),"")</f>
        <v/>
      </c>
      <c r="Q330" s="101" t="str">
        <f aca="false">IF(AND($O330&lt;&gt;"",$J330&lt;&gt;0),COUNTIFS($O$2:O330,$O330,$J$2:J330,"&gt;0"),"")</f>
        <v/>
      </c>
      <c r="R330" s="101" t="str">
        <f aca="false">IF($P330="","",$O330&amp;"|"&amp;$P330)</f>
        <v/>
      </c>
      <c r="S330" s="101" t="str">
        <f aca="false">IF($Q330="","",$O330&amp;"|"&amp;$Q330)</f>
        <v/>
      </c>
      <c r="T330" s="101" t="str">
        <f aca="false">IF($O330="","",COUNTIF($O$2:O330,$O330))</f>
        <v/>
      </c>
      <c r="U330" s="101" t="str">
        <f aca="false">IF($O330="","",$O330&amp;"|"&amp;$T330)</f>
        <v/>
      </c>
      <c r="V330" s="488" t="n">
        <f aca="false">IF(OR(LEFT($D330,5)="MB-CL",LEFT($D330,6)="MB-RES"),0,$I330)</f>
        <v>0</v>
      </c>
      <c r="W330" s="488" t="n">
        <f aca="false">IF(OR(LEFT($D330,5)="MB-CL",LEFT($D330,6)="MB-RES"),0,$J330)</f>
        <v>0</v>
      </c>
      <c r="X330" s="101" t="str">
        <f aca="false">IF($E330="","",LEFT($E330,1))</f>
        <v/>
      </c>
      <c r="Y330" s="101" t="str">
        <f aca="false">IF($E330="","",LEFT($E330,2))</f>
        <v/>
      </c>
      <c r="Z330" s="101" t="str">
        <f aca="false">IF($E330="","",LEFT($E330,3))</f>
        <v/>
      </c>
      <c r="AA330" s="101" t="str">
        <f aca="false">IF($E330="","",LEFT($E330,4))</f>
        <v/>
      </c>
    </row>
    <row r="331" customFormat="false" ht="15" hidden="false" customHeight="true" outlineLevel="0" collapsed="false">
      <c r="A331" s="484" t="str">
        <f aca="false">IF(DITARI!$D335="","",ROW()-1)</f>
        <v/>
      </c>
      <c r="B331" s="485" t="str">
        <f aca="false">IF(DITARI!$D335="","",DITARI!$A335)</f>
        <v/>
      </c>
      <c r="C331" s="484" t="str">
        <f aca="false">IF(DITARI!$D335="","",DITARI!$B335)</f>
        <v/>
      </c>
      <c r="D331" s="484" t="str">
        <f aca="false">IF(DITARI!$D335="","",DITARI!$C335)</f>
        <v/>
      </c>
      <c r="E331" s="484" t="str">
        <f aca="false">IF(DITARI!$D335="","",TRIM(DITARI!$D335&amp;""))</f>
        <v/>
      </c>
      <c r="F331" s="484" t="str">
        <f aca="false">IF($E331="","",IFERROR(VLOOKUP($E331,PLANI_LLOGARIVE!$A:$I,2,FALSE()),DITARI!$E335))</f>
        <v/>
      </c>
      <c r="G331" s="484" t="str">
        <f aca="false">IF($E331="","",DITARI!$I335)</f>
        <v/>
      </c>
      <c r="H331" s="484" t="str">
        <f aca="false">IFERROR(IF($E331="","",DITARI!$H335),"")</f>
        <v/>
      </c>
      <c r="I331" s="487" t="n">
        <f aca="false">IF($E331="",0,IFERROR(DITARI!$F335,0))</f>
        <v>0</v>
      </c>
      <c r="J331" s="487" t="n">
        <f aca="false">IF($E331="",0,IFERROR(DITARI!$G335,0))</f>
        <v>0</v>
      </c>
      <c r="K331" s="484" t="str">
        <f aca="false">IF($E331="","",IFERROR(VLOOKUP($E331,PLANI_LLOGARIVE!$A:$I,9,FALSE()),""))</f>
        <v/>
      </c>
      <c r="L331" s="487" t="str">
        <f aca="false">IF($E331="","",$I331-$J331)</f>
        <v/>
      </c>
      <c r="M331" s="484" t="str">
        <f aca="false">IF($E331="","",IF($I331&gt;0,"DEBIT",IF($J331&gt;0,"KREDIT","ZERO")))</f>
        <v/>
      </c>
      <c r="N331" s="484" t="str">
        <f aca="false">IF($E331="","",TEXT($B331,"yyyymmdd")&amp;"-"&amp;TEXT(ROW(),"0000"))</f>
        <v/>
      </c>
      <c r="O331" s="101" t="str">
        <f aca="false">IF($E331="","",$E331&amp;"")</f>
        <v/>
      </c>
      <c r="P331" s="101" t="str">
        <f aca="false">IF(AND($O331&lt;&gt;"",$I331&lt;&gt;0),COUNTIFS($O$2:O331,$O331,$I$2:I331,"&gt;0"),"")</f>
        <v/>
      </c>
      <c r="Q331" s="101" t="str">
        <f aca="false">IF(AND($O331&lt;&gt;"",$J331&lt;&gt;0),COUNTIFS($O$2:O331,$O331,$J$2:J331,"&gt;0"),"")</f>
        <v/>
      </c>
      <c r="R331" s="101" t="str">
        <f aca="false">IF($P331="","",$O331&amp;"|"&amp;$P331)</f>
        <v/>
      </c>
      <c r="S331" s="101" t="str">
        <f aca="false">IF($Q331="","",$O331&amp;"|"&amp;$Q331)</f>
        <v/>
      </c>
      <c r="T331" s="101" t="str">
        <f aca="false">IF($O331="","",COUNTIF($O$2:O331,$O331))</f>
        <v/>
      </c>
      <c r="U331" s="101" t="str">
        <f aca="false">IF($O331="","",$O331&amp;"|"&amp;$T331)</f>
        <v/>
      </c>
      <c r="V331" s="488" t="n">
        <f aca="false">IF(OR(LEFT($D331,5)="MB-CL",LEFT($D331,6)="MB-RES"),0,$I331)</f>
        <v>0</v>
      </c>
      <c r="W331" s="488" t="n">
        <f aca="false">IF(OR(LEFT($D331,5)="MB-CL",LEFT($D331,6)="MB-RES"),0,$J331)</f>
        <v>0</v>
      </c>
      <c r="X331" s="101" t="str">
        <f aca="false">IF($E331="","",LEFT($E331,1))</f>
        <v/>
      </c>
      <c r="Y331" s="101" t="str">
        <f aca="false">IF($E331="","",LEFT($E331,2))</f>
        <v/>
      </c>
      <c r="Z331" s="101" t="str">
        <f aca="false">IF($E331="","",LEFT($E331,3))</f>
        <v/>
      </c>
      <c r="AA331" s="101" t="str">
        <f aca="false">IF($E331="","",LEFT($E331,4))</f>
        <v/>
      </c>
    </row>
    <row r="332" customFormat="false" ht="15" hidden="false" customHeight="true" outlineLevel="0" collapsed="false">
      <c r="A332" s="484" t="str">
        <f aca="false">IF(DITARI!$D336="","",ROW()-1)</f>
        <v/>
      </c>
      <c r="B332" s="485" t="str">
        <f aca="false">IF(DITARI!$D336="","",DITARI!$A336)</f>
        <v/>
      </c>
      <c r="C332" s="484" t="str">
        <f aca="false">IF(DITARI!$D336="","",DITARI!$B336)</f>
        <v/>
      </c>
      <c r="D332" s="484" t="str">
        <f aca="false">IF(DITARI!$D336="","",DITARI!$C336)</f>
        <v/>
      </c>
      <c r="E332" s="484" t="str">
        <f aca="false">IF(DITARI!$D336="","",TRIM(DITARI!$D336&amp;""))</f>
        <v/>
      </c>
      <c r="F332" s="484" t="str">
        <f aca="false">IF($E332="","",IFERROR(VLOOKUP($E332,PLANI_LLOGARIVE!$A:$I,2,FALSE()),DITARI!$E336))</f>
        <v/>
      </c>
      <c r="G332" s="484" t="str">
        <f aca="false">IF($E332="","",DITARI!$I336)</f>
        <v/>
      </c>
      <c r="H332" s="484" t="str">
        <f aca="false">IFERROR(IF($E332="","",DITARI!$H336),"")</f>
        <v/>
      </c>
      <c r="I332" s="487" t="n">
        <f aca="false">IF($E332="",0,IFERROR(DITARI!$F336,0))</f>
        <v>0</v>
      </c>
      <c r="J332" s="487" t="n">
        <f aca="false">IF($E332="",0,IFERROR(DITARI!$G336,0))</f>
        <v>0</v>
      </c>
      <c r="K332" s="484" t="str">
        <f aca="false">IF($E332="","",IFERROR(VLOOKUP($E332,PLANI_LLOGARIVE!$A:$I,9,FALSE()),""))</f>
        <v/>
      </c>
      <c r="L332" s="487" t="str">
        <f aca="false">IF($E332="","",$I332-$J332)</f>
        <v/>
      </c>
      <c r="M332" s="484" t="str">
        <f aca="false">IF($E332="","",IF($I332&gt;0,"DEBIT",IF($J332&gt;0,"KREDIT","ZERO")))</f>
        <v/>
      </c>
      <c r="N332" s="484" t="str">
        <f aca="false">IF($E332="","",TEXT($B332,"yyyymmdd")&amp;"-"&amp;TEXT(ROW(),"0000"))</f>
        <v/>
      </c>
      <c r="O332" s="101" t="str">
        <f aca="false">IF($E332="","",$E332&amp;"")</f>
        <v/>
      </c>
      <c r="P332" s="101" t="str">
        <f aca="false">IF(AND($O332&lt;&gt;"",$I332&lt;&gt;0),COUNTIFS($O$2:O332,$O332,$I$2:I332,"&gt;0"),"")</f>
        <v/>
      </c>
      <c r="Q332" s="101" t="str">
        <f aca="false">IF(AND($O332&lt;&gt;"",$J332&lt;&gt;0),COUNTIFS($O$2:O332,$O332,$J$2:J332,"&gt;0"),"")</f>
        <v/>
      </c>
      <c r="R332" s="101" t="str">
        <f aca="false">IF($P332="","",$O332&amp;"|"&amp;$P332)</f>
        <v/>
      </c>
      <c r="S332" s="101" t="str">
        <f aca="false">IF($Q332="","",$O332&amp;"|"&amp;$Q332)</f>
        <v/>
      </c>
      <c r="T332" s="101" t="str">
        <f aca="false">IF($O332="","",COUNTIF($O$2:O332,$O332))</f>
        <v/>
      </c>
      <c r="U332" s="101" t="str">
        <f aca="false">IF($O332="","",$O332&amp;"|"&amp;$T332)</f>
        <v/>
      </c>
      <c r="V332" s="488" t="n">
        <f aca="false">IF(OR(LEFT($D332,5)="MB-CL",LEFT($D332,6)="MB-RES"),0,$I332)</f>
        <v>0</v>
      </c>
      <c r="W332" s="488" t="n">
        <f aca="false">IF(OR(LEFT($D332,5)="MB-CL",LEFT($D332,6)="MB-RES"),0,$J332)</f>
        <v>0</v>
      </c>
      <c r="X332" s="101" t="str">
        <f aca="false">IF($E332="","",LEFT($E332,1))</f>
        <v/>
      </c>
      <c r="Y332" s="101" t="str">
        <f aca="false">IF($E332="","",LEFT($E332,2))</f>
        <v/>
      </c>
      <c r="Z332" s="101" t="str">
        <f aca="false">IF($E332="","",LEFT($E332,3))</f>
        <v/>
      </c>
      <c r="AA332" s="101" t="str">
        <f aca="false">IF($E332="","",LEFT($E332,4))</f>
        <v/>
      </c>
    </row>
    <row r="333" customFormat="false" ht="15" hidden="false" customHeight="true" outlineLevel="0" collapsed="false">
      <c r="A333" s="484" t="str">
        <f aca="false">IF(DITARI!$D337="","",ROW()-1)</f>
        <v/>
      </c>
      <c r="B333" s="485" t="str">
        <f aca="false">IF(DITARI!$D337="","",DITARI!$A337)</f>
        <v/>
      </c>
      <c r="C333" s="484" t="str">
        <f aca="false">IF(DITARI!$D337="","",DITARI!$B337)</f>
        <v/>
      </c>
      <c r="D333" s="484" t="str">
        <f aca="false">IF(DITARI!$D337="","",DITARI!$C337)</f>
        <v/>
      </c>
      <c r="E333" s="484" t="str">
        <f aca="false">IF(DITARI!$D337="","",TRIM(DITARI!$D337&amp;""))</f>
        <v/>
      </c>
      <c r="F333" s="484" t="str">
        <f aca="false">IF($E333="","",IFERROR(VLOOKUP($E333,PLANI_LLOGARIVE!$A:$I,2,FALSE()),DITARI!$E337))</f>
        <v/>
      </c>
      <c r="G333" s="484" t="str">
        <f aca="false">IF($E333="","",DITARI!$I337)</f>
        <v/>
      </c>
      <c r="H333" s="484" t="str">
        <f aca="false">IFERROR(IF($E333="","",DITARI!$H337),"")</f>
        <v/>
      </c>
      <c r="I333" s="487" t="n">
        <f aca="false">IF($E333="",0,IFERROR(DITARI!$F337,0))</f>
        <v>0</v>
      </c>
      <c r="J333" s="487" t="n">
        <f aca="false">IF($E333="",0,IFERROR(DITARI!$G337,0))</f>
        <v>0</v>
      </c>
      <c r="K333" s="484" t="str">
        <f aca="false">IF($E333="","",IFERROR(VLOOKUP($E333,PLANI_LLOGARIVE!$A:$I,9,FALSE()),""))</f>
        <v/>
      </c>
      <c r="L333" s="487" t="str">
        <f aca="false">IF($E333="","",$I333-$J333)</f>
        <v/>
      </c>
      <c r="M333" s="484" t="str">
        <f aca="false">IF($E333="","",IF($I333&gt;0,"DEBIT",IF($J333&gt;0,"KREDIT","ZERO")))</f>
        <v/>
      </c>
      <c r="N333" s="484" t="str">
        <f aca="false">IF($E333="","",TEXT($B333,"yyyymmdd")&amp;"-"&amp;TEXT(ROW(),"0000"))</f>
        <v/>
      </c>
      <c r="O333" s="101" t="str">
        <f aca="false">IF($E333="","",$E333&amp;"")</f>
        <v/>
      </c>
      <c r="P333" s="101" t="str">
        <f aca="false">IF(AND($O333&lt;&gt;"",$I333&lt;&gt;0),COUNTIFS($O$2:O333,$O333,$I$2:I333,"&gt;0"),"")</f>
        <v/>
      </c>
      <c r="Q333" s="101" t="str">
        <f aca="false">IF(AND($O333&lt;&gt;"",$J333&lt;&gt;0),COUNTIFS($O$2:O333,$O333,$J$2:J333,"&gt;0"),"")</f>
        <v/>
      </c>
      <c r="R333" s="101" t="str">
        <f aca="false">IF($P333="","",$O333&amp;"|"&amp;$P333)</f>
        <v/>
      </c>
      <c r="S333" s="101" t="str">
        <f aca="false">IF($Q333="","",$O333&amp;"|"&amp;$Q333)</f>
        <v/>
      </c>
      <c r="T333" s="101" t="str">
        <f aca="false">IF($O333="","",COUNTIF($O$2:O333,$O333))</f>
        <v/>
      </c>
      <c r="U333" s="101" t="str">
        <f aca="false">IF($O333="","",$O333&amp;"|"&amp;$T333)</f>
        <v/>
      </c>
      <c r="V333" s="488" t="n">
        <f aca="false">IF(OR(LEFT($D333,5)="MB-CL",LEFT($D333,6)="MB-RES"),0,$I333)</f>
        <v>0</v>
      </c>
      <c r="W333" s="488" t="n">
        <f aca="false">IF(OR(LEFT($D333,5)="MB-CL",LEFT($D333,6)="MB-RES"),0,$J333)</f>
        <v>0</v>
      </c>
      <c r="X333" s="101" t="str">
        <f aca="false">IF($E333="","",LEFT($E333,1))</f>
        <v/>
      </c>
      <c r="Y333" s="101" t="str">
        <f aca="false">IF($E333="","",LEFT($E333,2))</f>
        <v/>
      </c>
      <c r="Z333" s="101" t="str">
        <f aca="false">IF($E333="","",LEFT($E333,3))</f>
        <v/>
      </c>
      <c r="AA333" s="101" t="str">
        <f aca="false">IF($E333="","",LEFT($E333,4))</f>
        <v/>
      </c>
    </row>
    <row r="334" customFormat="false" ht="15" hidden="false" customHeight="true" outlineLevel="0" collapsed="false">
      <c r="A334" s="484" t="str">
        <f aca="false">IF(DITARI!$D338="","",ROW()-1)</f>
        <v/>
      </c>
      <c r="B334" s="485" t="str">
        <f aca="false">IF(DITARI!$D338="","",DITARI!$A338)</f>
        <v/>
      </c>
      <c r="C334" s="484" t="str">
        <f aca="false">IF(DITARI!$D338="","",DITARI!$B338)</f>
        <v/>
      </c>
      <c r="D334" s="484" t="str">
        <f aca="false">IF(DITARI!$D338="","",DITARI!$C338)</f>
        <v/>
      </c>
      <c r="E334" s="484" t="str">
        <f aca="false">IF(DITARI!$D338="","",TRIM(DITARI!$D338&amp;""))</f>
        <v/>
      </c>
      <c r="F334" s="484" t="str">
        <f aca="false">IF($E334="","",IFERROR(VLOOKUP($E334,PLANI_LLOGARIVE!$A:$I,2,FALSE()),DITARI!$E338))</f>
        <v/>
      </c>
      <c r="G334" s="484" t="str">
        <f aca="false">IF($E334="","",DITARI!$I338)</f>
        <v/>
      </c>
      <c r="H334" s="484" t="str">
        <f aca="false">IFERROR(IF($E334="","",DITARI!$H338),"")</f>
        <v/>
      </c>
      <c r="I334" s="487" t="n">
        <f aca="false">IF($E334="",0,IFERROR(DITARI!$F338,0))</f>
        <v>0</v>
      </c>
      <c r="J334" s="487" t="n">
        <f aca="false">IF($E334="",0,IFERROR(DITARI!$G338,0))</f>
        <v>0</v>
      </c>
      <c r="K334" s="484" t="str">
        <f aca="false">IF($E334="","",IFERROR(VLOOKUP($E334,PLANI_LLOGARIVE!$A:$I,9,FALSE()),""))</f>
        <v/>
      </c>
      <c r="L334" s="487" t="str">
        <f aca="false">IF($E334="","",$I334-$J334)</f>
        <v/>
      </c>
      <c r="M334" s="484" t="str">
        <f aca="false">IF($E334="","",IF($I334&gt;0,"DEBIT",IF($J334&gt;0,"KREDIT","ZERO")))</f>
        <v/>
      </c>
      <c r="N334" s="484" t="str">
        <f aca="false">IF($E334="","",TEXT($B334,"yyyymmdd")&amp;"-"&amp;TEXT(ROW(),"0000"))</f>
        <v/>
      </c>
      <c r="O334" s="101" t="str">
        <f aca="false">IF($E334="","",$E334&amp;"")</f>
        <v/>
      </c>
      <c r="P334" s="101" t="str">
        <f aca="false">IF(AND($O334&lt;&gt;"",$I334&lt;&gt;0),COUNTIFS($O$2:O334,$O334,$I$2:I334,"&gt;0"),"")</f>
        <v/>
      </c>
      <c r="Q334" s="101" t="str">
        <f aca="false">IF(AND($O334&lt;&gt;"",$J334&lt;&gt;0),COUNTIFS($O$2:O334,$O334,$J$2:J334,"&gt;0"),"")</f>
        <v/>
      </c>
      <c r="R334" s="101" t="str">
        <f aca="false">IF($P334="","",$O334&amp;"|"&amp;$P334)</f>
        <v/>
      </c>
      <c r="S334" s="101" t="str">
        <f aca="false">IF($Q334="","",$O334&amp;"|"&amp;$Q334)</f>
        <v/>
      </c>
      <c r="T334" s="101" t="str">
        <f aca="false">IF($O334="","",COUNTIF($O$2:O334,$O334))</f>
        <v/>
      </c>
      <c r="U334" s="101" t="str">
        <f aca="false">IF($O334="","",$O334&amp;"|"&amp;$T334)</f>
        <v/>
      </c>
      <c r="V334" s="488" t="n">
        <f aca="false">IF(OR(LEFT($D334,5)="MB-CL",LEFT($D334,6)="MB-RES"),0,$I334)</f>
        <v>0</v>
      </c>
      <c r="W334" s="488" t="n">
        <f aca="false">IF(OR(LEFT($D334,5)="MB-CL",LEFT($D334,6)="MB-RES"),0,$J334)</f>
        <v>0</v>
      </c>
      <c r="X334" s="101" t="str">
        <f aca="false">IF($E334="","",LEFT($E334,1))</f>
        <v/>
      </c>
      <c r="Y334" s="101" t="str">
        <f aca="false">IF($E334="","",LEFT($E334,2))</f>
        <v/>
      </c>
      <c r="Z334" s="101" t="str">
        <f aca="false">IF($E334="","",LEFT($E334,3))</f>
        <v/>
      </c>
      <c r="AA334" s="101" t="str">
        <f aca="false">IF($E334="","",LEFT($E334,4))</f>
        <v/>
      </c>
    </row>
    <row r="335" customFormat="false" ht="15" hidden="false" customHeight="true" outlineLevel="0" collapsed="false">
      <c r="A335" s="484" t="str">
        <f aca="false">IF(DITARI!$D339="","",ROW()-1)</f>
        <v/>
      </c>
      <c r="B335" s="485" t="str">
        <f aca="false">IF(DITARI!$D339="","",DITARI!$A339)</f>
        <v/>
      </c>
      <c r="C335" s="484" t="str">
        <f aca="false">IF(DITARI!$D339="","",DITARI!$B339)</f>
        <v/>
      </c>
      <c r="D335" s="484" t="str">
        <f aca="false">IF(DITARI!$D339="","",DITARI!$C339)</f>
        <v/>
      </c>
      <c r="E335" s="484" t="str">
        <f aca="false">IF(DITARI!$D339="","",TRIM(DITARI!$D339&amp;""))</f>
        <v/>
      </c>
      <c r="F335" s="484" t="str">
        <f aca="false">IF($E335="","",IFERROR(VLOOKUP($E335,PLANI_LLOGARIVE!$A:$I,2,FALSE()),DITARI!$E339))</f>
        <v/>
      </c>
      <c r="G335" s="484" t="str">
        <f aca="false">IF($E335="","",DITARI!$I339)</f>
        <v/>
      </c>
      <c r="H335" s="484" t="str">
        <f aca="false">IFERROR(IF($E335="","",DITARI!$H339),"")</f>
        <v/>
      </c>
      <c r="I335" s="487" t="n">
        <f aca="false">IF($E335="",0,IFERROR(DITARI!$F339,0))</f>
        <v>0</v>
      </c>
      <c r="J335" s="487" t="n">
        <f aca="false">IF($E335="",0,IFERROR(DITARI!$G339,0))</f>
        <v>0</v>
      </c>
      <c r="K335" s="484" t="str">
        <f aca="false">IF($E335="","",IFERROR(VLOOKUP($E335,PLANI_LLOGARIVE!$A:$I,9,FALSE()),""))</f>
        <v/>
      </c>
      <c r="L335" s="487" t="str">
        <f aca="false">IF($E335="","",$I335-$J335)</f>
        <v/>
      </c>
      <c r="M335" s="484" t="str">
        <f aca="false">IF($E335="","",IF($I335&gt;0,"DEBIT",IF($J335&gt;0,"KREDIT","ZERO")))</f>
        <v/>
      </c>
      <c r="N335" s="484" t="str">
        <f aca="false">IF($E335="","",TEXT($B335,"yyyymmdd")&amp;"-"&amp;TEXT(ROW(),"0000"))</f>
        <v/>
      </c>
      <c r="O335" s="101" t="str">
        <f aca="false">IF($E335="","",$E335&amp;"")</f>
        <v/>
      </c>
      <c r="P335" s="101" t="str">
        <f aca="false">IF(AND($O335&lt;&gt;"",$I335&lt;&gt;0),COUNTIFS($O$2:O335,$O335,$I$2:I335,"&gt;0"),"")</f>
        <v/>
      </c>
      <c r="Q335" s="101" t="str">
        <f aca="false">IF(AND($O335&lt;&gt;"",$J335&lt;&gt;0),COUNTIFS($O$2:O335,$O335,$J$2:J335,"&gt;0"),"")</f>
        <v/>
      </c>
      <c r="R335" s="101" t="str">
        <f aca="false">IF($P335="","",$O335&amp;"|"&amp;$P335)</f>
        <v/>
      </c>
      <c r="S335" s="101" t="str">
        <f aca="false">IF($Q335="","",$O335&amp;"|"&amp;$Q335)</f>
        <v/>
      </c>
      <c r="T335" s="101" t="str">
        <f aca="false">IF($O335="","",COUNTIF($O$2:O335,$O335))</f>
        <v/>
      </c>
      <c r="U335" s="101" t="str">
        <f aca="false">IF($O335="","",$O335&amp;"|"&amp;$T335)</f>
        <v/>
      </c>
      <c r="V335" s="488" t="n">
        <f aca="false">IF(OR(LEFT($D335,5)="MB-CL",LEFT($D335,6)="MB-RES"),0,$I335)</f>
        <v>0</v>
      </c>
      <c r="W335" s="488" t="n">
        <f aca="false">IF(OR(LEFT($D335,5)="MB-CL",LEFT($D335,6)="MB-RES"),0,$J335)</f>
        <v>0</v>
      </c>
      <c r="X335" s="101" t="str">
        <f aca="false">IF($E335="","",LEFT($E335,1))</f>
        <v/>
      </c>
      <c r="Y335" s="101" t="str">
        <f aca="false">IF($E335="","",LEFT($E335,2))</f>
        <v/>
      </c>
      <c r="Z335" s="101" t="str">
        <f aca="false">IF($E335="","",LEFT($E335,3))</f>
        <v/>
      </c>
      <c r="AA335" s="101" t="str">
        <f aca="false">IF($E335="","",LEFT($E335,4))</f>
        <v/>
      </c>
    </row>
    <row r="336" customFormat="false" ht="15" hidden="false" customHeight="true" outlineLevel="0" collapsed="false">
      <c r="A336" s="484" t="str">
        <f aca="false">IF(DITARI!$D340="","",ROW()-1)</f>
        <v/>
      </c>
      <c r="B336" s="485" t="str">
        <f aca="false">IF(DITARI!$D340="","",DITARI!$A340)</f>
        <v/>
      </c>
      <c r="C336" s="484" t="str">
        <f aca="false">IF(DITARI!$D340="","",DITARI!$B340)</f>
        <v/>
      </c>
      <c r="D336" s="484" t="str">
        <f aca="false">IF(DITARI!$D340="","",DITARI!$C340)</f>
        <v/>
      </c>
      <c r="E336" s="484" t="str">
        <f aca="false">IF(DITARI!$D340="","",TRIM(DITARI!$D340&amp;""))</f>
        <v/>
      </c>
      <c r="F336" s="484" t="str">
        <f aca="false">IF($E336="","",IFERROR(VLOOKUP($E336,PLANI_LLOGARIVE!$A:$I,2,FALSE()),DITARI!$E340))</f>
        <v/>
      </c>
      <c r="G336" s="484" t="str">
        <f aca="false">IF($E336="","",DITARI!$I340)</f>
        <v/>
      </c>
      <c r="H336" s="484" t="str">
        <f aca="false">IFERROR(IF($E336="","",DITARI!$H340),"")</f>
        <v/>
      </c>
      <c r="I336" s="487" t="n">
        <f aca="false">IF($E336="",0,IFERROR(DITARI!$F340,0))</f>
        <v>0</v>
      </c>
      <c r="J336" s="487" t="n">
        <f aca="false">IF($E336="",0,IFERROR(DITARI!$G340,0))</f>
        <v>0</v>
      </c>
      <c r="K336" s="484" t="str">
        <f aca="false">IF($E336="","",IFERROR(VLOOKUP($E336,PLANI_LLOGARIVE!$A:$I,9,FALSE()),""))</f>
        <v/>
      </c>
      <c r="L336" s="487" t="str">
        <f aca="false">IF($E336="","",$I336-$J336)</f>
        <v/>
      </c>
      <c r="M336" s="484" t="str">
        <f aca="false">IF($E336="","",IF($I336&gt;0,"DEBIT",IF($J336&gt;0,"KREDIT","ZERO")))</f>
        <v/>
      </c>
      <c r="N336" s="484" t="str">
        <f aca="false">IF($E336="","",TEXT($B336,"yyyymmdd")&amp;"-"&amp;TEXT(ROW(),"0000"))</f>
        <v/>
      </c>
      <c r="O336" s="101" t="str">
        <f aca="false">IF($E336="","",$E336&amp;"")</f>
        <v/>
      </c>
      <c r="P336" s="101" t="str">
        <f aca="false">IF(AND($O336&lt;&gt;"",$I336&lt;&gt;0),COUNTIFS($O$2:O336,$O336,$I$2:I336,"&gt;0"),"")</f>
        <v/>
      </c>
      <c r="Q336" s="101" t="str">
        <f aca="false">IF(AND($O336&lt;&gt;"",$J336&lt;&gt;0),COUNTIFS($O$2:O336,$O336,$J$2:J336,"&gt;0"),"")</f>
        <v/>
      </c>
      <c r="R336" s="101" t="str">
        <f aca="false">IF($P336="","",$O336&amp;"|"&amp;$P336)</f>
        <v/>
      </c>
      <c r="S336" s="101" t="str">
        <f aca="false">IF($Q336="","",$O336&amp;"|"&amp;$Q336)</f>
        <v/>
      </c>
      <c r="T336" s="101" t="str">
        <f aca="false">IF($O336="","",COUNTIF($O$2:O336,$O336))</f>
        <v/>
      </c>
      <c r="U336" s="101" t="str">
        <f aca="false">IF($O336="","",$O336&amp;"|"&amp;$T336)</f>
        <v/>
      </c>
      <c r="V336" s="488" t="n">
        <f aca="false">IF(OR(LEFT($D336,5)="MB-CL",LEFT($D336,6)="MB-RES"),0,$I336)</f>
        <v>0</v>
      </c>
      <c r="W336" s="488" t="n">
        <f aca="false">IF(OR(LEFT($D336,5)="MB-CL",LEFT($D336,6)="MB-RES"),0,$J336)</f>
        <v>0</v>
      </c>
      <c r="X336" s="101" t="str">
        <f aca="false">IF($E336="","",LEFT($E336,1))</f>
        <v/>
      </c>
      <c r="Y336" s="101" t="str">
        <f aca="false">IF($E336="","",LEFT($E336,2))</f>
        <v/>
      </c>
      <c r="Z336" s="101" t="str">
        <f aca="false">IF($E336="","",LEFT($E336,3))</f>
        <v/>
      </c>
      <c r="AA336" s="101" t="str">
        <f aca="false">IF($E336="","",LEFT($E336,4))</f>
        <v/>
      </c>
    </row>
    <row r="337" customFormat="false" ht="15" hidden="false" customHeight="true" outlineLevel="0" collapsed="false">
      <c r="A337" s="484" t="str">
        <f aca="false">IF(DITARI!$D341="","",ROW()-1)</f>
        <v/>
      </c>
      <c r="B337" s="485" t="str">
        <f aca="false">IF(DITARI!$D341="","",DITARI!$A341)</f>
        <v/>
      </c>
      <c r="C337" s="484" t="str">
        <f aca="false">IF(DITARI!$D341="","",DITARI!$B341)</f>
        <v/>
      </c>
      <c r="D337" s="484" t="str">
        <f aca="false">IF(DITARI!$D341="","",DITARI!$C341)</f>
        <v/>
      </c>
      <c r="E337" s="484" t="str">
        <f aca="false">IF(DITARI!$D341="","",TRIM(DITARI!$D341&amp;""))</f>
        <v/>
      </c>
      <c r="F337" s="484" t="str">
        <f aca="false">IF($E337="","",IFERROR(VLOOKUP($E337,PLANI_LLOGARIVE!$A:$I,2,FALSE()),DITARI!$E341))</f>
        <v/>
      </c>
      <c r="G337" s="484" t="str">
        <f aca="false">IF($E337="","",DITARI!$I341)</f>
        <v/>
      </c>
      <c r="H337" s="484" t="str">
        <f aca="false">IFERROR(IF($E337="","",DITARI!$H341),"")</f>
        <v/>
      </c>
      <c r="I337" s="487" t="n">
        <f aca="false">IF($E337="",0,IFERROR(DITARI!$F341,0))</f>
        <v>0</v>
      </c>
      <c r="J337" s="487" t="n">
        <f aca="false">IF($E337="",0,IFERROR(DITARI!$G341,0))</f>
        <v>0</v>
      </c>
      <c r="K337" s="484" t="str">
        <f aca="false">IF($E337="","",IFERROR(VLOOKUP($E337,PLANI_LLOGARIVE!$A:$I,9,FALSE()),""))</f>
        <v/>
      </c>
      <c r="L337" s="487" t="str">
        <f aca="false">IF($E337="","",$I337-$J337)</f>
        <v/>
      </c>
      <c r="M337" s="484" t="str">
        <f aca="false">IF($E337="","",IF($I337&gt;0,"DEBIT",IF($J337&gt;0,"KREDIT","ZERO")))</f>
        <v/>
      </c>
      <c r="N337" s="484" t="str">
        <f aca="false">IF($E337="","",TEXT($B337,"yyyymmdd")&amp;"-"&amp;TEXT(ROW(),"0000"))</f>
        <v/>
      </c>
      <c r="O337" s="101" t="str">
        <f aca="false">IF($E337="","",$E337&amp;"")</f>
        <v/>
      </c>
      <c r="P337" s="101" t="str">
        <f aca="false">IF(AND($O337&lt;&gt;"",$I337&lt;&gt;0),COUNTIFS($O$2:O337,$O337,$I$2:I337,"&gt;0"),"")</f>
        <v/>
      </c>
      <c r="Q337" s="101" t="str">
        <f aca="false">IF(AND($O337&lt;&gt;"",$J337&lt;&gt;0),COUNTIFS($O$2:O337,$O337,$J$2:J337,"&gt;0"),"")</f>
        <v/>
      </c>
      <c r="R337" s="101" t="str">
        <f aca="false">IF($P337="","",$O337&amp;"|"&amp;$P337)</f>
        <v/>
      </c>
      <c r="S337" s="101" t="str">
        <f aca="false">IF($Q337="","",$O337&amp;"|"&amp;$Q337)</f>
        <v/>
      </c>
      <c r="T337" s="101" t="str">
        <f aca="false">IF($O337="","",COUNTIF($O$2:O337,$O337))</f>
        <v/>
      </c>
      <c r="U337" s="101" t="str">
        <f aca="false">IF($O337="","",$O337&amp;"|"&amp;$T337)</f>
        <v/>
      </c>
      <c r="V337" s="488" t="n">
        <f aca="false">IF(OR(LEFT($D337,5)="MB-CL",LEFT($D337,6)="MB-RES"),0,$I337)</f>
        <v>0</v>
      </c>
      <c r="W337" s="488" t="n">
        <f aca="false">IF(OR(LEFT($D337,5)="MB-CL",LEFT($D337,6)="MB-RES"),0,$J337)</f>
        <v>0</v>
      </c>
      <c r="X337" s="101" t="str">
        <f aca="false">IF($E337="","",LEFT($E337,1))</f>
        <v/>
      </c>
      <c r="Y337" s="101" t="str">
        <f aca="false">IF($E337="","",LEFT($E337,2))</f>
        <v/>
      </c>
      <c r="Z337" s="101" t="str">
        <f aca="false">IF($E337="","",LEFT($E337,3))</f>
        <v/>
      </c>
      <c r="AA337" s="101" t="str">
        <f aca="false">IF($E337="","",LEFT($E337,4))</f>
        <v/>
      </c>
    </row>
    <row r="338" customFormat="false" ht="15" hidden="false" customHeight="true" outlineLevel="0" collapsed="false">
      <c r="A338" s="484" t="str">
        <f aca="false">IF(DITARI!$D342="","",ROW()-1)</f>
        <v/>
      </c>
      <c r="B338" s="485" t="str">
        <f aca="false">IF(DITARI!$D342="","",DITARI!$A342)</f>
        <v/>
      </c>
      <c r="C338" s="484" t="str">
        <f aca="false">IF(DITARI!$D342="","",DITARI!$B342)</f>
        <v/>
      </c>
      <c r="D338" s="484" t="str">
        <f aca="false">IF(DITARI!$D342="","",DITARI!$C342)</f>
        <v/>
      </c>
      <c r="E338" s="484" t="str">
        <f aca="false">IF(DITARI!$D342="","",TRIM(DITARI!$D342&amp;""))</f>
        <v/>
      </c>
      <c r="F338" s="484" t="str">
        <f aca="false">IF($E338="","",IFERROR(VLOOKUP($E338,PLANI_LLOGARIVE!$A:$I,2,FALSE()),DITARI!$E342))</f>
        <v/>
      </c>
      <c r="G338" s="484" t="str">
        <f aca="false">IF($E338="","",DITARI!$I342)</f>
        <v/>
      </c>
      <c r="H338" s="484" t="str">
        <f aca="false">IFERROR(IF($E338="","",DITARI!$H342),"")</f>
        <v/>
      </c>
      <c r="I338" s="487" t="n">
        <f aca="false">IF($E338="",0,IFERROR(DITARI!$F342,0))</f>
        <v>0</v>
      </c>
      <c r="J338" s="487" t="n">
        <f aca="false">IF($E338="",0,IFERROR(DITARI!$G342,0))</f>
        <v>0</v>
      </c>
      <c r="K338" s="484" t="str">
        <f aca="false">IF($E338="","",IFERROR(VLOOKUP($E338,PLANI_LLOGARIVE!$A:$I,9,FALSE()),""))</f>
        <v/>
      </c>
      <c r="L338" s="487" t="str">
        <f aca="false">IF($E338="","",$I338-$J338)</f>
        <v/>
      </c>
      <c r="M338" s="484" t="str">
        <f aca="false">IF($E338="","",IF($I338&gt;0,"DEBIT",IF($J338&gt;0,"KREDIT","ZERO")))</f>
        <v/>
      </c>
      <c r="N338" s="484" t="str">
        <f aca="false">IF($E338="","",TEXT($B338,"yyyymmdd")&amp;"-"&amp;TEXT(ROW(),"0000"))</f>
        <v/>
      </c>
      <c r="O338" s="101" t="str">
        <f aca="false">IF($E338="","",$E338&amp;"")</f>
        <v/>
      </c>
      <c r="P338" s="101" t="str">
        <f aca="false">IF(AND($O338&lt;&gt;"",$I338&lt;&gt;0),COUNTIFS($O$2:O338,$O338,$I$2:I338,"&gt;0"),"")</f>
        <v/>
      </c>
      <c r="Q338" s="101" t="str">
        <f aca="false">IF(AND($O338&lt;&gt;"",$J338&lt;&gt;0),COUNTIFS($O$2:O338,$O338,$J$2:J338,"&gt;0"),"")</f>
        <v/>
      </c>
      <c r="R338" s="101" t="str">
        <f aca="false">IF($P338="","",$O338&amp;"|"&amp;$P338)</f>
        <v/>
      </c>
      <c r="S338" s="101" t="str">
        <f aca="false">IF($Q338="","",$O338&amp;"|"&amp;$Q338)</f>
        <v/>
      </c>
      <c r="T338" s="101" t="str">
        <f aca="false">IF($O338="","",COUNTIF($O$2:O338,$O338))</f>
        <v/>
      </c>
      <c r="U338" s="101" t="str">
        <f aca="false">IF($O338="","",$O338&amp;"|"&amp;$T338)</f>
        <v/>
      </c>
      <c r="V338" s="488" t="n">
        <f aca="false">IF(OR(LEFT($D338,5)="MB-CL",LEFT($D338,6)="MB-RES"),0,$I338)</f>
        <v>0</v>
      </c>
      <c r="W338" s="488" t="n">
        <f aca="false">IF(OR(LEFT($D338,5)="MB-CL",LEFT($D338,6)="MB-RES"),0,$J338)</f>
        <v>0</v>
      </c>
      <c r="X338" s="101" t="str">
        <f aca="false">IF($E338="","",LEFT($E338,1))</f>
        <v/>
      </c>
      <c r="Y338" s="101" t="str">
        <f aca="false">IF($E338="","",LEFT($E338,2))</f>
        <v/>
      </c>
      <c r="Z338" s="101" t="str">
        <f aca="false">IF($E338="","",LEFT($E338,3))</f>
        <v/>
      </c>
      <c r="AA338" s="101" t="str">
        <f aca="false">IF($E338="","",LEFT($E338,4))</f>
        <v/>
      </c>
    </row>
    <row r="339" customFormat="false" ht="15" hidden="false" customHeight="true" outlineLevel="0" collapsed="false">
      <c r="A339" s="484" t="str">
        <f aca="false">IF(DITARI!$D343="","",ROW()-1)</f>
        <v/>
      </c>
      <c r="B339" s="485" t="str">
        <f aca="false">IF(DITARI!$D343="","",DITARI!$A343)</f>
        <v/>
      </c>
      <c r="C339" s="484" t="str">
        <f aca="false">IF(DITARI!$D343="","",DITARI!$B343)</f>
        <v/>
      </c>
      <c r="D339" s="484" t="str">
        <f aca="false">IF(DITARI!$D343="","",DITARI!$C343)</f>
        <v/>
      </c>
      <c r="E339" s="484" t="str">
        <f aca="false">IF(DITARI!$D343="","",TRIM(DITARI!$D343&amp;""))</f>
        <v/>
      </c>
      <c r="F339" s="484" t="str">
        <f aca="false">IF($E339="","",IFERROR(VLOOKUP($E339,PLANI_LLOGARIVE!$A:$I,2,FALSE()),DITARI!$E343))</f>
        <v/>
      </c>
      <c r="G339" s="484" t="str">
        <f aca="false">IF($E339="","",DITARI!$I343)</f>
        <v/>
      </c>
      <c r="H339" s="484" t="str">
        <f aca="false">IFERROR(IF($E339="","",DITARI!$H343),"")</f>
        <v/>
      </c>
      <c r="I339" s="487" t="n">
        <f aca="false">IF($E339="",0,IFERROR(DITARI!$F343,0))</f>
        <v>0</v>
      </c>
      <c r="J339" s="487" t="n">
        <f aca="false">IF($E339="",0,IFERROR(DITARI!$G343,0))</f>
        <v>0</v>
      </c>
      <c r="K339" s="484" t="str">
        <f aca="false">IF($E339="","",IFERROR(VLOOKUP($E339,PLANI_LLOGARIVE!$A:$I,9,FALSE()),""))</f>
        <v/>
      </c>
      <c r="L339" s="487" t="str">
        <f aca="false">IF($E339="","",$I339-$J339)</f>
        <v/>
      </c>
      <c r="M339" s="484" t="str">
        <f aca="false">IF($E339="","",IF($I339&gt;0,"DEBIT",IF($J339&gt;0,"KREDIT","ZERO")))</f>
        <v/>
      </c>
      <c r="N339" s="484" t="str">
        <f aca="false">IF($E339="","",TEXT($B339,"yyyymmdd")&amp;"-"&amp;TEXT(ROW(),"0000"))</f>
        <v/>
      </c>
      <c r="O339" s="101" t="str">
        <f aca="false">IF($E339="","",$E339&amp;"")</f>
        <v/>
      </c>
      <c r="P339" s="101" t="str">
        <f aca="false">IF(AND($O339&lt;&gt;"",$I339&lt;&gt;0),COUNTIFS($O$2:O339,$O339,$I$2:I339,"&gt;0"),"")</f>
        <v/>
      </c>
      <c r="Q339" s="101" t="str">
        <f aca="false">IF(AND($O339&lt;&gt;"",$J339&lt;&gt;0),COUNTIFS($O$2:O339,$O339,$J$2:J339,"&gt;0"),"")</f>
        <v/>
      </c>
      <c r="R339" s="101" t="str">
        <f aca="false">IF($P339="","",$O339&amp;"|"&amp;$P339)</f>
        <v/>
      </c>
      <c r="S339" s="101" t="str">
        <f aca="false">IF($Q339="","",$O339&amp;"|"&amp;$Q339)</f>
        <v/>
      </c>
      <c r="T339" s="101" t="str">
        <f aca="false">IF($O339="","",COUNTIF($O$2:O339,$O339))</f>
        <v/>
      </c>
      <c r="U339" s="101" t="str">
        <f aca="false">IF($O339="","",$O339&amp;"|"&amp;$T339)</f>
        <v/>
      </c>
      <c r="V339" s="488" t="n">
        <f aca="false">IF(OR(LEFT($D339,5)="MB-CL",LEFT($D339,6)="MB-RES"),0,$I339)</f>
        <v>0</v>
      </c>
      <c r="W339" s="488" t="n">
        <f aca="false">IF(OR(LEFT($D339,5)="MB-CL",LEFT($D339,6)="MB-RES"),0,$J339)</f>
        <v>0</v>
      </c>
      <c r="X339" s="101" t="str">
        <f aca="false">IF($E339="","",LEFT($E339,1))</f>
        <v/>
      </c>
      <c r="Y339" s="101" t="str">
        <f aca="false">IF($E339="","",LEFT($E339,2))</f>
        <v/>
      </c>
      <c r="Z339" s="101" t="str">
        <f aca="false">IF($E339="","",LEFT($E339,3))</f>
        <v/>
      </c>
      <c r="AA339" s="101" t="str">
        <f aca="false">IF($E339="","",LEFT($E339,4))</f>
        <v/>
      </c>
    </row>
    <row r="340" customFormat="false" ht="15" hidden="false" customHeight="true" outlineLevel="0" collapsed="false">
      <c r="A340" s="484" t="str">
        <f aca="false">IF(DITARI!$D344="","",ROW()-1)</f>
        <v/>
      </c>
      <c r="B340" s="485" t="str">
        <f aca="false">IF(DITARI!$D344="","",DITARI!$A344)</f>
        <v/>
      </c>
      <c r="C340" s="484" t="str">
        <f aca="false">IF(DITARI!$D344="","",DITARI!$B344)</f>
        <v/>
      </c>
      <c r="D340" s="484" t="str">
        <f aca="false">IF(DITARI!$D344="","",DITARI!$C344)</f>
        <v/>
      </c>
      <c r="E340" s="484" t="str">
        <f aca="false">IF(DITARI!$D344="","",TRIM(DITARI!$D344&amp;""))</f>
        <v/>
      </c>
      <c r="F340" s="484" t="str">
        <f aca="false">IF($E340="","",IFERROR(VLOOKUP($E340,PLANI_LLOGARIVE!$A:$I,2,FALSE()),DITARI!$E344))</f>
        <v/>
      </c>
      <c r="G340" s="484" t="str">
        <f aca="false">IF($E340="","",DITARI!$I344)</f>
        <v/>
      </c>
      <c r="H340" s="484" t="str">
        <f aca="false">IFERROR(IF($E340="","",DITARI!$H344),"")</f>
        <v/>
      </c>
      <c r="I340" s="487" t="n">
        <f aca="false">IF($E340="",0,IFERROR(DITARI!$F344,0))</f>
        <v>0</v>
      </c>
      <c r="J340" s="487" t="n">
        <f aca="false">IF($E340="",0,IFERROR(DITARI!$G344,0))</f>
        <v>0</v>
      </c>
      <c r="K340" s="484" t="str">
        <f aca="false">IF($E340="","",IFERROR(VLOOKUP($E340,PLANI_LLOGARIVE!$A:$I,9,FALSE()),""))</f>
        <v/>
      </c>
      <c r="L340" s="487" t="str">
        <f aca="false">IF($E340="","",$I340-$J340)</f>
        <v/>
      </c>
      <c r="M340" s="484" t="str">
        <f aca="false">IF($E340="","",IF($I340&gt;0,"DEBIT",IF($J340&gt;0,"KREDIT","ZERO")))</f>
        <v/>
      </c>
      <c r="N340" s="484" t="str">
        <f aca="false">IF($E340="","",TEXT($B340,"yyyymmdd")&amp;"-"&amp;TEXT(ROW(),"0000"))</f>
        <v/>
      </c>
      <c r="O340" s="101" t="str">
        <f aca="false">IF($E340="","",$E340&amp;"")</f>
        <v/>
      </c>
      <c r="P340" s="101" t="str">
        <f aca="false">IF(AND($O340&lt;&gt;"",$I340&lt;&gt;0),COUNTIFS($O$2:O340,$O340,$I$2:I340,"&gt;0"),"")</f>
        <v/>
      </c>
      <c r="Q340" s="101" t="str">
        <f aca="false">IF(AND($O340&lt;&gt;"",$J340&lt;&gt;0),COUNTIFS($O$2:O340,$O340,$J$2:J340,"&gt;0"),"")</f>
        <v/>
      </c>
      <c r="R340" s="101" t="str">
        <f aca="false">IF($P340="","",$O340&amp;"|"&amp;$P340)</f>
        <v/>
      </c>
      <c r="S340" s="101" t="str">
        <f aca="false">IF($Q340="","",$O340&amp;"|"&amp;$Q340)</f>
        <v/>
      </c>
      <c r="T340" s="101" t="str">
        <f aca="false">IF($O340="","",COUNTIF($O$2:O340,$O340))</f>
        <v/>
      </c>
      <c r="U340" s="101" t="str">
        <f aca="false">IF($O340="","",$O340&amp;"|"&amp;$T340)</f>
        <v/>
      </c>
      <c r="V340" s="488" t="n">
        <f aca="false">IF(OR(LEFT($D340,5)="MB-CL",LEFT($D340,6)="MB-RES"),0,$I340)</f>
        <v>0</v>
      </c>
      <c r="W340" s="488" t="n">
        <f aca="false">IF(OR(LEFT($D340,5)="MB-CL",LEFT($D340,6)="MB-RES"),0,$J340)</f>
        <v>0</v>
      </c>
      <c r="X340" s="101" t="str">
        <f aca="false">IF($E340="","",LEFT($E340,1))</f>
        <v/>
      </c>
      <c r="Y340" s="101" t="str">
        <f aca="false">IF($E340="","",LEFT($E340,2))</f>
        <v/>
      </c>
      <c r="Z340" s="101" t="str">
        <f aca="false">IF($E340="","",LEFT($E340,3))</f>
        <v/>
      </c>
      <c r="AA340" s="101" t="str">
        <f aca="false">IF($E340="","",LEFT($E340,4))</f>
        <v/>
      </c>
    </row>
    <row r="341" customFormat="false" ht="15" hidden="false" customHeight="true" outlineLevel="0" collapsed="false">
      <c r="A341" s="484" t="str">
        <f aca="false">IF(DITARI!$D345="","",ROW()-1)</f>
        <v/>
      </c>
      <c r="B341" s="485" t="str">
        <f aca="false">IF(DITARI!$D345="","",DITARI!$A345)</f>
        <v/>
      </c>
      <c r="C341" s="484" t="str">
        <f aca="false">IF(DITARI!$D345="","",DITARI!$B345)</f>
        <v/>
      </c>
      <c r="D341" s="484" t="str">
        <f aca="false">IF(DITARI!$D345="","",DITARI!$C345)</f>
        <v/>
      </c>
      <c r="E341" s="484" t="str">
        <f aca="false">IF(DITARI!$D345="","",TRIM(DITARI!$D345&amp;""))</f>
        <v/>
      </c>
      <c r="F341" s="484" t="str">
        <f aca="false">IF($E341="","",IFERROR(VLOOKUP($E341,PLANI_LLOGARIVE!$A:$I,2,FALSE()),DITARI!$E345))</f>
        <v/>
      </c>
      <c r="G341" s="484" t="str">
        <f aca="false">IF($E341="","",DITARI!$I345)</f>
        <v/>
      </c>
      <c r="H341" s="484" t="str">
        <f aca="false">IFERROR(IF($E341="","",DITARI!$H345),"")</f>
        <v/>
      </c>
      <c r="I341" s="487" t="n">
        <f aca="false">IF($E341="",0,IFERROR(DITARI!$F345,0))</f>
        <v>0</v>
      </c>
      <c r="J341" s="487" t="n">
        <f aca="false">IF($E341="",0,IFERROR(DITARI!$G345,0))</f>
        <v>0</v>
      </c>
      <c r="K341" s="484" t="str">
        <f aca="false">IF($E341="","",IFERROR(VLOOKUP($E341,PLANI_LLOGARIVE!$A:$I,9,FALSE()),""))</f>
        <v/>
      </c>
      <c r="L341" s="487" t="str">
        <f aca="false">IF($E341="","",$I341-$J341)</f>
        <v/>
      </c>
      <c r="M341" s="484" t="str">
        <f aca="false">IF($E341="","",IF($I341&gt;0,"DEBIT",IF($J341&gt;0,"KREDIT","ZERO")))</f>
        <v/>
      </c>
      <c r="N341" s="484" t="str">
        <f aca="false">IF($E341="","",TEXT($B341,"yyyymmdd")&amp;"-"&amp;TEXT(ROW(),"0000"))</f>
        <v/>
      </c>
      <c r="O341" s="101" t="str">
        <f aca="false">IF($E341="","",$E341&amp;"")</f>
        <v/>
      </c>
      <c r="P341" s="101" t="str">
        <f aca="false">IF(AND($O341&lt;&gt;"",$I341&lt;&gt;0),COUNTIFS($O$2:O341,$O341,$I$2:I341,"&gt;0"),"")</f>
        <v/>
      </c>
      <c r="Q341" s="101" t="str">
        <f aca="false">IF(AND($O341&lt;&gt;"",$J341&lt;&gt;0),COUNTIFS($O$2:O341,$O341,$J$2:J341,"&gt;0"),"")</f>
        <v/>
      </c>
      <c r="R341" s="101" t="str">
        <f aca="false">IF($P341="","",$O341&amp;"|"&amp;$P341)</f>
        <v/>
      </c>
      <c r="S341" s="101" t="str">
        <f aca="false">IF($Q341="","",$O341&amp;"|"&amp;$Q341)</f>
        <v/>
      </c>
      <c r="T341" s="101" t="str">
        <f aca="false">IF($O341="","",COUNTIF($O$2:O341,$O341))</f>
        <v/>
      </c>
      <c r="U341" s="101" t="str">
        <f aca="false">IF($O341="","",$O341&amp;"|"&amp;$T341)</f>
        <v/>
      </c>
      <c r="V341" s="488" t="n">
        <f aca="false">IF(OR(LEFT($D341,5)="MB-CL",LEFT($D341,6)="MB-RES"),0,$I341)</f>
        <v>0</v>
      </c>
      <c r="W341" s="488" t="n">
        <f aca="false">IF(OR(LEFT($D341,5)="MB-CL",LEFT($D341,6)="MB-RES"),0,$J341)</f>
        <v>0</v>
      </c>
      <c r="X341" s="101" t="str">
        <f aca="false">IF($E341="","",LEFT($E341,1))</f>
        <v/>
      </c>
      <c r="Y341" s="101" t="str">
        <f aca="false">IF($E341="","",LEFT($E341,2))</f>
        <v/>
      </c>
      <c r="Z341" s="101" t="str">
        <f aca="false">IF($E341="","",LEFT($E341,3))</f>
        <v/>
      </c>
      <c r="AA341" s="101" t="str">
        <f aca="false">IF($E341="","",LEFT($E341,4))</f>
        <v/>
      </c>
    </row>
    <row r="342" customFormat="false" ht="15" hidden="false" customHeight="true" outlineLevel="0" collapsed="false">
      <c r="A342" s="484" t="str">
        <f aca="false">IF(DITARI!$D346="","",ROW()-1)</f>
        <v/>
      </c>
      <c r="B342" s="485" t="str">
        <f aca="false">IF(DITARI!$D346="","",DITARI!$A346)</f>
        <v/>
      </c>
      <c r="C342" s="484" t="str">
        <f aca="false">IF(DITARI!$D346="","",DITARI!$B346)</f>
        <v/>
      </c>
      <c r="D342" s="484" t="str">
        <f aca="false">IF(DITARI!$D346="","",DITARI!$C346)</f>
        <v/>
      </c>
      <c r="E342" s="484" t="str">
        <f aca="false">IF(DITARI!$D346="","",TRIM(DITARI!$D346&amp;""))</f>
        <v/>
      </c>
      <c r="F342" s="484" t="str">
        <f aca="false">IF($E342="","",IFERROR(VLOOKUP($E342,PLANI_LLOGARIVE!$A:$I,2,FALSE()),DITARI!$E346))</f>
        <v/>
      </c>
      <c r="G342" s="484" t="str">
        <f aca="false">IF($E342="","",DITARI!$I346)</f>
        <v/>
      </c>
      <c r="H342" s="484" t="str">
        <f aca="false">IFERROR(IF($E342="","",DITARI!$H346),"")</f>
        <v/>
      </c>
      <c r="I342" s="487" t="n">
        <f aca="false">IF($E342="",0,IFERROR(DITARI!$F346,0))</f>
        <v>0</v>
      </c>
      <c r="J342" s="487" t="n">
        <f aca="false">IF($E342="",0,IFERROR(DITARI!$G346,0))</f>
        <v>0</v>
      </c>
      <c r="K342" s="484" t="str">
        <f aca="false">IF($E342="","",IFERROR(VLOOKUP($E342,PLANI_LLOGARIVE!$A:$I,9,FALSE()),""))</f>
        <v/>
      </c>
      <c r="L342" s="487" t="str">
        <f aca="false">IF($E342="","",$I342-$J342)</f>
        <v/>
      </c>
      <c r="M342" s="484" t="str">
        <f aca="false">IF($E342="","",IF($I342&gt;0,"DEBIT",IF($J342&gt;0,"KREDIT","ZERO")))</f>
        <v/>
      </c>
      <c r="N342" s="484" t="str">
        <f aca="false">IF($E342="","",TEXT($B342,"yyyymmdd")&amp;"-"&amp;TEXT(ROW(),"0000"))</f>
        <v/>
      </c>
      <c r="O342" s="101" t="str">
        <f aca="false">IF($E342="","",$E342&amp;"")</f>
        <v/>
      </c>
      <c r="P342" s="101" t="str">
        <f aca="false">IF(AND($O342&lt;&gt;"",$I342&lt;&gt;0),COUNTIFS($O$2:O342,$O342,$I$2:I342,"&gt;0"),"")</f>
        <v/>
      </c>
      <c r="Q342" s="101" t="str">
        <f aca="false">IF(AND($O342&lt;&gt;"",$J342&lt;&gt;0),COUNTIFS($O$2:O342,$O342,$J$2:J342,"&gt;0"),"")</f>
        <v/>
      </c>
      <c r="R342" s="101" t="str">
        <f aca="false">IF($P342="","",$O342&amp;"|"&amp;$P342)</f>
        <v/>
      </c>
      <c r="S342" s="101" t="str">
        <f aca="false">IF($Q342="","",$O342&amp;"|"&amp;$Q342)</f>
        <v/>
      </c>
      <c r="T342" s="101" t="str">
        <f aca="false">IF($O342="","",COUNTIF($O$2:O342,$O342))</f>
        <v/>
      </c>
      <c r="U342" s="101" t="str">
        <f aca="false">IF($O342="","",$O342&amp;"|"&amp;$T342)</f>
        <v/>
      </c>
      <c r="V342" s="488" t="n">
        <f aca="false">IF(OR(LEFT($D342,5)="MB-CL",LEFT($D342,6)="MB-RES"),0,$I342)</f>
        <v>0</v>
      </c>
      <c r="W342" s="488" t="n">
        <f aca="false">IF(OR(LEFT($D342,5)="MB-CL",LEFT($D342,6)="MB-RES"),0,$J342)</f>
        <v>0</v>
      </c>
      <c r="X342" s="101" t="str">
        <f aca="false">IF($E342="","",LEFT($E342,1))</f>
        <v/>
      </c>
      <c r="Y342" s="101" t="str">
        <f aca="false">IF($E342="","",LEFT($E342,2))</f>
        <v/>
      </c>
      <c r="Z342" s="101" t="str">
        <f aca="false">IF($E342="","",LEFT($E342,3))</f>
        <v/>
      </c>
      <c r="AA342" s="101" t="str">
        <f aca="false">IF($E342="","",LEFT($E342,4))</f>
        <v/>
      </c>
    </row>
    <row r="343" customFormat="false" ht="15" hidden="false" customHeight="true" outlineLevel="0" collapsed="false">
      <c r="A343" s="484" t="str">
        <f aca="false">IF(DITARI!$D347="","",ROW()-1)</f>
        <v/>
      </c>
      <c r="B343" s="485" t="str">
        <f aca="false">IF(DITARI!$D347="","",DITARI!$A347)</f>
        <v/>
      </c>
      <c r="C343" s="484" t="str">
        <f aca="false">IF(DITARI!$D347="","",DITARI!$B347)</f>
        <v/>
      </c>
      <c r="D343" s="484" t="str">
        <f aca="false">IF(DITARI!$D347="","",DITARI!$C347)</f>
        <v/>
      </c>
      <c r="E343" s="484" t="str">
        <f aca="false">IF(DITARI!$D347="","",TRIM(DITARI!$D347&amp;""))</f>
        <v/>
      </c>
      <c r="F343" s="484" t="str">
        <f aca="false">IF($E343="","",IFERROR(VLOOKUP($E343,PLANI_LLOGARIVE!$A:$I,2,FALSE()),DITARI!$E347))</f>
        <v/>
      </c>
      <c r="G343" s="484" t="str">
        <f aca="false">IF($E343="","",DITARI!$I347)</f>
        <v/>
      </c>
      <c r="H343" s="484" t="str">
        <f aca="false">IFERROR(IF($E343="","",DITARI!$H347),"")</f>
        <v/>
      </c>
      <c r="I343" s="487" t="n">
        <f aca="false">IF($E343="",0,IFERROR(DITARI!$F347,0))</f>
        <v>0</v>
      </c>
      <c r="J343" s="487" t="n">
        <f aca="false">IF($E343="",0,IFERROR(DITARI!$G347,0))</f>
        <v>0</v>
      </c>
      <c r="K343" s="484" t="str">
        <f aca="false">IF($E343="","",IFERROR(VLOOKUP($E343,PLANI_LLOGARIVE!$A:$I,9,FALSE()),""))</f>
        <v/>
      </c>
      <c r="L343" s="487" t="str">
        <f aca="false">IF($E343="","",$I343-$J343)</f>
        <v/>
      </c>
      <c r="M343" s="484" t="str">
        <f aca="false">IF($E343="","",IF($I343&gt;0,"DEBIT",IF($J343&gt;0,"KREDIT","ZERO")))</f>
        <v/>
      </c>
      <c r="N343" s="484" t="str">
        <f aca="false">IF($E343="","",TEXT($B343,"yyyymmdd")&amp;"-"&amp;TEXT(ROW(),"0000"))</f>
        <v/>
      </c>
      <c r="O343" s="101" t="str">
        <f aca="false">IF($E343="","",$E343&amp;"")</f>
        <v/>
      </c>
      <c r="P343" s="101" t="str">
        <f aca="false">IF(AND($O343&lt;&gt;"",$I343&lt;&gt;0),COUNTIFS($O$2:O343,$O343,$I$2:I343,"&gt;0"),"")</f>
        <v/>
      </c>
      <c r="Q343" s="101" t="str">
        <f aca="false">IF(AND($O343&lt;&gt;"",$J343&lt;&gt;0),COUNTIFS($O$2:O343,$O343,$J$2:J343,"&gt;0"),"")</f>
        <v/>
      </c>
      <c r="R343" s="101" t="str">
        <f aca="false">IF($P343="","",$O343&amp;"|"&amp;$P343)</f>
        <v/>
      </c>
      <c r="S343" s="101" t="str">
        <f aca="false">IF($Q343="","",$O343&amp;"|"&amp;$Q343)</f>
        <v/>
      </c>
      <c r="T343" s="101" t="str">
        <f aca="false">IF($O343="","",COUNTIF($O$2:O343,$O343))</f>
        <v/>
      </c>
      <c r="U343" s="101" t="str">
        <f aca="false">IF($O343="","",$O343&amp;"|"&amp;$T343)</f>
        <v/>
      </c>
      <c r="V343" s="488" t="n">
        <f aca="false">IF(OR(LEFT($D343,5)="MB-CL",LEFT($D343,6)="MB-RES"),0,$I343)</f>
        <v>0</v>
      </c>
      <c r="W343" s="488" t="n">
        <f aca="false">IF(OR(LEFT($D343,5)="MB-CL",LEFT($D343,6)="MB-RES"),0,$J343)</f>
        <v>0</v>
      </c>
      <c r="X343" s="101" t="str">
        <f aca="false">IF($E343="","",LEFT($E343,1))</f>
        <v/>
      </c>
      <c r="Y343" s="101" t="str">
        <f aca="false">IF($E343="","",LEFT($E343,2))</f>
        <v/>
      </c>
      <c r="Z343" s="101" t="str">
        <f aca="false">IF($E343="","",LEFT($E343,3))</f>
        <v/>
      </c>
      <c r="AA343" s="101" t="str">
        <f aca="false">IF($E343="","",LEFT($E343,4))</f>
        <v/>
      </c>
    </row>
    <row r="344" customFormat="false" ht="15" hidden="false" customHeight="true" outlineLevel="0" collapsed="false">
      <c r="A344" s="484" t="str">
        <f aca="false">IF(DITARI!$D348="","",ROW()-1)</f>
        <v/>
      </c>
      <c r="B344" s="485" t="str">
        <f aca="false">IF(DITARI!$D348="","",DITARI!$A348)</f>
        <v/>
      </c>
      <c r="C344" s="484" t="str">
        <f aca="false">IF(DITARI!$D348="","",DITARI!$B348)</f>
        <v/>
      </c>
      <c r="D344" s="484" t="str">
        <f aca="false">IF(DITARI!$D348="","",DITARI!$C348)</f>
        <v/>
      </c>
      <c r="E344" s="484" t="str">
        <f aca="false">IF(DITARI!$D348="","",TRIM(DITARI!$D348&amp;""))</f>
        <v/>
      </c>
      <c r="F344" s="484" t="str">
        <f aca="false">IF($E344="","",IFERROR(VLOOKUP($E344,PLANI_LLOGARIVE!$A:$I,2,FALSE()),DITARI!$E348))</f>
        <v/>
      </c>
      <c r="G344" s="484" t="str">
        <f aca="false">IF($E344="","",DITARI!$I348)</f>
        <v/>
      </c>
      <c r="H344" s="484" t="str">
        <f aca="false">IFERROR(IF($E344="","",DITARI!$H348),"")</f>
        <v/>
      </c>
      <c r="I344" s="487" t="n">
        <f aca="false">IF($E344="",0,IFERROR(DITARI!$F348,0))</f>
        <v>0</v>
      </c>
      <c r="J344" s="487" t="n">
        <f aca="false">IF($E344="",0,IFERROR(DITARI!$G348,0))</f>
        <v>0</v>
      </c>
      <c r="K344" s="484" t="str">
        <f aca="false">IF($E344="","",IFERROR(VLOOKUP($E344,PLANI_LLOGARIVE!$A:$I,9,FALSE()),""))</f>
        <v/>
      </c>
      <c r="L344" s="487" t="str">
        <f aca="false">IF($E344="","",$I344-$J344)</f>
        <v/>
      </c>
      <c r="M344" s="484" t="str">
        <f aca="false">IF($E344="","",IF($I344&gt;0,"DEBIT",IF($J344&gt;0,"KREDIT","ZERO")))</f>
        <v/>
      </c>
      <c r="N344" s="484" t="str">
        <f aca="false">IF($E344="","",TEXT($B344,"yyyymmdd")&amp;"-"&amp;TEXT(ROW(),"0000"))</f>
        <v/>
      </c>
      <c r="O344" s="101" t="str">
        <f aca="false">IF($E344="","",$E344&amp;"")</f>
        <v/>
      </c>
      <c r="P344" s="101" t="str">
        <f aca="false">IF(AND($O344&lt;&gt;"",$I344&lt;&gt;0),COUNTIFS($O$2:O344,$O344,$I$2:I344,"&gt;0"),"")</f>
        <v/>
      </c>
      <c r="Q344" s="101" t="str">
        <f aca="false">IF(AND($O344&lt;&gt;"",$J344&lt;&gt;0),COUNTIFS($O$2:O344,$O344,$J$2:J344,"&gt;0"),"")</f>
        <v/>
      </c>
      <c r="R344" s="101" t="str">
        <f aca="false">IF($P344="","",$O344&amp;"|"&amp;$P344)</f>
        <v/>
      </c>
      <c r="S344" s="101" t="str">
        <f aca="false">IF($Q344="","",$O344&amp;"|"&amp;$Q344)</f>
        <v/>
      </c>
      <c r="T344" s="101" t="str">
        <f aca="false">IF($O344="","",COUNTIF($O$2:O344,$O344))</f>
        <v/>
      </c>
      <c r="U344" s="101" t="str">
        <f aca="false">IF($O344="","",$O344&amp;"|"&amp;$T344)</f>
        <v/>
      </c>
      <c r="V344" s="488" t="n">
        <f aca="false">IF(OR(LEFT($D344,5)="MB-CL",LEFT($D344,6)="MB-RES"),0,$I344)</f>
        <v>0</v>
      </c>
      <c r="W344" s="488" t="n">
        <f aca="false">IF(OR(LEFT($D344,5)="MB-CL",LEFT($D344,6)="MB-RES"),0,$J344)</f>
        <v>0</v>
      </c>
      <c r="X344" s="101" t="str">
        <f aca="false">IF($E344="","",LEFT($E344,1))</f>
        <v/>
      </c>
      <c r="Y344" s="101" t="str">
        <f aca="false">IF($E344="","",LEFT($E344,2))</f>
        <v/>
      </c>
      <c r="Z344" s="101" t="str">
        <f aca="false">IF($E344="","",LEFT($E344,3))</f>
        <v/>
      </c>
      <c r="AA344" s="101" t="str">
        <f aca="false">IF($E344="","",LEFT($E344,4))</f>
        <v/>
      </c>
    </row>
    <row r="345" customFormat="false" ht="15" hidden="false" customHeight="true" outlineLevel="0" collapsed="false">
      <c r="A345" s="484" t="str">
        <f aca="false">IF(DITARI!$D349="","",ROW()-1)</f>
        <v/>
      </c>
      <c r="B345" s="485" t="str">
        <f aca="false">IF(DITARI!$D349="","",DITARI!$A349)</f>
        <v/>
      </c>
      <c r="C345" s="484" t="str">
        <f aca="false">IF(DITARI!$D349="","",DITARI!$B349)</f>
        <v/>
      </c>
      <c r="D345" s="484" t="str">
        <f aca="false">IF(DITARI!$D349="","",DITARI!$C349)</f>
        <v/>
      </c>
      <c r="E345" s="484" t="str">
        <f aca="false">IF(DITARI!$D349="","",TRIM(DITARI!$D349&amp;""))</f>
        <v/>
      </c>
      <c r="F345" s="484" t="str">
        <f aca="false">IF($E345="","",IFERROR(VLOOKUP($E345,PLANI_LLOGARIVE!$A:$I,2,FALSE()),DITARI!$E349))</f>
        <v/>
      </c>
      <c r="G345" s="484" t="str">
        <f aca="false">IF($E345="","",DITARI!$I349)</f>
        <v/>
      </c>
      <c r="H345" s="484" t="str">
        <f aca="false">IFERROR(IF($E345="","",DITARI!$H349),"")</f>
        <v/>
      </c>
      <c r="I345" s="487" t="n">
        <f aca="false">IF($E345="",0,IFERROR(DITARI!$F349,0))</f>
        <v>0</v>
      </c>
      <c r="J345" s="487" t="n">
        <f aca="false">IF($E345="",0,IFERROR(DITARI!$G349,0))</f>
        <v>0</v>
      </c>
      <c r="K345" s="484" t="str">
        <f aca="false">IF($E345="","",IFERROR(VLOOKUP($E345,PLANI_LLOGARIVE!$A:$I,9,FALSE()),""))</f>
        <v/>
      </c>
      <c r="L345" s="487" t="str">
        <f aca="false">IF($E345="","",$I345-$J345)</f>
        <v/>
      </c>
      <c r="M345" s="484" t="str">
        <f aca="false">IF($E345="","",IF($I345&gt;0,"DEBIT",IF($J345&gt;0,"KREDIT","ZERO")))</f>
        <v/>
      </c>
      <c r="N345" s="484" t="str">
        <f aca="false">IF($E345="","",TEXT($B345,"yyyymmdd")&amp;"-"&amp;TEXT(ROW(),"0000"))</f>
        <v/>
      </c>
      <c r="O345" s="101" t="str">
        <f aca="false">IF($E345="","",$E345&amp;"")</f>
        <v/>
      </c>
      <c r="P345" s="101" t="str">
        <f aca="false">IF(AND($O345&lt;&gt;"",$I345&lt;&gt;0),COUNTIFS($O$2:O345,$O345,$I$2:I345,"&gt;0"),"")</f>
        <v/>
      </c>
      <c r="Q345" s="101" t="str">
        <f aca="false">IF(AND($O345&lt;&gt;"",$J345&lt;&gt;0),COUNTIFS($O$2:O345,$O345,$J$2:J345,"&gt;0"),"")</f>
        <v/>
      </c>
      <c r="R345" s="101" t="str">
        <f aca="false">IF($P345="","",$O345&amp;"|"&amp;$P345)</f>
        <v/>
      </c>
      <c r="S345" s="101" t="str">
        <f aca="false">IF($Q345="","",$O345&amp;"|"&amp;$Q345)</f>
        <v/>
      </c>
      <c r="T345" s="101" t="str">
        <f aca="false">IF($O345="","",COUNTIF($O$2:O345,$O345))</f>
        <v/>
      </c>
      <c r="U345" s="101" t="str">
        <f aca="false">IF($O345="","",$O345&amp;"|"&amp;$T345)</f>
        <v/>
      </c>
      <c r="V345" s="488" t="n">
        <f aca="false">IF(OR(LEFT($D345,5)="MB-CL",LEFT($D345,6)="MB-RES"),0,$I345)</f>
        <v>0</v>
      </c>
      <c r="W345" s="488" t="n">
        <f aca="false">IF(OR(LEFT($D345,5)="MB-CL",LEFT($D345,6)="MB-RES"),0,$J345)</f>
        <v>0</v>
      </c>
      <c r="X345" s="101" t="str">
        <f aca="false">IF($E345="","",LEFT($E345,1))</f>
        <v/>
      </c>
      <c r="Y345" s="101" t="str">
        <f aca="false">IF($E345="","",LEFT($E345,2))</f>
        <v/>
      </c>
      <c r="Z345" s="101" t="str">
        <f aca="false">IF($E345="","",LEFT($E345,3))</f>
        <v/>
      </c>
      <c r="AA345" s="101" t="str">
        <f aca="false">IF($E345="","",LEFT($E345,4))</f>
        <v/>
      </c>
    </row>
    <row r="346" customFormat="false" ht="15" hidden="false" customHeight="true" outlineLevel="0" collapsed="false">
      <c r="A346" s="484" t="str">
        <f aca="false">IF(DITARI!$D350="","",ROW()-1)</f>
        <v/>
      </c>
      <c r="B346" s="485" t="str">
        <f aca="false">IF(DITARI!$D350="","",DITARI!$A350)</f>
        <v/>
      </c>
      <c r="C346" s="484" t="str">
        <f aca="false">IF(DITARI!$D350="","",DITARI!$B350)</f>
        <v/>
      </c>
      <c r="D346" s="484" t="str">
        <f aca="false">IF(DITARI!$D350="","",DITARI!$C350)</f>
        <v/>
      </c>
      <c r="E346" s="484" t="str">
        <f aca="false">IF(DITARI!$D350="","",TRIM(DITARI!$D350&amp;""))</f>
        <v/>
      </c>
      <c r="F346" s="484" t="str">
        <f aca="false">IF($E346="","",IFERROR(VLOOKUP($E346,PLANI_LLOGARIVE!$A:$I,2,FALSE()),DITARI!$E350))</f>
        <v/>
      </c>
      <c r="G346" s="484" t="str">
        <f aca="false">IF($E346="","",DITARI!$I350)</f>
        <v/>
      </c>
      <c r="H346" s="484" t="str">
        <f aca="false">IFERROR(IF($E346="","",DITARI!$H350),"")</f>
        <v/>
      </c>
      <c r="I346" s="487" t="n">
        <f aca="false">IF($E346="",0,IFERROR(DITARI!$F350,0))</f>
        <v>0</v>
      </c>
      <c r="J346" s="487" t="n">
        <f aca="false">IF($E346="",0,IFERROR(DITARI!$G350,0))</f>
        <v>0</v>
      </c>
      <c r="K346" s="484" t="str">
        <f aca="false">IF($E346="","",IFERROR(VLOOKUP($E346,PLANI_LLOGARIVE!$A:$I,9,FALSE()),""))</f>
        <v/>
      </c>
      <c r="L346" s="487" t="str">
        <f aca="false">IF($E346="","",$I346-$J346)</f>
        <v/>
      </c>
      <c r="M346" s="484" t="str">
        <f aca="false">IF($E346="","",IF($I346&gt;0,"DEBIT",IF($J346&gt;0,"KREDIT","ZERO")))</f>
        <v/>
      </c>
      <c r="N346" s="484" t="str">
        <f aca="false">IF($E346="","",TEXT($B346,"yyyymmdd")&amp;"-"&amp;TEXT(ROW(),"0000"))</f>
        <v/>
      </c>
      <c r="O346" s="101" t="str">
        <f aca="false">IF($E346="","",$E346&amp;"")</f>
        <v/>
      </c>
      <c r="P346" s="101" t="str">
        <f aca="false">IF(AND($O346&lt;&gt;"",$I346&lt;&gt;0),COUNTIFS($O$2:O346,$O346,$I$2:I346,"&gt;0"),"")</f>
        <v/>
      </c>
      <c r="Q346" s="101" t="str">
        <f aca="false">IF(AND($O346&lt;&gt;"",$J346&lt;&gt;0),COUNTIFS($O$2:O346,$O346,$J$2:J346,"&gt;0"),"")</f>
        <v/>
      </c>
      <c r="R346" s="101" t="str">
        <f aca="false">IF($P346="","",$O346&amp;"|"&amp;$P346)</f>
        <v/>
      </c>
      <c r="S346" s="101" t="str">
        <f aca="false">IF($Q346="","",$O346&amp;"|"&amp;$Q346)</f>
        <v/>
      </c>
      <c r="T346" s="101" t="str">
        <f aca="false">IF($O346="","",COUNTIF($O$2:O346,$O346))</f>
        <v/>
      </c>
      <c r="U346" s="101" t="str">
        <f aca="false">IF($O346="","",$O346&amp;"|"&amp;$T346)</f>
        <v/>
      </c>
      <c r="V346" s="488" t="n">
        <f aca="false">IF(OR(LEFT($D346,5)="MB-CL",LEFT($D346,6)="MB-RES"),0,$I346)</f>
        <v>0</v>
      </c>
      <c r="W346" s="488" t="n">
        <f aca="false">IF(OR(LEFT($D346,5)="MB-CL",LEFT($D346,6)="MB-RES"),0,$J346)</f>
        <v>0</v>
      </c>
      <c r="X346" s="101" t="str">
        <f aca="false">IF($E346="","",LEFT($E346,1))</f>
        <v/>
      </c>
      <c r="Y346" s="101" t="str">
        <f aca="false">IF($E346="","",LEFT($E346,2))</f>
        <v/>
      </c>
      <c r="Z346" s="101" t="str">
        <f aca="false">IF($E346="","",LEFT($E346,3))</f>
        <v/>
      </c>
      <c r="AA346" s="101" t="str">
        <f aca="false">IF($E346="","",LEFT($E346,4))</f>
        <v/>
      </c>
    </row>
    <row r="347" customFormat="false" ht="15" hidden="false" customHeight="true" outlineLevel="0" collapsed="false">
      <c r="A347" s="484" t="str">
        <f aca="false">IF(DITARI!$D351="","",ROW()-1)</f>
        <v/>
      </c>
      <c r="B347" s="485" t="str">
        <f aca="false">IF(DITARI!$D351="","",DITARI!$A351)</f>
        <v/>
      </c>
      <c r="C347" s="484" t="str">
        <f aca="false">IF(DITARI!$D351="","",DITARI!$B351)</f>
        <v/>
      </c>
      <c r="D347" s="484" t="str">
        <f aca="false">IF(DITARI!$D351="","",DITARI!$C351)</f>
        <v/>
      </c>
      <c r="E347" s="484" t="str">
        <f aca="false">IF(DITARI!$D351="","",TRIM(DITARI!$D351&amp;""))</f>
        <v/>
      </c>
      <c r="F347" s="484" t="str">
        <f aca="false">IF($E347="","",IFERROR(VLOOKUP($E347,PLANI_LLOGARIVE!$A:$I,2,FALSE()),DITARI!$E351))</f>
        <v/>
      </c>
      <c r="G347" s="484" t="str">
        <f aca="false">IF($E347="","",DITARI!$I351)</f>
        <v/>
      </c>
      <c r="H347" s="484" t="str">
        <f aca="false">IFERROR(IF($E347="","",DITARI!$H351),"")</f>
        <v/>
      </c>
      <c r="I347" s="487" t="n">
        <f aca="false">IF($E347="",0,IFERROR(DITARI!$F351,0))</f>
        <v>0</v>
      </c>
      <c r="J347" s="487" t="n">
        <f aca="false">IF($E347="",0,IFERROR(DITARI!$G351,0))</f>
        <v>0</v>
      </c>
      <c r="K347" s="484" t="str">
        <f aca="false">IF($E347="","",IFERROR(VLOOKUP($E347,PLANI_LLOGARIVE!$A:$I,9,FALSE()),""))</f>
        <v/>
      </c>
      <c r="L347" s="487" t="str">
        <f aca="false">IF($E347="","",$I347-$J347)</f>
        <v/>
      </c>
      <c r="M347" s="484" t="str">
        <f aca="false">IF($E347="","",IF($I347&gt;0,"DEBIT",IF($J347&gt;0,"KREDIT","ZERO")))</f>
        <v/>
      </c>
      <c r="N347" s="484" t="str">
        <f aca="false">IF($E347="","",TEXT($B347,"yyyymmdd")&amp;"-"&amp;TEXT(ROW(),"0000"))</f>
        <v/>
      </c>
      <c r="O347" s="101" t="str">
        <f aca="false">IF($E347="","",$E347&amp;"")</f>
        <v/>
      </c>
      <c r="P347" s="101" t="str">
        <f aca="false">IF(AND($O347&lt;&gt;"",$I347&lt;&gt;0),COUNTIFS($O$2:O347,$O347,$I$2:I347,"&gt;0"),"")</f>
        <v/>
      </c>
      <c r="Q347" s="101" t="str">
        <f aca="false">IF(AND($O347&lt;&gt;"",$J347&lt;&gt;0),COUNTIFS($O$2:O347,$O347,$J$2:J347,"&gt;0"),"")</f>
        <v/>
      </c>
      <c r="R347" s="101" t="str">
        <f aca="false">IF($P347="","",$O347&amp;"|"&amp;$P347)</f>
        <v/>
      </c>
      <c r="S347" s="101" t="str">
        <f aca="false">IF($Q347="","",$O347&amp;"|"&amp;$Q347)</f>
        <v/>
      </c>
      <c r="T347" s="101" t="str">
        <f aca="false">IF($O347="","",COUNTIF($O$2:O347,$O347))</f>
        <v/>
      </c>
      <c r="U347" s="101" t="str">
        <f aca="false">IF($O347="","",$O347&amp;"|"&amp;$T347)</f>
        <v/>
      </c>
      <c r="V347" s="488" t="n">
        <f aca="false">IF(OR(LEFT($D347,5)="MB-CL",LEFT($D347,6)="MB-RES"),0,$I347)</f>
        <v>0</v>
      </c>
      <c r="W347" s="488" t="n">
        <f aca="false">IF(OR(LEFT($D347,5)="MB-CL",LEFT($D347,6)="MB-RES"),0,$J347)</f>
        <v>0</v>
      </c>
      <c r="X347" s="101" t="str">
        <f aca="false">IF($E347="","",LEFT($E347,1))</f>
        <v/>
      </c>
      <c r="Y347" s="101" t="str">
        <f aca="false">IF($E347="","",LEFT($E347,2))</f>
        <v/>
      </c>
      <c r="Z347" s="101" t="str">
        <f aca="false">IF($E347="","",LEFT($E347,3))</f>
        <v/>
      </c>
      <c r="AA347" s="101" t="str">
        <f aca="false">IF($E347="","",LEFT($E347,4))</f>
        <v/>
      </c>
    </row>
    <row r="348" customFormat="false" ht="15" hidden="false" customHeight="true" outlineLevel="0" collapsed="false">
      <c r="A348" s="484" t="str">
        <f aca="false">IF(DITARI!$D352="","",ROW()-1)</f>
        <v/>
      </c>
      <c r="B348" s="485" t="str">
        <f aca="false">IF(DITARI!$D352="","",DITARI!$A352)</f>
        <v/>
      </c>
      <c r="C348" s="484" t="str">
        <f aca="false">IF(DITARI!$D352="","",DITARI!$B352)</f>
        <v/>
      </c>
      <c r="D348" s="484" t="str">
        <f aca="false">IF(DITARI!$D352="","",DITARI!$C352)</f>
        <v/>
      </c>
      <c r="E348" s="484" t="str">
        <f aca="false">IF(DITARI!$D352="","",TRIM(DITARI!$D352&amp;""))</f>
        <v/>
      </c>
      <c r="F348" s="484" t="str">
        <f aca="false">IF($E348="","",IFERROR(VLOOKUP($E348,PLANI_LLOGARIVE!$A:$I,2,FALSE()),DITARI!$E352))</f>
        <v/>
      </c>
      <c r="G348" s="484" t="str">
        <f aca="false">IF($E348="","",DITARI!$I352)</f>
        <v/>
      </c>
      <c r="H348" s="484" t="str">
        <f aca="false">IFERROR(IF($E348="","",DITARI!$H352),"")</f>
        <v/>
      </c>
      <c r="I348" s="487" t="n">
        <f aca="false">IF($E348="",0,IFERROR(DITARI!$F352,0))</f>
        <v>0</v>
      </c>
      <c r="J348" s="487" t="n">
        <f aca="false">IF($E348="",0,IFERROR(DITARI!$G352,0))</f>
        <v>0</v>
      </c>
      <c r="K348" s="484" t="str">
        <f aca="false">IF($E348="","",IFERROR(VLOOKUP($E348,PLANI_LLOGARIVE!$A:$I,9,FALSE()),""))</f>
        <v/>
      </c>
      <c r="L348" s="487" t="str">
        <f aca="false">IF($E348="","",$I348-$J348)</f>
        <v/>
      </c>
      <c r="M348" s="484" t="str">
        <f aca="false">IF($E348="","",IF($I348&gt;0,"DEBIT",IF($J348&gt;0,"KREDIT","ZERO")))</f>
        <v/>
      </c>
      <c r="N348" s="484" t="str">
        <f aca="false">IF($E348="","",TEXT($B348,"yyyymmdd")&amp;"-"&amp;TEXT(ROW(),"0000"))</f>
        <v/>
      </c>
      <c r="O348" s="101" t="str">
        <f aca="false">IF($E348="","",$E348&amp;"")</f>
        <v/>
      </c>
      <c r="P348" s="101" t="str">
        <f aca="false">IF(AND($O348&lt;&gt;"",$I348&lt;&gt;0),COUNTIFS($O$2:O348,$O348,$I$2:I348,"&gt;0"),"")</f>
        <v/>
      </c>
      <c r="Q348" s="101" t="str">
        <f aca="false">IF(AND($O348&lt;&gt;"",$J348&lt;&gt;0),COUNTIFS($O$2:O348,$O348,$J$2:J348,"&gt;0"),"")</f>
        <v/>
      </c>
      <c r="R348" s="101" t="str">
        <f aca="false">IF($P348="","",$O348&amp;"|"&amp;$P348)</f>
        <v/>
      </c>
      <c r="S348" s="101" t="str">
        <f aca="false">IF($Q348="","",$O348&amp;"|"&amp;$Q348)</f>
        <v/>
      </c>
      <c r="T348" s="101" t="str">
        <f aca="false">IF($O348="","",COUNTIF($O$2:O348,$O348))</f>
        <v/>
      </c>
      <c r="U348" s="101" t="str">
        <f aca="false">IF($O348="","",$O348&amp;"|"&amp;$T348)</f>
        <v/>
      </c>
      <c r="V348" s="488" t="n">
        <f aca="false">IF(OR(LEFT($D348,5)="MB-CL",LEFT($D348,6)="MB-RES"),0,$I348)</f>
        <v>0</v>
      </c>
      <c r="W348" s="488" t="n">
        <f aca="false">IF(OR(LEFT($D348,5)="MB-CL",LEFT($D348,6)="MB-RES"),0,$J348)</f>
        <v>0</v>
      </c>
      <c r="X348" s="101" t="str">
        <f aca="false">IF($E348="","",LEFT($E348,1))</f>
        <v/>
      </c>
      <c r="Y348" s="101" t="str">
        <f aca="false">IF($E348="","",LEFT($E348,2))</f>
        <v/>
      </c>
      <c r="Z348" s="101" t="str">
        <f aca="false">IF($E348="","",LEFT($E348,3))</f>
        <v/>
      </c>
      <c r="AA348" s="101" t="str">
        <f aca="false">IF($E348="","",LEFT($E348,4))</f>
        <v/>
      </c>
    </row>
    <row r="349" customFormat="false" ht="15" hidden="false" customHeight="true" outlineLevel="0" collapsed="false">
      <c r="A349" s="484" t="str">
        <f aca="false">IF(DITARI!$D353="","",ROW()-1)</f>
        <v/>
      </c>
      <c r="B349" s="485" t="str">
        <f aca="false">IF(DITARI!$D353="","",DITARI!$A353)</f>
        <v/>
      </c>
      <c r="C349" s="484" t="str">
        <f aca="false">IF(DITARI!$D353="","",DITARI!$B353)</f>
        <v/>
      </c>
      <c r="D349" s="484" t="str">
        <f aca="false">IF(DITARI!$D353="","",DITARI!$C353)</f>
        <v/>
      </c>
      <c r="E349" s="484" t="str">
        <f aca="false">IF(DITARI!$D353="","",TRIM(DITARI!$D353&amp;""))</f>
        <v/>
      </c>
      <c r="F349" s="484" t="str">
        <f aca="false">IF($E349="","",IFERROR(VLOOKUP($E349,PLANI_LLOGARIVE!$A:$I,2,FALSE()),DITARI!$E353))</f>
        <v/>
      </c>
      <c r="G349" s="484" t="str">
        <f aca="false">IF($E349="","",DITARI!$I353)</f>
        <v/>
      </c>
      <c r="H349" s="484" t="str">
        <f aca="false">IFERROR(IF($E349="","",DITARI!$H353),"")</f>
        <v/>
      </c>
      <c r="I349" s="487" t="n">
        <f aca="false">IF($E349="",0,IFERROR(DITARI!$F353,0))</f>
        <v>0</v>
      </c>
      <c r="J349" s="487" t="n">
        <f aca="false">IF($E349="",0,IFERROR(DITARI!$G353,0))</f>
        <v>0</v>
      </c>
      <c r="K349" s="484" t="str">
        <f aca="false">IF($E349="","",IFERROR(VLOOKUP($E349,PLANI_LLOGARIVE!$A:$I,9,FALSE()),""))</f>
        <v/>
      </c>
      <c r="L349" s="487" t="str">
        <f aca="false">IF($E349="","",$I349-$J349)</f>
        <v/>
      </c>
      <c r="M349" s="484" t="str">
        <f aca="false">IF($E349="","",IF($I349&gt;0,"DEBIT",IF($J349&gt;0,"KREDIT","ZERO")))</f>
        <v/>
      </c>
      <c r="N349" s="484" t="str">
        <f aca="false">IF($E349="","",TEXT($B349,"yyyymmdd")&amp;"-"&amp;TEXT(ROW(),"0000"))</f>
        <v/>
      </c>
      <c r="O349" s="101" t="str">
        <f aca="false">IF($E349="","",$E349&amp;"")</f>
        <v/>
      </c>
      <c r="P349" s="101" t="str">
        <f aca="false">IF(AND($O349&lt;&gt;"",$I349&lt;&gt;0),COUNTIFS($O$2:O349,$O349,$I$2:I349,"&gt;0"),"")</f>
        <v/>
      </c>
      <c r="Q349" s="101" t="str">
        <f aca="false">IF(AND($O349&lt;&gt;"",$J349&lt;&gt;0),COUNTIFS($O$2:O349,$O349,$J$2:J349,"&gt;0"),"")</f>
        <v/>
      </c>
      <c r="R349" s="101" t="str">
        <f aca="false">IF($P349="","",$O349&amp;"|"&amp;$P349)</f>
        <v/>
      </c>
      <c r="S349" s="101" t="str">
        <f aca="false">IF($Q349="","",$O349&amp;"|"&amp;$Q349)</f>
        <v/>
      </c>
      <c r="T349" s="101" t="str">
        <f aca="false">IF($O349="","",COUNTIF($O$2:O349,$O349))</f>
        <v/>
      </c>
      <c r="U349" s="101" t="str">
        <f aca="false">IF($O349="","",$O349&amp;"|"&amp;$T349)</f>
        <v/>
      </c>
      <c r="V349" s="488" t="n">
        <f aca="false">IF(OR(LEFT($D349,5)="MB-CL",LEFT($D349,6)="MB-RES"),0,$I349)</f>
        <v>0</v>
      </c>
      <c r="W349" s="488" t="n">
        <f aca="false">IF(OR(LEFT($D349,5)="MB-CL",LEFT($D349,6)="MB-RES"),0,$J349)</f>
        <v>0</v>
      </c>
      <c r="X349" s="101" t="str">
        <f aca="false">IF($E349="","",LEFT($E349,1))</f>
        <v/>
      </c>
      <c r="Y349" s="101" t="str">
        <f aca="false">IF($E349="","",LEFT($E349,2))</f>
        <v/>
      </c>
      <c r="Z349" s="101" t="str">
        <f aca="false">IF($E349="","",LEFT($E349,3))</f>
        <v/>
      </c>
      <c r="AA349" s="101" t="str">
        <f aca="false">IF($E349="","",LEFT($E349,4))</f>
        <v/>
      </c>
    </row>
    <row r="350" customFormat="false" ht="15" hidden="false" customHeight="true" outlineLevel="0" collapsed="false">
      <c r="A350" s="484" t="str">
        <f aca="false">IF(DITARI!$D354="","",ROW()-1)</f>
        <v/>
      </c>
      <c r="B350" s="485" t="str">
        <f aca="false">IF(DITARI!$D354="","",DITARI!$A354)</f>
        <v/>
      </c>
      <c r="C350" s="484" t="str">
        <f aca="false">IF(DITARI!$D354="","",DITARI!$B354)</f>
        <v/>
      </c>
      <c r="D350" s="484" t="str">
        <f aca="false">IF(DITARI!$D354="","",DITARI!$C354)</f>
        <v/>
      </c>
      <c r="E350" s="484" t="str">
        <f aca="false">IF(DITARI!$D354="","",TRIM(DITARI!$D354&amp;""))</f>
        <v/>
      </c>
      <c r="F350" s="484" t="str">
        <f aca="false">IF($E350="","",IFERROR(VLOOKUP($E350,PLANI_LLOGARIVE!$A:$I,2,FALSE()),DITARI!$E354))</f>
        <v/>
      </c>
      <c r="G350" s="484" t="str">
        <f aca="false">IF($E350="","",DITARI!$I354)</f>
        <v/>
      </c>
      <c r="H350" s="484" t="str">
        <f aca="false">IFERROR(IF($E350="","",DITARI!$H354),"")</f>
        <v/>
      </c>
      <c r="I350" s="487" t="n">
        <f aca="false">IF($E350="",0,IFERROR(DITARI!$F354,0))</f>
        <v>0</v>
      </c>
      <c r="J350" s="487" t="n">
        <f aca="false">IF($E350="",0,IFERROR(DITARI!$G354,0))</f>
        <v>0</v>
      </c>
      <c r="K350" s="484" t="str">
        <f aca="false">IF($E350="","",IFERROR(VLOOKUP($E350,PLANI_LLOGARIVE!$A:$I,9,FALSE()),""))</f>
        <v/>
      </c>
      <c r="L350" s="487" t="str">
        <f aca="false">IF($E350="","",$I350-$J350)</f>
        <v/>
      </c>
      <c r="M350" s="484" t="str">
        <f aca="false">IF($E350="","",IF($I350&gt;0,"DEBIT",IF($J350&gt;0,"KREDIT","ZERO")))</f>
        <v/>
      </c>
      <c r="N350" s="484" t="str">
        <f aca="false">IF($E350="","",TEXT($B350,"yyyymmdd")&amp;"-"&amp;TEXT(ROW(),"0000"))</f>
        <v/>
      </c>
      <c r="O350" s="101" t="str">
        <f aca="false">IF($E350="","",$E350&amp;"")</f>
        <v/>
      </c>
      <c r="P350" s="101" t="str">
        <f aca="false">IF(AND($O350&lt;&gt;"",$I350&lt;&gt;0),COUNTIFS($O$2:O350,$O350,$I$2:I350,"&gt;0"),"")</f>
        <v/>
      </c>
      <c r="Q350" s="101" t="str">
        <f aca="false">IF(AND($O350&lt;&gt;"",$J350&lt;&gt;0),COUNTIFS($O$2:O350,$O350,$J$2:J350,"&gt;0"),"")</f>
        <v/>
      </c>
      <c r="R350" s="101" t="str">
        <f aca="false">IF($P350="","",$O350&amp;"|"&amp;$P350)</f>
        <v/>
      </c>
      <c r="S350" s="101" t="str">
        <f aca="false">IF($Q350="","",$O350&amp;"|"&amp;$Q350)</f>
        <v/>
      </c>
      <c r="T350" s="101" t="str">
        <f aca="false">IF($O350="","",COUNTIF($O$2:O350,$O350))</f>
        <v/>
      </c>
      <c r="U350" s="101" t="str">
        <f aca="false">IF($O350="","",$O350&amp;"|"&amp;$T350)</f>
        <v/>
      </c>
      <c r="V350" s="488" t="n">
        <f aca="false">IF(OR(LEFT($D350,5)="MB-CL",LEFT($D350,6)="MB-RES"),0,$I350)</f>
        <v>0</v>
      </c>
      <c r="W350" s="488" t="n">
        <f aca="false">IF(OR(LEFT($D350,5)="MB-CL",LEFT($D350,6)="MB-RES"),0,$J350)</f>
        <v>0</v>
      </c>
      <c r="X350" s="101" t="str">
        <f aca="false">IF($E350="","",LEFT($E350,1))</f>
        <v/>
      </c>
      <c r="Y350" s="101" t="str">
        <f aca="false">IF($E350="","",LEFT($E350,2))</f>
        <v/>
      </c>
      <c r="Z350" s="101" t="str">
        <f aca="false">IF($E350="","",LEFT($E350,3))</f>
        <v/>
      </c>
      <c r="AA350" s="101" t="str">
        <f aca="false">IF($E350="","",LEFT($E350,4))</f>
        <v/>
      </c>
    </row>
    <row r="351" customFormat="false" ht="15" hidden="false" customHeight="true" outlineLevel="0" collapsed="false">
      <c r="A351" s="484" t="str">
        <f aca="false">IF(DITARI!$D355="","",ROW()-1)</f>
        <v/>
      </c>
      <c r="B351" s="485" t="str">
        <f aca="false">IF(DITARI!$D355="","",DITARI!$A355)</f>
        <v/>
      </c>
      <c r="C351" s="484" t="str">
        <f aca="false">IF(DITARI!$D355="","",DITARI!$B355)</f>
        <v/>
      </c>
      <c r="D351" s="484" t="str">
        <f aca="false">IF(DITARI!$D355="","",DITARI!$C355)</f>
        <v/>
      </c>
      <c r="E351" s="484" t="str">
        <f aca="false">IF(DITARI!$D355="","",TRIM(DITARI!$D355&amp;""))</f>
        <v/>
      </c>
      <c r="F351" s="484" t="str">
        <f aca="false">IF($E351="","",IFERROR(VLOOKUP($E351,PLANI_LLOGARIVE!$A:$I,2,FALSE()),DITARI!$E355))</f>
        <v/>
      </c>
      <c r="G351" s="484" t="str">
        <f aca="false">IF($E351="","",DITARI!$I355)</f>
        <v/>
      </c>
      <c r="H351" s="484" t="str">
        <f aca="false">IFERROR(IF($E351="","",DITARI!$H355),"")</f>
        <v/>
      </c>
      <c r="I351" s="487" t="n">
        <f aca="false">IF($E351="",0,IFERROR(DITARI!$F355,0))</f>
        <v>0</v>
      </c>
      <c r="J351" s="487" t="n">
        <f aca="false">IF($E351="",0,IFERROR(DITARI!$G355,0))</f>
        <v>0</v>
      </c>
      <c r="K351" s="484" t="str">
        <f aca="false">IF($E351="","",IFERROR(VLOOKUP($E351,PLANI_LLOGARIVE!$A:$I,9,FALSE()),""))</f>
        <v/>
      </c>
      <c r="L351" s="487" t="str">
        <f aca="false">IF($E351="","",$I351-$J351)</f>
        <v/>
      </c>
      <c r="M351" s="484" t="str">
        <f aca="false">IF($E351="","",IF($I351&gt;0,"DEBIT",IF($J351&gt;0,"KREDIT","ZERO")))</f>
        <v/>
      </c>
      <c r="N351" s="484" t="str">
        <f aca="false">IF($E351="","",TEXT($B351,"yyyymmdd")&amp;"-"&amp;TEXT(ROW(),"0000"))</f>
        <v/>
      </c>
      <c r="O351" s="101" t="str">
        <f aca="false">IF($E351="","",$E351&amp;"")</f>
        <v/>
      </c>
      <c r="P351" s="101" t="str">
        <f aca="false">IF(AND($O351&lt;&gt;"",$I351&lt;&gt;0),COUNTIFS($O$2:O351,$O351,$I$2:I351,"&gt;0"),"")</f>
        <v/>
      </c>
      <c r="Q351" s="101" t="str">
        <f aca="false">IF(AND($O351&lt;&gt;"",$J351&lt;&gt;0),COUNTIFS($O$2:O351,$O351,$J$2:J351,"&gt;0"),"")</f>
        <v/>
      </c>
      <c r="R351" s="101" t="str">
        <f aca="false">IF($P351="","",$O351&amp;"|"&amp;$P351)</f>
        <v/>
      </c>
      <c r="S351" s="101" t="str">
        <f aca="false">IF($Q351="","",$O351&amp;"|"&amp;$Q351)</f>
        <v/>
      </c>
      <c r="T351" s="101" t="str">
        <f aca="false">IF($O351="","",COUNTIF($O$2:O351,$O351))</f>
        <v/>
      </c>
      <c r="U351" s="101" t="str">
        <f aca="false">IF($O351="","",$O351&amp;"|"&amp;$T351)</f>
        <v/>
      </c>
      <c r="V351" s="488" t="n">
        <f aca="false">IF(OR(LEFT($D351,5)="MB-CL",LEFT($D351,6)="MB-RES"),0,$I351)</f>
        <v>0</v>
      </c>
      <c r="W351" s="488" t="n">
        <f aca="false">IF(OR(LEFT($D351,5)="MB-CL",LEFT($D351,6)="MB-RES"),0,$J351)</f>
        <v>0</v>
      </c>
      <c r="X351" s="101" t="str">
        <f aca="false">IF($E351="","",LEFT($E351,1))</f>
        <v/>
      </c>
      <c r="Y351" s="101" t="str">
        <f aca="false">IF($E351="","",LEFT($E351,2))</f>
        <v/>
      </c>
      <c r="Z351" s="101" t="str">
        <f aca="false">IF($E351="","",LEFT($E351,3))</f>
        <v/>
      </c>
      <c r="AA351" s="101" t="str">
        <f aca="false">IF($E351="","",LEFT($E351,4))</f>
        <v/>
      </c>
    </row>
    <row r="352" customFormat="false" ht="15" hidden="false" customHeight="true" outlineLevel="0" collapsed="false">
      <c r="A352" s="484" t="str">
        <f aca="false">IF(DITARI!$D356="","",ROW()-1)</f>
        <v/>
      </c>
      <c r="B352" s="485" t="str">
        <f aca="false">IF(DITARI!$D356="","",DITARI!$A356)</f>
        <v/>
      </c>
      <c r="C352" s="484" t="str">
        <f aca="false">IF(DITARI!$D356="","",DITARI!$B356)</f>
        <v/>
      </c>
      <c r="D352" s="484" t="str">
        <f aca="false">IF(DITARI!$D356="","",DITARI!$C356)</f>
        <v/>
      </c>
      <c r="E352" s="484" t="str">
        <f aca="false">IF(DITARI!$D356="","",TRIM(DITARI!$D356&amp;""))</f>
        <v/>
      </c>
      <c r="F352" s="484" t="str">
        <f aca="false">IF($E352="","",IFERROR(VLOOKUP($E352,PLANI_LLOGARIVE!$A:$I,2,FALSE()),DITARI!$E356))</f>
        <v/>
      </c>
      <c r="G352" s="484" t="str">
        <f aca="false">IF($E352="","",DITARI!$I356)</f>
        <v/>
      </c>
      <c r="H352" s="484" t="str">
        <f aca="false">IFERROR(IF($E352="","",DITARI!$H356),"")</f>
        <v/>
      </c>
      <c r="I352" s="487" t="n">
        <f aca="false">IF($E352="",0,IFERROR(DITARI!$F356,0))</f>
        <v>0</v>
      </c>
      <c r="J352" s="487" t="n">
        <f aca="false">IF($E352="",0,IFERROR(DITARI!$G356,0))</f>
        <v>0</v>
      </c>
      <c r="K352" s="484" t="str">
        <f aca="false">IF($E352="","",IFERROR(VLOOKUP($E352,PLANI_LLOGARIVE!$A:$I,9,FALSE()),""))</f>
        <v/>
      </c>
      <c r="L352" s="487" t="str">
        <f aca="false">IF($E352="","",$I352-$J352)</f>
        <v/>
      </c>
      <c r="M352" s="484" t="str">
        <f aca="false">IF($E352="","",IF($I352&gt;0,"DEBIT",IF($J352&gt;0,"KREDIT","ZERO")))</f>
        <v/>
      </c>
      <c r="N352" s="484" t="str">
        <f aca="false">IF($E352="","",TEXT($B352,"yyyymmdd")&amp;"-"&amp;TEXT(ROW(),"0000"))</f>
        <v/>
      </c>
      <c r="O352" s="101" t="str">
        <f aca="false">IF($E352="","",$E352&amp;"")</f>
        <v/>
      </c>
      <c r="P352" s="101" t="str">
        <f aca="false">IF(AND($O352&lt;&gt;"",$I352&lt;&gt;0),COUNTIFS($O$2:O352,$O352,$I$2:I352,"&gt;0"),"")</f>
        <v/>
      </c>
      <c r="Q352" s="101" t="str">
        <f aca="false">IF(AND($O352&lt;&gt;"",$J352&lt;&gt;0),COUNTIFS($O$2:O352,$O352,$J$2:J352,"&gt;0"),"")</f>
        <v/>
      </c>
      <c r="R352" s="101" t="str">
        <f aca="false">IF($P352="","",$O352&amp;"|"&amp;$P352)</f>
        <v/>
      </c>
      <c r="S352" s="101" t="str">
        <f aca="false">IF($Q352="","",$O352&amp;"|"&amp;$Q352)</f>
        <v/>
      </c>
      <c r="T352" s="101" t="str">
        <f aca="false">IF($O352="","",COUNTIF($O$2:O352,$O352))</f>
        <v/>
      </c>
      <c r="U352" s="101" t="str">
        <f aca="false">IF($O352="","",$O352&amp;"|"&amp;$T352)</f>
        <v/>
      </c>
      <c r="V352" s="488" t="n">
        <f aca="false">IF(OR(LEFT($D352,5)="MB-CL",LEFT($D352,6)="MB-RES"),0,$I352)</f>
        <v>0</v>
      </c>
      <c r="W352" s="488" t="n">
        <f aca="false">IF(OR(LEFT($D352,5)="MB-CL",LEFT($D352,6)="MB-RES"),0,$J352)</f>
        <v>0</v>
      </c>
      <c r="X352" s="101" t="str">
        <f aca="false">IF($E352="","",LEFT($E352,1))</f>
        <v/>
      </c>
      <c r="Y352" s="101" t="str">
        <f aca="false">IF($E352="","",LEFT($E352,2))</f>
        <v/>
      </c>
      <c r="Z352" s="101" t="str">
        <f aca="false">IF($E352="","",LEFT($E352,3))</f>
        <v/>
      </c>
      <c r="AA352" s="101" t="str">
        <f aca="false">IF($E352="","",LEFT($E352,4))</f>
        <v/>
      </c>
    </row>
    <row r="353" customFormat="false" ht="15" hidden="false" customHeight="true" outlineLevel="0" collapsed="false">
      <c r="A353" s="484" t="str">
        <f aca="false">IF(DITARI!$D357="","",ROW()-1)</f>
        <v/>
      </c>
      <c r="B353" s="485" t="str">
        <f aca="false">IF(DITARI!$D357="","",DITARI!$A357)</f>
        <v/>
      </c>
      <c r="C353" s="484" t="str">
        <f aca="false">IF(DITARI!$D357="","",DITARI!$B357)</f>
        <v/>
      </c>
      <c r="D353" s="484" t="str">
        <f aca="false">IF(DITARI!$D357="","",DITARI!$C357)</f>
        <v/>
      </c>
      <c r="E353" s="484" t="str">
        <f aca="false">IF(DITARI!$D357="","",TRIM(DITARI!$D357&amp;""))</f>
        <v/>
      </c>
      <c r="F353" s="484" t="str">
        <f aca="false">IF($E353="","",IFERROR(VLOOKUP($E353,PLANI_LLOGARIVE!$A:$I,2,FALSE()),DITARI!$E357))</f>
        <v/>
      </c>
      <c r="G353" s="484" t="str">
        <f aca="false">IF($E353="","",DITARI!$I357)</f>
        <v/>
      </c>
      <c r="H353" s="484" t="str">
        <f aca="false">IFERROR(IF($E353="","",DITARI!$H357),"")</f>
        <v/>
      </c>
      <c r="I353" s="487" t="n">
        <f aca="false">IF($E353="",0,IFERROR(DITARI!$F357,0))</f>
        <v>0</v>
      </c>
      <c r="J353" s="487" t="n">
        <f aca="false">IF($E353="",0,IFERROR(DITARI!$G357,0))</f>
        <v>0</v>
      </c>
      <c r="K353" s="484" t="str">
        <f aca="false">IF($E353="","",IFERROR(VLOOKUP($E353,PLANI_LLOGARIVE!$A:$I,9,FALSE()),""))</f>
        <v/>
      </c>
      <c r="L353" s="487" t="str">
        <f aca="false">IF($E353="","",$I353-$J353)</f>
        <v/>
      </c>
      <c r="M353" s="484" t="str">
        <f aca="false">IF($E353="","",IF($I353&gt;0,"DEBIT",IF($J353&gt;0,"KREDIT","ZERO")))</f>
        <v/>
      </c>
      <c r="N353" s="484" t="str">
        <f aca="false">IF($E353="","",TEXT($B353,"yyyymmdd")&amp;"-"&amp;TEXT(ROW(),"0000"))</f>
        <v/>
      </c>
      <c r="O353" s="101" t="str">
        <f aca="false">IF($E353="","",$E353&amp;"")</f>
        <v/>
      </c>
      <c r="P353" s="101" t="str">
        <f aca="false">IF(AND($O353&lt;&gt;"",$I353&lt;&gt;0),COUNTIFS($O$2:O353,$O353,$I$2:I353,"&gt;0"),"")</f>
        <v/>
      </c>
      <c r="Q353" s="101" t="str">
        <f aca="false">IF(AND($O353&lt;&gt;"",$J353&lt;&gt;0),COUNTIFS($O$2:O353,$O353,$J$2:J353,"&gt;0"),"")</f>
        <v/>
      </c>
      <c r="R353" s="101" t="str">
        <f aca="false">IF($P353="","",$O353&amp;"|"&amp;$P353)</f>
        <v/>
      </c>
      <c r="S353" s="101" t="str">
        <f aca="false">IF($Q353="","",$O353&amp;"|"&amp;$Q353)</f>
        <v/>
      </c>
      <c r="T353" s="101" t="str">
        <f aca="false">IF($O353="","",COUNTIF($O$2:O353,$O353))</f>
        <v/>
      </c>
      <c r="U353" s="101" t="str">
        <f aca="false">IF($O353="","",$O353&amp;"|"&amp;$T353)</f>
        <v/>
      </c>
      <c r="V353" s="488" t="n">
        <f aca="false">IF(OR(LEFT($D353,5)="MB-CL",LEFT($D353,6)="MB-RES"),0,$I353)</f>
        <v>0</v>
      </c>
      <c r="W353" s="488" t="n">
        <f aca="false">IF(OR(LEFT($D353,5)="MB-CL",LEFT($D353,6)="MB-RES"),0,$J353)</f>
        <v>0</v>
      </c>
      <c r="X353" s="101" t="str">
        <f aca="false">IF($E353="","",LEFT($E353,1))</f>
        <v/>
      </c>
      <c r="Y353" s="101" t="str">
        <f aca="false">IF($E353="","",LEFT($E353,2))</f>
        <v/>
      </c>
      <c r="Z353" s="101" t="str">
        <f aca="false">IF($E353="","",LEFT($E353,3))</f>
        <v/>
      </c>
      <c r="AA353" s="101" t="str">
        <f aca="false">IF($E353="","",LEFT($E353,4))</f>
        <v/>
      </c>
    </row>
    <row r="354" customFormat="false" ht="15" hidden="false" customHeight="true" outlineLevel="0" collapsed="false">
      <c r="A354" s="484" t="str">
        <f aca="false">IF(DITARI!$D358="","",ROW()-1)</f>
        <v/>
      </c>
      <c r="B354" s="485" t="str">
        <f aca="false">IF(DITARI!$D358="","",DITARI!$A358)</f>
        <v/>
      </c>
      <c r="C354" s="484" t="str">
        <f aca="false">IF(DITARI!$D358="","",DITARI!$B358)</f>
        <v/>
      </c>
      <c r="D354" s="484" t="str">
        <f aca="false">IF(DITARI!$D358="","",DITARI!$C358)</f>
        <v/>
      </c>
      <c r="E354" s="484" t="str">
        <f aca="false">IF(DITARI!$D358="","",TRIM(DITARI!$D358&amp;""))</f>
        <v/>
      </c>
      <c r="F354" s="484" t="str">
        <f aca="false">IF($E354="","",IFERROR(VLOOKUP($E354,PLANI_LLOGARIVE!$A:$I,2,FALSE()),DITARI!$E358))</f>
        <v/>
      </c>
      <c r="G354" s="484" t="str">
        <f aca="false">IF($E354="","",DITARI!$I358)</f>
        <v/>
      </c>
      <c r="H354" s="484" t="str">
        <f aca="false">IFERROR(IF($E354="","",DITARI!$H358),"")</f>
        <v/>
      </c>
      <c r="I354" s="487" t="n">
        <f aca="false">IF($E354="",0,IFERROR(DITARI!$F358,0))</f>
        <v>0</v>
      </c>
      <c r="J354" s="487" t="n">
        <f aca="false">IF($E354="",0,IFERROR(DITARI!$G358,0))</f>
        <v>0</v>
      </c>
      <c r="K354" s="484" t="str">
        <f aca="false">IF($E354="","",IFERROR(VLOOKUP($E354,PLANI_LLOGARIVE!$A:$I,9,FALSE()),""))</f>
        <v/>
      </c>
      <c r="L354" s="487" t="str">
        <f aca="false">IF($E354="","",$I354-$J354)</f>
        <v/>
      </c>
      <c r="M354" s="484" t="str">
        <f aca="false">IF($E354="","",IF($I354&gt;0,"DEBIT",IF($J354&gt;0,"KREDIT","ZERO")))</f>
        <v/>
      </c>
      <c r="N354" s="484" t="str">
        <f aca="false">IF($E354="","",TEXT($B354,"yyyymmdd")&amp;"-"&amp;TEXT(ROW(),"0000"))</f>
        <v/>
      </c>
      <c r="O354" s="101" t="str">
        <f aca="false">IF($E354="","",$E354&amp;"")</f>
        <v/>
      </c>
      <c r="P354" s="101" t="str">
        <f aca="false">IF(AND($O354&lt;&gt;"",$I354&lt;&gt;0),COUNTIFS($O$2:O354,$O354,$I$2:I354,"&gt;0"),"")</f>
        <v/>
      </c>
      <c r="Q354" s="101" t="str">
        <f aca="false">IF(AND($O354&lt;&gt;"",$J354&lt;&gt;0),COUNTIFS($O$2:O354,$O354,$J$2:J354,"&gt;0"),"")</f>
        <v/>
      </c>
      <c r="R354" s="101" t="str">
        <f aca="false">IF($P354="","",$O354&amp;"|"&amp;$P354)</f>
        <v/>
      </c>
      <c r="S354" s="101" t="str">
        <f aca="false">IF($Q354="","",$O354&amp;"|"&amp;$Q354)</f>
        <v/>
      </c>
      <c r="T354" s="101" t="str">
        <f aca="false">IF($O354="","",COUNTIF($O$2:O354,$O354))</f>
        <v/>
      </c>
      <c r="U354" s="101" t="str">
        <f aca="false">IF($O354="","",$O354&amp;"|"&amp;$T354)</f>
        <v/>
      </c>
      <c r="V354" s="488" t="n">
        <f aca="false">IF(OR(LEFT($D354,5)="MB-CL",LEFT($D354,6)="MB-RES"),0,$I354)</f>
        <v>0</v>
      </c>
      <c r="W354" s="488" t="n">
        <f aca="false">IF(OR(LEFT($D354,5)="MB-CL",LEFT($D354,6)="MB-RES"),0,$J354)</f>
        <v>0</v>
      </c>
      <c r="X354" s="101" t="str">
        <f aca="false">IF($E354="","",LEFT($E354,1))</f>
        <v/>
      </c>
      <c r="Y354" s="101" t="str">
        <f aca="false">IF($E354="","",LEFT($E354,2))</f>
        <v/>
      </c>
      <c r="Z354" s="101" t="str">
        <f aca="false">IF($E354="","",LEFT($E354,3))</f>
        <v/>
      </c>
      <c r="AA354" s="101" t="str">
        <f aca="false">IF($E354="","",LEFT($E354,4))</f>
        <v/>
      </c>
    </row>
    <row r="355" customFormat="false" ht="15" hidden="false" customHeight="true" outlineLevel="0" collapsed="false">
      <c r="A355" s="484" t="str">
        <f aca="false">IF(DITARI!$D359="","",ROW()-1)</f>
        <v/>
      </c>
      <c r="B355" s="485" t="str">
        <f aca="false">IF(DITARI!$D359="","",DITARI!$A359)</f>
        <v/>
      </c>
      <c r="C355" s="484" t="str">
        <f aca="false">IF(DITARI!$D359="","",DITARI!$B359)</f>
        <v/>
      </c>
      <c r="D355" s="484" t="str">
        <f aca="false">IF(DITARI!$D359="","",DITARI!$C359)</f>
        <v/>
      </c>
      <c r="E355" s="484" t="str">
        <f aca="false">IF(DITARI!$D359="","",TRIM(DITARI!$D359&amp;""))</f>
        <v/>
      </c>
      <c r="F355" s="484" t="str">
        <f aca="false">IF($E355="","",IFERROR(VLOOKUP($E355,PLANI_LLOGARIVE!$A:$I,2,FALSE()),DITARI!$E359))</f>
        <v/>
      </c>
      <c r="G355" s="484" t="str">
        <f aca="false">IF($E355="","",DITARI!$I359)</f>
        <v/>
      </c>
      <c r="H355" s="484" t="str">
        <f aca="false">IFERROR(IF($E355="","",DITARI!$H359),"")</f>
        <v/>
      </c>
      <c r="I355" s="487" t="n">
        <f aca="false">IF($E355="",0,IFERROR(DITARI!$F359,0))</f>
        <v>0</v>
      </c>
      <c r="J355" s="487" t="n">
        <f aca="false">IF($E355="",0,IFERROR(DITARI!$G359,0))</f>
        <v>0</v>
      </c>
      <c r="K355" s="484" t="str">
        <f aca="false">IF($E355="","",IFERROR(VLOOKUP($E355,PLANI_LLOGARIVE!$A:$I,9,FALSE()),""))</f>
        <v/>
      </c>
      <c r="L355" s="487" t="str">
        <f aca="false">IF($E355="","",$I355-$J355)</f>
        <v/>
      </c>
      <c r="M355" s="484" t="str">
        <f aca="false">IF($E355="","",IF($I355&gt;0,"DEBIT",IF($J355&gt;0,"KREDIT","ZERO")))</f>
        <v/>
      </c>
      <c r="N355" s="484" t="str">
        <f aca="false">IF($E355="","",TEXT($B355,"yyyymmdd")&amp;"-"&amp;TEXT(ROW(),"0000"))</f>
        <v/>
      </c>
      <c r="O355" s="101" t="str">
        <f aca="false">IF($E355="","",$E355&amp;"")</f>
        <v/>
      </c>
      <c r="P355" s="101" t="str">
        <f aca="false">IF(AND($O355&lt;&gt;"",$I355&lt;&gt;0),COUNTIFS($O$2:O355,$O355,$I$2:I355,"&gt;0"),"")</f>
        <v/>
      </c>
      <c r="Q355" s="101" t="str">
        <f aca="false">IF(AND($O355&lt;&gt;"",$J355&lt;&gt;0),COUNTIFS($O$2:O355,$O355,$J$2:J355,"&gt;0"),"")</f>
        <v/>
      </c>
      <c r="R355" s="101" t="str">
        <f aca="false">IF($P355="","",$O355&amp;"|"&amp;$P355)</f>
        <v/>
      </c>
      <c r="S355" s="101" t="str">
        <f aca="false">IF($Q355="","",$O355&amp;"|"&amp;$Q355)</f>
        <v/>
      </c>
      <c r="T355" s="101" t="str">
        <f aca="false">IF($O355="","",COUNTIF($O$2:O355,$O355))</f>
        <v/>
      </c>
      <c r="U355" s="101" t="str">
        <f aca="false">IF($O355="","",$O355&amp;"|"&amp;$T355)</f>
        <v/>
      </c>
      <c r="V355" s="488" t="n">
        <f aca="false">IF(OR(LEFT($D355,5)="MB-CL",LEFT($D355,6)="MB-RES"),0,$I355)</f>
        <v>0</v>
      </c>
      <c r="W355" s="488" t="n">
        <f aca="false">IF(OR(LEFT($D355,5)="MB-CL",LEFT($D355,6)="MB-RES"),0,$J355)</f>
        <v>0</v>
      </c>
      <c r="X355" s="101" t="str">
        <f aca="false">IF($E355="","",LEFT($E355,1))</f>
        <v/>
      </c>
      <c r="Y355" s="101" t="str">
        <f aca="false">IF($E355="","",LEFT($E355,2))</f>
        <v/>
      </c>
      <c r="Z355" s="101" t="str">
        <f aca="false">IF($E355="","",LEFT($E355,3))</f>
        <v/>
      </c>
      <c r="AA355" s="101" t="str">
        <f aca="false">IF($E355="","",LEFT($E355,4))</f>
        <v/>
      </c>
    </row>
    <row r="356" customFormat="false" ht="15" hidden="false" customHeight="true" outlineLevel="0" collapsed="false">
      <c r="A356" s="484" t="str">
        <f aca="false">IF(DITARI!$D360="","",ROW()-1)</f>
        <v/>
      </c>
      <c r="B356" s="485" t="str">
        <f aca="false">IF(DITARI!$D360="","",DITARI!$A360)</f>
        <v/>
      </c>
      <c r="C356" s="484" t="str">
        <f aca="false">IF(DITARI!$D360="","",DITARI!$B360)</f>
        <v/>
      </c>
      <c r="D356" s="484" t="str">
        <f aca="false">IF(DITARI!$D360="","",DITARI!$C360)</f>
        <v/>
      </c>
      <c r="E356" s="484" t="str">
        <f aca="false">IF(DITARI!$D360="","",TRIM(DITARI!$D360&amp;""))</f>
        <v/>
      </c>
      <c r="F356" s="484" t="str">
        <f aca="false">IF($E356="","",IFERROR(VLOOKUP($E356,PLANI_LLOGARIVE!$A:$I,2,FALSE()),DITARI!$E360))</f>
        <v/>
      </c>
      <c r="G356" s="484" t="str">
        <f aca="false">IF($E356="","",DITARI!$I360)</f>
        <v/>
      </c>
      <c r="H356" s="484" t="str">
        <f aca="false">IFERROR(IF($E356="","",DITARI!$H360),"")</f>
        <v/>
      </c>
      <c r="I356" s="487" t="n">
        <f aca="false">IF($E356="",0,IFERROR(DITARI!$F360,0))</f>
        <v>0</v>
      </c>
      <c r="J356" s="487" t="n">
        <f aca="false">IF($E356="",0,IFERROR(DITARI!$G360,0))</f>
        <v>0</v>
      </c>
      <c r="K356" s="484" t="str">
        <f aca="false">IF($E356="","",IFERROR(VLOOKUP($E356,PLANI_LLOGARIVE!$A:$I,9,FALSE()),""))</f>
        <v/>
      </c>
      <c r="L356" s="487" t="str">
        <f aca="false">IF($E356="","",$I356-$J356)</f>
        <v/>
      </c>
      <c r="M356" s="484" t="str">
        <f aca="false">IF($E356="","",IF($I356&gt;0,"DEBIT",IF($J356&gt;0,"KREDIT","ZERO")))</f>
        <v/>
      </c>
      <c r="N356" s="484" t="str">
        <f aca="false">IF($E356="","",TEXT($B356,"yyyymmdd")&amp;"-"&amp;TEXT(ROW(),"0000"))</f>
        <v/>
      </c>
      <c r="O356" s="101" t="str">
        <f aca="false">IF($E356="","",$E356&amp;"")</f>
        <v/>
      </c>
      <c r="P356" s="101" t="str">
        <f aca="false">IF(AND($O356&lt;&gt;"",$I356&lt;&gt;0),COUNTIFS($O$2:O356,$O356,$I$2:I356,"&gt;0"),"")</f>
        <v/>
      </c>
      <c r="Q356" s="101" t="str">
        <f aca="false">IF(AND($O356&lt;&gt;"",$J356&lt;&gt;0),COUNTIFS($O$2:O356,$O356,$J$2:J356,"&gt;0"),"")</f>
        <v/>
      </c>
      <c r="R356" s="101" t="str">
        <f aca="false">IF($P356="","",$O356&amp;"|"&amp;$P356)</f>
        <v/>
      </c>
      <c r="S356" s="101" t="str">
        <f aca="false">IF($Q356="","",$O356&amp;"|"&amp;$Q356)</f>
        <v/>
      </c>
      <c r="T356" s="101" t="str">
        <f aca="false">IF($O356="","",COUNTIF($O$2:O356,$O356))</f>
        <v/>
      </c>
      <c r="U356" s="101" t="str">
        <f aca="false">IF($O356="","",$O356&amp;"|"&amp;$T356)</f>
        <v/>
      </c>
      <c r="V356" s="488" t="n">
        <f aca="false">IF(OR(LEFT($D356,5)="MB-CL",LEFT($D356,6)="MB-RES"),0,$I356)</f>
        <v>0</v>
      </c>
      <c r="W356" s="488" t="n">
        <f aca="false">IF(OR(LEFT($D356,5)="MB-CL",LEFT($D356,6)="MB-RES"),0,$J356)</f>
        <v>0</v>
      </c>
      <c r="X356" s="101" t="str">
        <f aca="false">IF($E356="","",LEFT($E356,1))</f>
        <v/>
      </c>
      <c r="Y356" s="101" t="str">
        <f aca="false">IF($E356="","",LEFT($E356,2))</f>
        <v/>
      </c>
      <c r="Z356" s="101" t="str">
        <f aca="false">IF($E356="","",LEFT($E356,3))</f>
        <v/>
      </c>
      <c r="AA356" s="101" t="str">
        <f aca="false">IF($E356="","",LEFT($E356,4))</f>
        <v/>
      </c>
    </row>
    <row r="357" customFormat="false" ht="15" hidden="false" customHeight="true" outlineLevel="0" collapsed="false">
      <c r="A357" s="484" t="str">
        <f aca="false">IF(DITARI!$D361="","",ROW()-1)</f>
        <v/>
      </c>
      <c r="B357" s="485" t="str">
        <f aca="false">IF(DITARI!$D361="","",DITARI!$A361)</f>
        <v/>
      </c>
      <c r="C357" s="484" t="str">
        <f aca="false">IF(DITARI!$D361="","",DITARI!$B361)</f>
        <v/>
      </c>
      <c r="D357" s="484" t="str">
        <f aca="false">IF(DITARI!$D361="","",DITARI!$C361)</f>
        <v/>
      </c>
      <c r="E357" s="484" t="str">
        <f aca="false">IF(DITARI!$D361="","",TRIM(DITARI!$D361&amp;""))</f>
        <v/>
      </c>
      <c r="F357" s="484" t="str">
        <f aca="false">IF($E357="","",IFERROR(VLOOKUP($E357,PLANI_LLOGARIVE!$A:$I,2,FALSE()),DITARI!$E361))</f>
        <v/>
      </c>
      <c r="G357" s="484" t="str">
        <f aca="false">IF($E357="","",DITARI!$I361)</f>
        <v/>
      </c>
      <c r="H357" s="484" t="str">
        <f aca="false">IFERROR(IF($E357="","",DITARI!$H361),"")</f>
        <v/>
      </c>
      <c r="I357" s="487" t="n">
        <f aca="false">IF($E357="",0,IFERROR(DITARI!$F361,0))</f>
        <v>0</v>
      </c>
      <c r="J357" s="487" t="n">
        <f aca="false">IF($E357="",0,IFERROR(DITARI!$G361,0))</f>
        <v>0</v>
      </c>
      <c r="K357" s="484" t="str">
        <f aca="false">IF($E357="","",IFERROR(VLOOKUP($E357,PLANI_LLOGARIVE!$A:$I,9,FALSE()),""))</f>
        <v/>
      </c>
      <c r="L357" s="487" t="str">
        <f aca="false">IF($E357="","",$I357-$J357)</f>
        <v/>
      </c>
      <c r="M357" s="484" t="str">
        <f aca="false">IF($E357="","",IF($I357&gt;0,"DEBIT",IF($J357&gt;0,"KREDIT","ZERO")))</f>
        <v/>
      </c>
      <c r="N357" s="484" t="str">
        <f aca="false">IF($E357="","",TEXT($B357,"yyyymmdd")&amp;"-"&amp;TEXT(ROW(),"0000"))</f>
        <v/>
      </c>
      <c r="O357" s="101" t="str">
        <f aca="false">IF($E357="","",$E357&amp;"")</f>
        <v/>
      </c>
      <c r="P357" s="101" t="str">
        <f aca="false">IF(AND($O357&lt;&gt;"",$I357&lt;&gt;0),COUNTIFS($O$2:O357,$O357,$I$2:I357,"&gt;0"),"")</f>
        <v/>
      </c>
      <c r="Q357" s="101" t="str">
        <f aca="false">IF(AND($O357&lt;&gt;"",$J357&lt;&gt;0),COUNTIFS($O$2:O357,$O357,$J$2:J357,"&gt;0"),"")</f>
        <v/>
      </c>
      <c r="R357" s="101" t="str">
        <f aca="false">IF($P357="","",$O357&amp;"|"&amp;$P357)</f>
        <v/>
      </c>
      <c r="S357" s="101" t="str">
        <f aca="false">IF($Q357="","",$O357&amp;"|"&amp;$Q357)</f>
        <v/>
      </c>
      <c r="T357" s="101" t="str">
        <f aca="false">IF($O357="","",COUNTIF($O$2:O357,$O357))</f>
        <v/>
      </c>
      <c r="U357" s="101" t="str">
        <f aca="false">IF($O357="","",$O357&amp;"|"&amp;$T357)</f>
        <v/>
      </c>
      <c r="V357" s="488" t="n">
        <f aca="false">IF(OR(LEFT($D357,5)="MB-CL",LEFT($D357,6)="MB-RES"),0,$I357)</f>
        <v>0</v>
      </c>
      <c r="W357" s="488" t="n">
        <f aca="false">IF(OR(LEFT($D357,5)="MB-CL",LEFT($D357,6)="MB-RES"),0,$J357)</f>
        <v>0</v>
      </c>
      <c r="X357" s="101" t="str">
        <f aca="false">IF($E357="","",LEFT($E357,1))</f>
        <v/>
      </c>
      <c r="Y357" s="101" t="str">
        <f aca="false">IF($E357="","",LEFT($E357,2))</f>
        <v/>
      </c>
      <c r="Z357" s="101" t="str">
        <f aca="false">IF($E357="","",LEFT($E357,3))</f>
        <v/>
      </c>
      <c r="AA357" s="101" t="str">
        <f aca="false">IF($E357="","",LEFT($E357,4))</f>
        <v/>
      </c>
    </row>
    <row r="358" customFormat="false" ht="15" hidden="false" customHeight="true" outlineLevel="0" collapsed="false">
      <c r="A358" s="484" t="str">
        <f aca="false">IF(DITARI!$D362="","",ROW()-1)</f>
        <v/>
      </c>
      <c r="B358" s="485" t="str">
        <f aca="false">IF(DITARI!$D362="","",DITARI!$A362)</f>
        <v/>
      </c>
      <c r="C358" s="484" t="str">
        <f aca="false">IF(DITARI!$D362="","",DITARI!$B362)</f>
        <v/>
      </c>
      <c r="D358" s="484" t="str">
        <f aca="false">IF(DITARI!$D362="","",DITARI!$C362)</f>
        <v/>
      </c>
      <c r="E358" s="484" t="str">
        <f aca="false">IF(DITARI!$D362="","",TRIM(DITARI!$D362&amp;""))</f>
        <v/>
      </c>
      <c r="F358" s="484" t="str">
        <f aca="false">IF($E358="","",IFERROR(VLOOKUP($E358,PLANI_LLOGARIVE!$A:$I,2,FALSE()),DITARI!$E362))</f>
        <v/>
      </c>
      <c r="G358" s="484" t="str">
        <f aca="false">IF($E358="","",DITARI!$I362)</f>
        <v/>
      </c>
      <c r="H358" s="484" t="str">
        <f aca="false">IFERROR(IF($E358="","",DITARI!$H362),"")</f>
        <v/>
      </c>
      <c r="I358" s="487" t="n">
        <f aca="false">IF($E358="",0,IFERROR(DITARI!$F362,0))</f>
        <v>0</v>
      </c>
      <c r="J358" s="487" t="n">
        <f aca="false">IF($E358="",0,IFERROR(DITARI!$G362,0))</f>
        <v>0</v>
      </c>
      <c r="K358" s="484" t="str">
        <f aca="false">IF($E358="","",IFERROR(VLOOKUP($E358,PLANI_LLOGARIVE!$A:$I,9,FALSE()),""))</f>
        <v/>
      </c>
      <c r="L358" s="487" t="str">
        <f aca="false">IF($E358="","",$I358-$J358)</f>
        <v/>
      </c>
      <c r="M358" s="484" t="str">
        <f aca="false">IF($E358="","",IF($I358&gt;0,"DEBIT",IF($J358&gt;0,"KREDIT","ZERO")))</f>
        <v/>
      </c>
      <c r="N358" s="484" t="str">
        <f aca="false">IF($E358="","",TEXT($B358,"yyyymmdd")&amp;"-"&amp;TEXT(ROW(),"0000"))</f>
        <v/>
      </c>
      <c r="O358" s="101" t="str">
        <f aca="false">IF($E358="","",$E358&amp;"")</f>
        <v/>
      </c>
      <c r="P358" s="101" t="str">
        <f aca="false">IF(AND($O358&lt;&gt;"",$I358&lt;&gt;0),COUNTIFS($O$2:O358,$O358,$I$2:I358,"&gt;0"),"")</f>
        <v/>
      </c>
      <c r="Q358" s="101" t="str">
        <f aca="false">IF(AND($O358&lt;&gt;"",$J358&lt;&gt;0),COUNTIFS($O$2:O358,$O358,$J$2:J358,"&gt;0"),"")</f>
        <v/>
      </c>
      <c r="R358" s="101" t="str">
        <f aca="false">IF($P358="","",$O358&amp;"|"&amp;$P358)</f>
        <v/>
      </c>
      <c r="S358" s="101" t="str">
        <f aca="false">IF($Q358="","",$O358&amp;"|"&amp;$Q358)</f>
        <v/>
      </c>
      <c r="T358" s="101" t="str">
        <f aca="false">IF($O358="","",COUNTIF($O$2:O358,$O358))</f>
        <v/>
      </c>
      <c r="U358" s="101" t="str">
        <f aca="false">IF($O358="","",$O358&amp;"|"&amp;$T358)</f>
        <v/>
      </c>
      <c r="V358" s="488" t="n">
        <f aca="false">IF(OR(LEFT($D358,5)="MB-CL",LEFT($D358,6)="MB-RES"),0,$I358)</f>
        <v>0</v>
      </c>
      <c r="W358" s="488" t="n">
        <f aca="false">IF(OR(LEFT($D358,5)="MB-CL",LEFT($D358,6)="MB-RES"),0,$J358)</f>
        <v>0</v>
      </c>
      <c r="X358" s="101" t="str">
        <f aca="false">IF($E358="","",LEFT($E358,1))</f>
        <v/>
      </c>
      <c r="Y358" s="101" t="str">
        <f aca="false">IF($E358="","",LEFT($E358,2))</f>
        <v/>
      </c>
      <c r="Z358" s="101" t="str">
        <f aca="false">IF($E358="","",LEFT($E358,3))</f>
        <v/>
      </c>
      <c r="AA358" s="101" t="str">
        <f aca="false">IF($E358="","",LEFT($E358,4))</f>
        <v/>
      </c>
    </row>
    <row r="359" customFormat="false" ht="15" hidden="false" customHeight="true" outlineLevel="0" collapsed="false">
      <c r="A359" s="484" t="str">
        <f aca="false">IF(DITARI!$D363="","",ROW()-1)</f>
        <v/>
      </c>
      <c r="B359" s="485" t="str">
        <f aca="false">IF(DITARI!$D363="","",DITARI!$A363)</f>
        <v/>
      </c>
      <c r="C359" s="484" t="str">
        <f aca="false">IF(DITARI!$D363="","",DITARI!$B363)</f>
        <v/>
      </c>
      <c r="D359" s="484" t="str">
        <f aca="false">IF(DITARI!$D363="","",DITARI!$C363)</f>
        <v/>
      </c>
      <c r="E359" s="484" t="str">
        <f aca="false">IF(DITARI!$D363="","",TRIM(DITARI!$D363&amp;""))</f>
        <v/>
      </c>
      <c r="F359" s="484" t="str">
        <f aca="false">IF($E359="","",IFERROR(VLOOKUP($E359,PLANI_LLOGARIVE!$A:$I,2,FALSE()),DITARI!$E363))</f>
        <v/>
      </c>
      <c r="G359" s="484" t="str">
        <f aca="false">IF($E359="","",DITARI!$I363)</f>
        <v/>
      </c>
      <c r="H359" s="484" t="str">
        <f aca="false">IFERROR(IF($E359="","",DITARI!$H363),"")</f>
        <v/>
      </c>
      <c r="I359" s="487" t="n">
        <f aca="false">IF($E359="",0,IFERROR(DITARI!$F363,0))</f>
        <v>0</v>
      </c>
      <c r="J359" s="487" t="n">
        <f aca="false">IF($E359="",0,IFERROR(DITARI!$G363,0))</f>
        <v>0</v>
      </c>
      <c r="K359" s="484" t="str">
        <f aca="false">IF($E359="","",IFERROR(VLOOKUP($E359,PLANI_LLOGARIVE!$A:$I,9,FALSE()),""))</f>
        <v/>
      </c>
      <c r="L359" s="487" t="str">
        <f aca="false">IF($E359="","",$I359-$J359)</f>
        <v/>
      </c>
      <c r="M359" s="484" t="str">
        <f aca="false">IF($E359="","",IF($I359&gt;0,"DEBIT",IF($J359&gt;0,"KREDIT","ZERO")))</f>
        <v/>
      </c>
      <c r="N359" s="484" t="str">
        <f aca="false">IF($E359="","",TEXT($B359,"yyyymmdd")&amp;"-"&amp;TEXT(ROW(),"0000"))</f>
        <v/>
      </c>
      <c r="O359" s="101" t="str">
        <f aca="false">IF($E359="","",$E359&amp;"")</f>
        <v/>
      </c>
      <c r="P359" s="101" t="str">
        <f aca="false">IF(AND($O359&lt;&gt;"",$I359&lt;&gt;0),COUNTIFS($O$2:O359,$O359,$I$2:I359,"&gt;0"),"")</f>
        <v/>
      </c>
      <c r="Q359" s="101" t="str">
        <f aca="false">IF(AND($O359&lt;&gt;"",$J359&lt;&gt;0),COUNTIFS($O$2:O359,$O359,$J$2:J359,"&gt;0"),"")</f>
        <v/>
      </c>
      <c r="R359" s="101" t="str">
        <f aca="false">IF($P359="","",$O359&amp;"|"&amp;$P359)</f>
        <v/>
      </c>
      <c r="S359" s="101" t="str">
        <f aca="false">IF($Q359="","",$O359&amp;"|"&amp;$Q359)</f>
        <v/>
      </c>
      <c r="T359" s="101" t="str">
        <f aca="false">IF($O359="","",COUNTIF($O$2:O359,$O359))</f>
        <v/>
      </c>
      <c r="U359" s="101" t="str">
        <f aca="false">IF($O359="","",$O359&amp;"|"&amp;$T359)</f>
        <v/>
      </c>
      <c r="V359" s="488" t="n">
        <f aca="false">IF(OR(LEFT($D359,5)="MB-CL",LEFT($D359,6)="MB-RES"),0,$I359)</f>
        <v>0</v>
      </c>
      <c r="W359" s="488" t="n">
        <f aca="false">IF(OR(LEFT($D359,5)="MB-CL",LEFT($D359,6)="MB-RES"),0,$J359)</f>
        <v>0</v>
      </c>
      <c r="X359" s="101" t="str">
        <f aca="false">IF($E359="","",LEFT($E359,1))</f>
        <v/>
      </c>
      <c r="Y359" s="101" t="str">
        <f aca="false">IF($E359="","",LEFT($E359,2))</f>
        <v/>
      </c>
      <c r="Z359" s="101" t="str">
        <f aca="false">IF($E359="","",LEFT($E359,3))</f>
        <v/>
      </c>
      <c r="AA359" s="101" t="str">
        <f aca="false">IF($E359="","",LEFT($E359,4))</f>
        <v/>
      </c>
    </row>
    <row r="360" customFormat="false" ht="15" hidden="false" customHeight="true" outlineLevel="0" collapsed="false">
      <c r="A360" s="484" t="str">
        <f aca="false">IF(DITARI!$D364="","",ROW()-1)</f>
        <v/>
      </c>
      <c r="B360" s="485" t="str">
        <f aca="false">IF(DITARI!$D364="","",DITARI!$A364)</f>
        <v/>
      </c>
      <c r="C360" s="484" t="str">
        <f aca="false">IF(DITARI!$D364="","",DITARI!$B364)</f>
        <v/>
      </c>
      <c r="D360" s="484" t="str">
        <f aca="false">IF(DITARI!$D364="","",DITARI!$C364)</f>
        <v/>
      </c>
      <c r="E360" s="484" t="str">
        <f aca="false">IF(DITARI!$D364="","",TRIM(DITARI!$D364&amp;""))</f>
        <v/>
      </c>
      <c r="F360" s="484" t="str">
        <f aca="false">IF($E360="","",IFERROR(VLOOKUP($E360,PLANI_LLOGARIVE!$A:$I,2,FALSE()),DITARI!$E364))</f>
        <v/>
      </c>
      <c r="G360" s="484" t="str">
        <f aca="false">IF($E360="","",DITARI!$I364)</f>
        <v/>
      </c>
      <c r="H360" s="484" t="str">
        <f aca="false">IFERROR(IF($E360="","",DITARI!$H364),"")</f>
        <v/>
      </c>
      <c r="I360" s="487" t="n">
        <f aca="false">IF($E360="",0,IFERROR(DITARI!$F364,0))</f>
        <v>0</v>
      </c>
      <c r="J360" s="487" t="n">
        <f aca="false">IF($E360="",0,IFERROR(DITARI!$G364,0))</f>
        <v>0</v>
      </c>
      <c r="K360" s="484" t="str">
        <f aca="false">IF($E360="","",IFERROR(VLOOKUP($E360,PLANI_LLOGARIVE!$A:$I,9,FALSE()),""))</f>
        <v/>
      </c>
      <c r="L360" s="487" t="str">
        <f aca="false">IF($E360="","",$I360-$J360)</f>
        <v/>
      </c>
      <c r="M360" s="484" t="str">
        <f aca="false">IF($E360="","",IF($I360&gt;0,"DEBIT",IF($J360&gt;0,"KREDIT","ZERO")))</f>
        <v/>
      </c>
      <c r="N360" s="484" t="str">
        <f aca="false">IF($E360="","",TEXT($B360,"yyyymmdd")&amp;"-"&amp;TEXT(ROW(),"0000"))</f>
        <v/>
      </c>
      <c r="O360" s="101" t="str">
        <f aca="false">IF($E360="","",$E360&amp;"")</f>
        <v/>
      </c>
      <c r="P360" s="101" t="str">
        <f aca="false">IF(AND($O360&lt;&gt;"",$I360&lt;&gt;0),COUNTIFS($O$2:O360,$O360,$I$2:I360,"&gt;0"),"")</f>
        <v/>
      </c>
      <c r="Q360" s="101" t="str">
        <f aca="false">IF(AND($O360&lt;&gt;"",$J360&lt;&gt;0),COUNTIFS($O$2:O360,$O360,$J$2:J360,"&gt;0"),"")</f>
        <v/>
      </c>
      <c r="R360" s="101" t="str">
        <f aca="false">IF($P360="","",$O360&amp;"|"&amp;$P360)</f>
        <v/>
      </c>
      <c r="S360" s="101" t="str">
        <f aca="false">IF($Q360="","",$O360&amp;"|"&amp;$Q360)</f>
        <v/>
      </c>
      <c r="T360" s="101" t="str">
        <f aca="false">IF($O360="","",COUNTIF($O$2:O360,$O360))</f>
        <v/>
      </c>
      <c r="U360" s="101" t="str">
        <f aca="false">IF($O360="","",$O360&amp;"|"&amp;$T360)</f>
        <v/>
      </c>
      <c r="V360" s="488" t="n">
        <f aca="false">IF(OR(LEFT($D360,5)="MB-CL",LEFT($D360,6)="MB-RES"),0,$I360)</f>
        <v>0</v>
      </c>
      <c r="W360" s="488" t="n">
        <f aca="false">IF(OR(LEFT($D360,5)="MB-CL",LEFT($D360,6)="MB-RES"),0,$J360)</f>
        <v>0</v>
      </c>
      <c r="X360" s="101" t="str">
        <f aca="false">IF($E360="","",LEFT($E360,1))</f>
        <v/>
      </c>
      <c r="Y360" s="101" t="str">
        <f aca="false">IF($E360="","",LEFT($E360,2))</f>
        <v/>
      </c>
      <c r="Z360" s="101" t="str">
        <f aca="false">IF($E360="","",LEFT($E360,3))</f>
        <v/>
      </c>
      <c r="AA360" s="101" t="str">
        <f aca="false">IF($E360="","",LEFT($E360,4))</f>
        <v/>
      </c>
    </row>
    <row r="361" customFormat="false" ht="15" hidden="false" customHeight="true" outlineLevel="0" collapsed="false">
      <c r="A361" s="484" t="str">
        <f aca="false">IF(DITARI!$D365="","",ROW()-1)</f>
        <v/>
      </c>
      <c r="B361" s="485" t="str">
        <f aca="false">IF(DITARI!$D365="","",DITARI!$A365)</f>
        <v/>
      </c>
      <c r="C361" s="484" t="str">
        <f aca="false">IF(DITARI!$D365="","",DITARI!$B365)</f>
        <v/>
      </c>
      <c r="D361" s="484" t="str">
        <f aca="false">IF(DITARI!$D365="","",DITARI!$C365)</f>
        <v/>
      </c>
      <c r="E361" s="484" t="str">
        <f aca="false">IF(DITARI!$D365="","",TRIM(DITARI!$D365&amp;""))</f>
        <v/>
      </c>
      <c r="F361" s="484" t="str">
        <f aca="false">IF($E361="","",IFERROR(VLOOKUP($E361,PLANI_LLOGARIVE!$A:$I,2,FALSE()),DITARI!$E365))</f>
        <v/>
      </c>
      <c r="G361" s="484" t="str">
        <f aca="false">IF($E361="","",DITARI!$I365)</f>
        <v/>
      </c>
      <c r="H361" s="484" t="str">
        <f aca="false">IFERROR(IF($E361="","",DITARI!$H365),"")</f>
        <v/>
      </c>
      <c r="I361" s="487" t="n">
        <f aca="false">IF($E361="",0,IFERROR(DITARI!$F365,0))</f>
        <v>0</v>
      </c>
      <c r="J361" s="487" t="n">
        <f aca="false">IF($E361="",0,IFERROR(DITARI!$G365,0))</f>
        <v>0</v>
      </c>
      <c r="K361" s="484" t="str">
        <f aca="false">IF($E361="","",IFERROR(VLOOKUP($E361,PLANI_LLOGARIVE!$A:$I,9,FALSE()),""))</f>
        <v/>
      </c>
      <c r="L361" s="487" t="str">
        <f aca="false">IF($E361="","",$I361-$J361)</f>
        <v/>
      </c>
      <c r="M361" s="484" t="str">
        <f aca="false">IF($E361="","",IF($I361&gt;0,"DEBIT",IF($J361&gt;0,"KREDIT","ZERO")))</f>
        <v/>
      </c>
      <c r="N361" s="484" t="str">
        <f aca="false">IF($E361="","",TEXT($B361,"yyyymmdd")&amp;"-"&amp;TEXT(ROW(),"0000"))</f>
        <v/>
      </c>
      <c r="O361" s="101" t="str">
        <f aca="false">IF($E361="","",$E361&amp;"")</f>
        <v/>
      </c>
      <c r="P361" s="101" t="str">
        <f aca="false">IF(AND($O361&lt;&gt;"",$I361&lt;&gt;0),COUNTIFS($O$2:O361,$O361,$I$2:I361,"&gt;0"),"")</f>
        <v/>
      </c>
      <c r="Q361" s="101" t="str">
        <f aca="false">IF(AND($O361&lt;&gt;"",$J361&lt;&gt;0),COUNTIFS($O$2:O361,$O361,$J$2:J361,"&gt;0"),"")</f>
        <v/>
      </c>
      <c r="R361" s="101" t="str">
        <f aca="false">IF($P361="","",$O361&amp;"|"&amp;$P361)</f>
        <v/>
      </c>
      <c r="S361" s="101" t="str">
        <f aca="false">IF($Q361="","",$O361&amp;"|"&amp;$Q361)</f>
        <v/>
      </c>
      <c r="T361" s="101" t="str">
        <f aca="false">IF($O361="","",COUNTIF($O$2:O361,$O361))</f>
        <v/>
      </c>
      <c r="U361" s="101" t="str">
        <f aca="false">IF($O361="","",$O361&amp;"|"&amp;$T361)</f>
        <v/>
      </c>
      <c r="V361" s="488" t="n">
        <f aca="false">IF(OR(LEFT($D361,5)="MB-CL",LEFT($D361,6)="MB-RES"),0,$I361)</f>
        <v>0</v>
      </c>
      <c r="W361" s="488" t="n">
        <f aca="false">IF(OR(LEFT($D361,5)="MB-CL",LEFT($D361,6)="MB-RES"),0,$J361)</f>
        <v>0</v>
      </c>
      <c r="X361" s="101" t="str">
        <f aca="false">IF($E361="","",LEFT($E361,1))</f>
        <v/>
      </c>
      <c r="Y361" s="101" t="str">
        <f aca="false">IF($E361="","",LEFT($E361,2))</f>
        <v/>
      </c>
      <c r="Z361" s="101" t="str">
        <f aca="false">IF($E361="","",LEFT($E361,3))</f>
        <v/>
      </c>
      <c r="AA361" s="101" t="str">
        <f aca="false">IF($E361="","",LEFT($E361,4))</f>
        <v/>
      </c>
    </row>
    <row r="362" customFormat="false" ht="15" hidden="false" customHeight="true" outlineLevel="0" collapsed="false">
      <c r="A362" s="484" t="str">
        <f aca="false">IF(DITARI!$D366="","",ROW()-1)</f>
        <v/>
      </c>
      <c r="B362" s="485" t="str">
        <f aca="false">IF(DITARI!$D366="","",DITARI!$A366)</f>
        <v/>
      </c>
      <c r="C362" s="484" t="str">
        <f aca="false">IF(DITARI!$D366="","",DITARI!$B366)</f>
        <v/>
      </c>
      <c r="D362" s="484" t="str">
        <f aca="false">IF(DITARI!$D366="","",DITARI!$C366)</f>
        <v/>
      </c>
      <c r="E362" s="484" t="str">
        <f aca="false">IF(DITARI!$D366="","",TRIM(DITARI!$D366&amp;""))</f>
        <v/>
      </c>
      <c r="F362" s="484" t="str">
        <f aca="false">IF($E362="","",IFERROR(VLOOKUP($E362,PLANI_LLOGARIVE!$A:$I,2,FALSE()),DITARI!$E366))</f>
        <v/>
      </c>
      <c r="G362" s="484" t="str">
        <f aca="false">IF($E362="","",DITARI!$I366)</f>
        <v/>
      </c>
      <c r="H362" s="484" t="str">
        <f aca="false">IFERROR(IF($E362="","",DITARI!$H366),"")</f>
        <v/>
      </c>
      <c r="I362" s="487" t="n">
        <f aca="false">IF($E362="",0,IFERROR(DITARI!$F366,0))</f>
        <v>0</v>
      </c>
      <c r="J362" s="487" t="n">
        <f aca="false">IF($E362="",0,IFERROR(DITARI!$G366,0))</f>
        <v>0</v>
      </c>
      <c r="K362" s="484" t="str">
        <f aca="false">IF($E362="","",IFERROR(VLOOKUP($E362,PLANI_LLOGARIVE!$A:$I,9,FALSE()),""))</f>
        <v/>
      </c>
      <c r="L362" s="487" t="str">
        <f aca="false">IF($E362="","",$I362-$J362)</f>
        <v/>
      </c>
      <c r="M362" s="484" t="str">
        <f aca="false">IF($E362="","",IF($I362&gt;0,"DEBIT",IF($J362&gt;0,"KREDIT","ZERO")))</f>
        <v/>
      </c>
      <c r="N362" s="484" t="str">
        <f aca="false">IF($E362="","",TEXT($B362,"yyyymmdd")&amp;"-"&amp;TEXT(ROW(),"0000"))</f>
        <v/>
      </c>
      <c r="O362" s="101" t="str">
        <f aca="false">IF($E362="","",$E362&amp;"")</f>
        <v/>
      </c>
      <c r="P362" s="101" t="str">
        <f aca="false">IF(AND($O362&lt;&gt;"",$I362&lt;&gt;0),COUNTIFS($O$2:O362,$O362,$I$2:I362,"&gt;0"),"")</f>
        <v/>
      </c>
      <c r="Q362" s="101" t="str">
        <f aca="false">IF(AND($O362&lt;&gt;"",$J362&lt;&gt;0),COUNTIFS($O$2:O362,$O362,$J$2:J362,"&gt;0"),"")</f>
        <v/>
      </c>
      <c r="R362" s="101" t="str">
        <f aca="false">IF($P362="","",$O362&amp;"|"&amp;$P362)</f>
        <v/>
      </c>
      <c r="S362" s="101" t="str">
        <f aca="false">IF($Q362="","",$O362&amp;"|"&amp;$Q362)</f>
        <v/>
      </c>
      <c r="T362" s="101" t="str">
        <f aca="false">IF($O362="","",COUNTIF($O$2:O362,$O362))</f>
        <v/>
      </c>
      <c r="U362" s="101" t="str">
        <f aca="false">IF($O362="","",$O362&amp;"|"&amp;$T362)</f>
        <v/>
      </c>
      <c r="V362" s="488" t="n">
        <f aca="false">IF(OR(LEFT($D362,5)="MB-CL",LEFT($D362,6)="MB-RES"),0,$I362)</f>
        <v>0</v>
      </c>
      <c r="W362" s="488" t="n">
        <f aca="false">IF(OR(LEFT($D362,5)="MB-CL",LEFT($D362,6)="MB-RES"),0,$J362)</f>
        <v>0</v>
      </c>
      <c r="X362" s="101" t="str">
        <f aca="false">IF($E362="","",LEFT($E362,1))</f>
        <v/>
      </c>
      <c r="Y362" s="101" t="str">
        <f aca="false">IF($E362="","",LEFT($E362,2))</f>
        <v/>
      </c>
      <c r="Z362" s="101" t="str">
        <f aca="false">IF($E362="","",LEFT($E362,3))</f>
        <v/>
      </c>
      <c r="AA362" s="101" t="str">
        <f aca="false">IF($E362="","",LEFT($E362,4))</f>
        <v/>
      </c>
    </row>
    <row r="363" customFormat="false" ht="15" hidden="false" customHeight="true" outlineLevel="0" collapsed="false">
      <c r="A363" s="484" t="str">
        <f aca="false">IF(DITARI!$D367="","",ROW()-1)</f>
        <v/>
      </c>
      <c r="B363" s="485" t="str">
        <f aca="false">IF(DITARI!$D367="","",DITARI!$A367)</f>
        <v/>
      </c>
      <c r="C363" s="484" t="str">
        <f aca="false">IF(DITARI!$D367="","",DITARI!$B367)</f>
        <v/>
      </c>
      <c r="D363" s="484" t="str">
        <f aca="false">IF(DITARI!$D367="","",DITARI!$C367)</f>
        <v/>
      </c>
      <c r="E363" s="484" t="str">
        <f aca="false">IF(DITARI!$D367="","",TRIM(DITARI!$D367&amp;""))</f>
        <v/>
      </c>
      <c r="F363" s="484" t="str">
        <f aca="false">IF($E363="","",IFERROR(VLOOKUP($E363,PLANI_LLOGARIVE!$A:$I,2,FALSE()),DITARI!$E367))</f>
        <v/>
      </c>
      <c r="G363" s="484" t="str">
        <f aca="false">IF($E363="","",DITARI!$I367)</f>
        <v/>
      </c>
      <c r="H363" s="484" t="str">
        <f aca="false">IFERROR(IF($E363="","",DITARI!$H367),"")</f>
        <v/>
      </c>
      <c r="I363" s="487" t="n">
        <f aca="false">IF($E363="",0,IFERROR(DITARI!$F367,0))</f>
        <v>0</v>
      </c>
      <c r="J363" s="487" t="n">
        <f aca="false">IF($E363="",0,IFERROR(DITARI!$G367,0))</f>
        <v>0</v>
      </c>
      <c r="K363" s="484" t="str">
        <f aca="false">IF($E363="","",IFERROR(VLOOKUP($E363,PLANI_LLOGARIVE!$A:$I,9,FALSE()),""))</f>
        <v/>
      </c>
      <c r="L363" s="487" t="str">
        <f aca="false">IF($E363="","",$I363-$J363)</f>
        <v/>
      </c>
      <c r="M363" s="484" t="str">
        <f aca="false">IF($E363="","",IF($I363&gt;0,"DEBIT",IF($J363&gt;0,"KREDIT","ZERO")))</f>
        <v/>
      </c>
      <c r="N363" s="484" t="str">
        <f aca="false">IF($E363="","",TEXT($B363,"yyyymmdd")&amp;"-"&amp;TEXT(ROW(),"0000"))</f>
        <v/>
      </c>
      <c r="O363" s="101" t="str">
        <f aca="false">IF($E363="","",$E363&amp;"")</f>
        <v/>
      </c>
      <c r="P363" s="101" t="str">
        <f aca="false">IF(AND($O363&lt;&gt;"",$I363&lt;&gt;0),COUNTIFS($O$2:O363,$O363,$I$2:I363,"&gt;0"),"")</f>
        <v/>
      </c>
      <c r="Q363" s="101" t="str">
        <f aca="false">IF(AND($O363&lt;&gt;"",$J363&lt;&gt;0),COUNTIFS($O$2:O363,$O363,$J$2:J363,"&gt;0"),"")</f>
        <v/>
      </c>
      <c r="R363" s="101" t="str">
        <f aca="false">IF($P363="","",$O363&amp;"|"&amp;$P363)</f>
        <v/>
      </c>
      <c r="S363" s="101" t="str">
        <f aca="false">IF($Q363="","",$O363&amp;"|"&amp;$Q363)</f>
        <v/>
      </c>
      <c r="T363" s="101" t="str">
        <f aca="false">IF($O363="","",COUNTIF($O$2:O363,$O363))</f>
        <v/>
      </c>
      <c r="U363" s="101" t="str">
        <f aca="false">IF($O363="","",$O363&amp;"|"&amp;$T363)</f>
        <v/>
      </c>
      <c r="V363" s="488" t="n">
        <f aca="false">IF(OR(LEFT($D363,5)="MB-CL",LEFT($D363,6)="MB-RES"),0,$I363)</f>
        <v>0</v>
      </c>
      <c r="W363" s="488" t="n">
        <f aca="false">IF(OR(LEFT($D363,5)="MB-CL",LEFT($D363,6)="MB-RES"),0,$J363)</f>
        <v>0</v>
      </c>
      <c r="X363" s="101" t="str">
        <f aca="false">IF($E363="","",LEFT($E363,1))</f>
        <v/>
      </c>
      <c r="Y363" s="101" t="str">
        <f aca="false">IF($E363="","",LEFT($E363,2))</f>
        <v/>
      </c>
      <c r="Z363" s="101" t="str">
        <f aca="false">IF($E363="","",LEFT($E363,3))</f>
        <v/>
      </c>
      <c r="AA363" s="101" t="str">
        <f aca="false">IF($E363="","",LEFT($E363,4))</f>
        <v/>
      </c>
    </row>
    <row r="364" customFormat="false" ht="15" hidden="false" customHeight="true" outlineLevel="0" collapsed="false">
      <c r="A364" s="484" t="str">
        <f aca="false">IF(DITARI!$D368="","",ROW()-1)</f>
        <v/>
      </c>
      <c r="B364" s="485" t="str">
        <f aca="false">IF(DITARI!$D368="","",DITARI!$A368)</f>
        <v/>
      </c>
      <c r="C364" s="484" t="str">
        <f aca="false">IF(DITARI!$D368="","",DITARI!$B368)</f>
        <v/>
      </c>
      <c r="D364" s="484" t="str">
        <f aca="false">IF(DITARI!$D368="","",DITARI!$C368)</f>
        <v/>
      </c>
      <c r="E364" s="484" t="str">
        <f aca="false">IF(DITARI!$D368="","",TRIM(DITARI!$D368&amp;""))</f>
        <v/>
      </c>
      <c r="F364" s="484" t="str">
        <f aca="false">IF($E364="","",IFERROR(VLOOKUP($E364,PLANI_LLOGARIVE!$A:$I,2,FALSE()),DITARI!$E368))</f>
        <v/>
      </c>
      <c r="G364" s="484" t="str">
        <f aca="false">IF($E364="","",DITARI!$I368)</f>
        <v/>
      </c>
      <c r="H364" s="484" t="str">
        <f aca="false">IFERROR(IF($E364="","",DITARI!$H368),"")</f>
        <v/>
      </c>
      <c r="I364" s="487" t="n">
        <f aca="false">IF($E364="",0,IFERROR(DITARI!$F368,0))</f>
        <v>0</v>
      </c>
      <c r="J364" s="487" t="n">
        <f aca="false">IF($E364="",0,IFERROR(DITARI!$G368,0))</f>
        <v>0</v>
      </c>
      <c r="K364" s="484" t="str">
        <f aca="false">IF($E364="","",IFERROR(VLOOKUP($E364,PLANI_LLOGARIVE!$A:$I,9,FALSE()),""))</f>
        <v/>
      </c>
      <c r="L364" s="487" t="str">
        <f aca="false">IF($E364="","",$I364-$J364)</f>
        <v/>
      </c>
      <c r="M364" s="484" t="str">
        <f aca="false">IF($E364="","",IF($I364&gt;0,"DEBIT",IF($J364&gt;0,"KREDIT","ZERO")))</f>
        <v/>
      </c>
      <c r="N364" s="484" t="str">
        <f aca="false">IF($E364="","",TEXT($B364,"yyyymmdd")&amp;"-"&amp;TEXT(ROW(),"0000"))</f>
        <v/>
      </c>
      <c r="O364" s="101" t="str">
        <f aca="false">IF($E364="","",$E364&amp;"")</f>
        <v/>
      </c>
      <c r="P364" s="101" t="str">
        <f aca="false">IF(AND($O364&lt;&gt;"",$I364&lt;&gt;0),COUNTIFS($O$2:O364,$O364,$I$2:I364,"&gt;0"),"")</f>
        <v/>
      </c>
      <c r="Q364" s="101" t="str">
        <f aca="false">IF(AND($O364&lt;&gt;"",$J364&lt;&gt;0),COUNTIFS($O$2:O364,$O364,$J$2:J364,"&gt;0"),"")</f>
        <v/>
      </c>
      <c r="R364" s="101" t="str">
        <f aca="false">IF($P364="","",$O364&amp;"|"&amp;$P364)</f>
        <v/>
      </c>
      <c r="S364" s="101" t="str">
        <f aca="false">IF($Q364="","",$O364&amp;"|"&amp;$Q364)</f>
        <v/>
      </c>
      <c r="T364" s="101" t="str">
        <f aca="false">IF($O364="","",COUNTIF($O$2:O364,$O364))</f>
        <v/>
      </c>
      <c r="U364" s="101" t="str">
        <f aca="false">IF($O364="","",$O364&amp;"|"&amp;$T364)</f>
        <v/>
      </c>
      <c r="V364" s="488" t="n">
        <f aca="false">IF(OR(LEFT($D364,5)="MB-CL",LEFT($D364,6)="MB-RES"),0,$I364)</f>
        <v>0</v>
      </c>
      <c r="W364" s="488" t="n">
        <f aca="false">IF(OR(LEFT($D364,5)="MB-CL",LEFT($D364,6)="MB-RES"),0,$J364)</f>
        <v>0</v>
      </c>
      <c r="X364" s="101" t="str">
        <f aca="false">IF($E364="","",LEFT($E364,1))</f>
        <v/>
      </c>
      <c r="Y364" s="101" t="str">
        <f aca="false">IF($E364="","",LEFT($E364,2))</f>
        <v/>
      </c>
      <c r="Z364" s="101" t="str">
        <f aca="false">IF($E364="","",LEFT($E364,3))</f>
        <v/>
      </c>
      <c r="AA364" s="101" t="str">
        <f aca="false">IF($E364="","",LEFT($E364,4))</f>
        <v/>
      </c>
    </row>
    <row r="365" customFormat="false" ht="15" hidden="false" customHeight="true" outlineLevel="0" collapsed="false">
      <c r="A365" s="484" t="str">
        <f aca="false">IF(DITARI!$D369="","",ROW()-1)</f>
        <v/>
      </c>
      <c r="B365" s="485" t="str">
        <f aca="false">IF(DITARI!$D369="","",DITARI!$A369)</f>
        <v/>
      </c>
      <c r="C365" s="484" t="str">
        <f aca="false">IF(DITARI!$D369="","",DITARI!$B369)</f>
        <v/>
      </c>
      <c r="D365" s="484" t="str">
        <f aca="false">IF(DITARI!$D369="","",DITARI!$C369)</f>
        <v/>
      </c>
      <c r="E365" s="484" t="str">
        <f aca="false">IF(DITARI!$D369="","",TRIM(DITARI!$D369&amp;""))</f>
        <v/>
      </c>
      <c r="F365" s="484" t="str">
        <f aca="false">IF($E365="","",IFERROR(VLOOKUP($E365,PLANI_LLOGARIVE!$A:$I,2,FALSE()),DITARI!$E369))</f>
        <v/>
      </c>
      <c r="G365" s="484" t="str">
        <f aca="false">IF($E365="","",DITARI!$I369)</f>
        <v/>
      </c>
      <c r="H365" s="484" t="str">
        <f aca="false">IFERROR(IF($E365="","",DITARI!$H369),"")</f>
        <v/>
      </c>
      <c r="I365" s="487" t="n">
        <f aca="false">IF($E365="",0,IFERROR(DITARI!$F369,0))</f>
        <v>0</v>
      </c>
      <c r="J365" s="487" t="n">
        <f aca="false">IF($E365="",0,IFERROR(DITARI!$G369,0))</f>
        <v>0</v>
      </c>
      <c r="K365" s="484" t="str">
        <f aca="false">IF($E365="","",IFERROR(VLOOKUP($E365,PLANI_LLOGARIVE!$A:$I,9,FALSE()),""))</f>
        <v/>
      </c>
      <c r="L365" s="487" t="str">
        <f aca="false">IF($E365="","",$I365-$J365)</f>
        <v/>
      </c>
      <c r="M365" s="484" t="str">
        <f aca="false">IF($E365="","",IF($I365&gt;0,"DEBIT",IF($J365&gt;0,"KREDIT","ZERO")))</f>
        <v/>
      </c>
      <c r="N365" s="484" t="str">
        <f aca="false">IF($E365="","",TEXT($B365,"yyyymmdd")&amp;"-"&amp;TEXT(ROW(),"0000"))</f>
        <v/>
      </c>
      <c r="O365" s="101" t="str">
        <f aca="false">IF($E365="","",$E365&amp;"")</f>
        <v/>
      </c>
      <c r="P365" s="101" t="str">
        <f aca="false">IF(AND($O365&lt;&gt;"",$I365&lt;&gt;0),COUNTIFS($O$2:O365,$O365,$I$2:I365,"&gt;0"),"")</f>
        <v/>
      </c>
      <c r="Q365" s="101" t="str">
        <f aca="false">IF(AND($O365&lt;&gt;"",$J365&lt;&gt;0),COUNTIFS($O$2:O365,$O365,$J$2:J365,"&gt;0"),"")</f>
        <v/>
      </c>
      <c r="R365" s="101" t="str">
        <f aca="false">IF($P365="","",$O365&amp;"|"&amp;$P365)</f>
        <v/>
      </c>
      <c r="S365" s="101" t="str">
        <f aca="false">IF($Q365="","",$O365&amp;"|"&amp;$Q365)</f>
        <v/>
      </c>
      <c r="T365" s="101" t="str">
        <f aca="false">IF($O365="","",COUNTIF($O$2:O365,$O365))</f>
        <v/>
      </c>
      <c r="U365" s="101" t="str">
        <f aca="false">IF($O365="","",$O365&amp;"|"&amp;$T365)</f>
        <v/>
      </c>
      <c r="V365" s="488" t="n">
        <f aca="false">IF(OR(LEFT($D365,5)="MB-CL",LEFT($D365,6)="MB-RES"),0,$I365)</f>
        <v>0</v>
      </c>
      <c r="W365" s="488" t="n">
        <f aca="false">IF(OR(LEFT($D365,5)="MB-CL",LEFT($D365,6)="MB-RES"),0,$J365)</f>
        <v>0</v>
      </c>
      <c r="X365" s="101" t="str">
        <f aca="false">IF($E365="","",LEFT($E365,1))</f>
        <v/>
      </c>
      <c r="Y365" s="101" t="str">
        <f aca="false">IF($E365="","",LEFT($E365,2))</f>
        <v/>
      </c>
      <c r="Z365" s="101" t="str">
        <f aca="false">IF($E365="","",LEFT($E365,3))</f>
        <v/>
      </c>
      <c r="AA365" s="101" t="str">
        <f aca="false">IF($E365="","",LEFT($E365,4))</f>
        <v/>
      </c>
    </row>
    <row r="366" customFormat="false" ht="15" hidden="false" customHeight="true" outlineLevel="0" collapsed="false">
      <c r="A366" s="484" t="str">
        <f aca="false">IF(DITARI!$D370="","",ROW()-1)</f>
        <v/>
      </c>
      <c r="B366" s="485" t="str">
        <f aca="false">IF(DITARI!$D370="","",DITARI!$A370)</f>
        <v/>
      </c>
      <c r="C366" s="484" t="str">
        <f aca="false">IF(DITARI!$D370="","",DITARI!$B370)</f>
        <v/>
      </c>
      <c r="D366" s="484" t="str">
        <f aca="false">IF(DITARI!$D370="","",DITARI!$C370)</f>
        <v/>
      </c>
      <c r="E366" s="484" t="str">
        <f aca="false">IF(DITARI!$D370="","",TRIM(DITARI!$D370&amp;""))</f>
        <v/>
      </c>
      <c r="F366" s="484" t="str">
        <f aca="false">IF($E366="","",IFERROR(VLOOKUP($E366,PLANI_LLOGARIVE!$A:$I,2,FALSE()),DITARI!$E370))</f>
        <v/>
      </c>
      <c r="G366" s="484" t="str">
        <f aca="false">IF($E366="","",DITARI!$I370)</f>
        <v/>
      </c>
      <c r="H366" s="484" t="str">
        <f aca="false">IFERROR(IF($E366="","",DITARI!$H370),"")</f>
        <v/>
      </c>
      <c r="I366" s="487" t="n">
        <f aca="false">IF($E366="",0,IFERROR(DITARI!$F370,0))</f>
        <v>0</v>
      </c>
      <c r="J366" s="487" t="n">
        <f aca="false">IF($E366="",0,IFERROR(DITARI!$G370,0))</f>
        <v>0</v>
      </c>
      <c r="K366" s="484" t="str">
        <f aca="false">IF($E366="","",IFERROR(VLOOKUP($E366,PLANI_LLOGARIVE!$A:$I,9,FALSE()),""))</f>
        <v/>
      </c>
      <c r="L366" s="487" t="str">
        <f aca="false">IF($E366="","",$I366-$J366)</f>
        <v/>
      </c>
      <c r="M366" s="484" t="str">
        <f aca="false">IF($E366="","",IF($I366&gt;0,"DEBIT",IF($J366&gt;0,"KREDIT","ZERO")))</f>
        <v/>
      </c>
      <c r="N366" s="484" t="str">
        <f aca="false">IF($E366="","",TEXT($B366,"yyyymmdd")&amp;"-"&amp;TEXT(ROW(),"0000"))</f>
        <v/>
      </c>
      <c r="O366" s="101" t="str">
        <f aca="false">IF($E366="","",$E366&amp;"")</f>
        <v/>
      </c>
      <c r="P366" s="101" t="str">
        <f aca="false">IF(AND($O366&lt;&gt;"",$I366&lt;&gt;0),COUNTIFS($O$2:O366,$O366,$I$2:I366,"&gt;0"),"")</f>
        <v/>
      </c>
      <c r="Q366" s="101" t="str">
        <f aca="false">IF(AND($O366&lt;&gt;"",$J366&lt;&gt;0),COUNTIFS($O$2:O366,$O366,$J$2:J366,"&gt;0"),"")</f>
        <v/>
      </c>
      <c r="R366" s="101" t="str">
        <f aca="false">IF($P366="","",$O366&amp;"|"&amp;$P366)</f>
        <v/>
      </c>
      <c r="S366" s="101" t="str">
        <f aca="false">IF($Q366="","",$O366&amp;"|"&amp;$Q366)</f>
        <v/>
      </c>
      <c r="T366" s="101" t="str">
        <f aca="false">IF($O366="","",COUNTIF($O$2:O366,$O366))</f>
        <v/>
      </c>
      <c r="U366" s="101" t="str">
        <f aca="false">IF($O366="","",$O366&amp;"|"&amp;$T366)</f>
        <v/>
      </c>
      <c r="V366" s="488" t="n">
        <f aca="false">IF(OR(LEFT($D366,5)="MB-CL",LEFT($D366,6)="MB-RES"),0,$I366)</f>
        <v>0</v>
      </c>
      <c r="W366" s="488" t="n">
        <f aca="false">IF(OR(LEFT($D366,5)="MB-CL",LEFT($D366,6)="MB-RES"),0,$J366)</f>
        <v>0</v>
      </c>
      <c r="X366" s="101" t="str">
        <f aca="false">IF($E366="","",LEFT($E366,1))</f>
        <v/>
      </c>
      <c r="Y366" s="101" t="str">
        <f aca="false">IF($E366="","",LEFT($E366,2))</f>
        <v/>
      </c>
      <c r="Z366" s="101" t="str">
        <f aca="false">IF($E366="","",LEFT($E366,3))</f>
        <v/>
      </c>
      <c r="AA366" s="101" t="str">
        <f aca="false">IF($E366="","",LEFT($E366,4))</f>
        <v/>
      </c>
    </row>
    <row r="367" customFormat="false" ht="15" hidden="false" customHeight="true" outlineLevel="0" collapsed="false">
      <c r="A367" s="484" t="str">
        <f aca="false">IF(DITARI!$D371="","",ROW()-1)</f>
        <v/>
      </c>
      <c r="B367" s="485" t="str">
        <f aca="false">IF(DITARI!$D371="","",DITARI!$A371)</f>
        <v/>
      </c>
      <c r="C367" s="484" t="str">
        <f aca="false">IF(DITARI!$D371="","",DITARI!$B371)</f>
        <v/>
      </c>
      <c r="D367" s="484" t="str">
        <f aca="false">IF(DITARI!$D371="","",DITARI!$C371)</f>
        <v/>
      </c>
      <c r="E367" s="484" t="str">
        <f aca="false">IF(DITARI!$D371="","",TRIM(DITARI!$D371&amp;""))</f>
        <v/>
      </c>
      <c r="F367" s="484" t="str">
        <f aca="false">IF($E367="","",IFERROR(VLOOKUP($E367,PLANI_LLOGARIVE!$A:$I,2,FALSE()),DITARI!$E371))</f>
        <v/>
      </c>
      <c r="G367" s="484" t="str">
        <f aca="false">IF($E367="","",DITARI!$I371)</f>
        <v/>
      </c>
      <c r="H367" s="484" t="str">
        <f aca="false">IFERROR(IF($E367="","",DITARI!$H371),"")</f>
        <v/>
      </c>
      <c r="I367" s="487" t="n">
        <f aca="false">IF($E367="",0,IFERROR(DITARI!$F371,0))</f>
        <v>0</v>
      </c>
      <c r="J367" s="487" t="n">
        <f aca="false">IF($E367="",0,IFERROR(DITARI!$G371,0))</f>
        <v>0</v>
      </c>
      <c r="K367" s="484" t="str">
        <f aca="false">IF($E367="","",IFERROR(VLOOKUP($E367,PLANI_LLOGARIVE!$A:$I,9,FALSE()),""))</f>
        <v/>
      </c>
      <c r="L367" s="487" t="str">
        <f aca="false">IF($E367="","",$I367-$J367)</f>
        <v/>
      </c>
      <c r="M367" s="484" t="str">
        <f aca="false">IF($E367="","",IF($I367&gt;0,"DEBIT",IF($J367&gt;0,"KREDIT","ZERO")))</f>
        <v/>
      </c>
      <c r="N367" s="484" t="str">
        <f aca="false">IF($E367="","",TEXT($B367,"yyyymmdd")&amp;"-"&amp;TEXT(ROW(),"0000"))</f>
        <v/>
      </c>
      <c r="O367" s="101" t="str">
        <f aca="false">IF($E367="","",$E367&amp;"")</f>
        <v/>
      </c>
      <c r="P367" s="101" t="str">
        <f aca="false">IF(AND($O367&lt;&gt;"",$I367&lt;&gt;0),COUNTIFS($O$2:O367,$O367,$I$2:I367,"&gt;0"),"")</f>
        <v/>
      </c>
      <c r="Q367" s="101" t="str">
        <f aca="false">IF(AND($O367&lt;&gt;"",$J367&lt;&gt;0),COUNTIFS($O$2:O367,$O367,$J$2:J367,"&gt;0"),"")</f>
        <v/>
      </c>
      <c r="R367" s="101" t="str">
        <f aca="false">IF($P367="","",$O367&amp;"|"&amp;$P367)</f>
        <v/>
      </c>
      <c r="S367" s="101" t="str">
        <f aca="false">IF($Q367="","",$O367&amp;"|"&amp;$Q367)</f>
        <v/>
      </c>
      <c r="T367" s="101" t="str">
        <f aca="false">IF($O367="","",COUNTIF($O$2:O367,$O367))</f>
        <v/>
      </c>
      <c r="U367" s="101" t="str">
        <f aca="false">IF($O367="","",$O367&amp;"|"&amp;$T367)</f>
        <v/>
      </c>
      <c r="V367" s="488" t="n">
        <f aca="false">IF(OR(LEFT($D367,5)="MB-CL",LEFT($D367,6)="MB-RES"),0,$I367)</f>
        <v>0</v>
      </c>
      <c r="W367" s="488" t="n">
        <f aca="false">IF(OR(LEFT($D367,5)="MB-CL",LEFT($D367,6)="MB-RES"),0,$J367)</f>
        <v>0</v>
      </c>
      <c r="X367" s="101" t="str">
        <f aca="false">IF($E367="","",LEFT($E367,1))</f>
        <v/>
      </c>
      <c r="Y367" s="101" t="str">
        <f aca="false">IF($E367="","",LEFT($E367,2))</f>
        <v/>
      </c>
      <c r="Z367" s="101" t="str">
        <f aca="false">IF($E367="","",LEFT($E367,3))</f>
        <v/>
      </c>
      <c r="AA367" s="101" t="str">
        <f aca="false">IF($E367="","",LEFT($E367,4))</f>
        <v/>
      </c>
    </row>
    <row r="368" customFormat="false" ht="15" hidden="false" customHeight="true" outlineLevel="0" collapsed="false">
      <c r="A368" s="484" t="str">
        <f aca="false">IF(DITARI!$D372="","",ROW()-1)</f>
        <v/>
      </c>
      <c r="B368" s="485" t="str">
        <f aca="false">IF(DITARI!$D372="","",DITARI!$A372)</f>
        <v/>
      </c>
      <c r="C368" s="484" t="str">
        <f aca="false">IF(DITARI!$D372="","",DITARI!$B372)</f>
        <v/>
      </c>
      <c r="D368" s="484" t="str">
        <f aca="false">IF(DITARI!$D372="","",DITARI!$C372)</f>
        <v/>
      </c>
      <c r="E368" s="484" t="str">
        <f aca="false">IF(DITARI!$D372="","",TRIM(DITARI!$D372&amp;""))</f>
        <v/>
      </c>
      <c r="F368" s="484" t="str">
        <f aca="false">IF($E368="","",IFERROR(VLOOKUP($E368,PLANI_LLOGARIVE!$A:$I,2,FALSE()),DITARI!$E372))</f>
        <v/>
      </c>
      <c r="G368" s="484" t="str">
        <f aca="false">IF($E368="","",DITARI!$I372)</f>
        <v/>
      </c>
      <c r="H368" s="484" t="str">
        <f aca="false">IFERROR(IF($E368="","",DITARI!$H372),"")</f>
        <v/>
      </c>
      <c r="I368" s="487" t="n">
        <f aca="false">IF($E368="",0,IFERROR(DITARI!$F372,0))</f>
        <v>0</v>
      </c>
      <c r="J368" s="487" t="n">
        <f aca="false">IF($E368="",0,IFERROR(DITARI!$G372,0))</f>
        <v>0</v>
      </c>
      <c r="K368" s="484" t="str">
        <f aca="false">IF($E368="","",IFERROR(VLOOKUP($E368,PLANI_LLOGARIVE!$A:$I,9,FALSE()),""))</f>
        <v/>
      </c>
      <c r="L368" s="487" t="str">
        <f aca="false">IF($E368="","",$I368-$J368)</f>
        <v/>
      </c>
      <c r="M368" s="484" t="str">
        <f aca="false">IF($E368="","",IF($I368&gt;0,"DEBIT",IF($J368&gt;0,"KREDIT","ZERO")))</f>
        <v/>
      </c>
      <c r="N368" s="484" t="str">
        <f aca="false">IF($E368="","",TEXT($B368,"yyyymmdd")&amp;"-"&amp;TEXT(ROW(),"0000"))</f>
        <v/>
      </c>
      <c r="O368" s="101" t="str">
        <f aca="false">IF($E368="","",$E368&amp;"")</f>
        <v/>
      </c>
      <c r="P368" s="101" t="str">
        <f aca="false">IF(AND($O368&lt;&gt;"",$I368&lt;&gt;0),COUNTIFS($O$2:O368,$O368,$I$2:I368,"&gt;0"),"")</f>
        <v/>
      </c>
      <c r="Q368" s="101" t="str">
        <f aca="false">IF(AND($O368&lt;&gt;"",$J368&lt;&gt;0),COUNTIFS($O$2:O368,$O368,$J$2:J368,"&gt;0"),"")</f>
        <v/>
      </c>
      <c r="R368" s="101" t="str">
        <f aca="false">IF($P368="","",$O368&amp;"|"&amp;$P368)</f>
        <v/>
      </c>
      <c r="S368" s="101" t="str">
        <f aca="false">IF($Q368="","",$O368&amp;"|"&amp;$Q368)</f>
        <v/>
      </c>
      <c r="T368" s="101" t="str">
        <f aca="false">IF($O368="","",COUNTIF($O$2:O368,$O368))</f>
        <v/>
      </c>
      <c r="U368" s="101" t="str">
        <f aca="false">IF($O368="","",$O368&amp;"|"&amp;$T368)</f>
        <v/>
      </c>
      <c r="V368" s="488" t="n">
        <f aca="false">IF(OR(LEFT($D368,5)="MB-CL",LEFT($D368,6)="MB-RES"),0,$I368)</f>
        <v>0</v>
      </c>
      <c r="W368" s="488" t="n">
        <f aca="false">IF(OR(LEFT($D368,5)="MB-CL",LEFT($D368,6)="MB-RES"),0,$J368)</f>
        <v>0</v>
      </c>
      <c r="X368" s="101" t="str">
        <f aca="false">IF($E368="","",LEFT($E368,1))</f>
        <v/>
      </c>
      <c r="Y368" s="101" t="str">
        <f aca="false">IF($E368="","",LEFT($E368,2))</f>
        <v/>
      </c>
      <c r="Z368" s="101" t="str">
        <f aca="false">IF($E368="","",LEFT($E368,3))</f>
        <v/>
      </c>
      <c r="AA368" s="101" t="str">
        <f aca="false">IF($E368="","",LEFT($E368,4))</f>
        <v/>
      </c>
    </row>
    <row r="369" customFormat="false" ht="15" hidden="false" customHeight="true" outlineLevel="0" collapsed="false">
      <c r="A369" s="484" t="str">
        <f aca="false">IF(DITARI!$D373="","",ROW()-1)</f>
        <v/>
      </c>
      <c r="B369" s="485" t="str">
        <f aca="false">IF(DITARI!$D373="","",DITARI!$A373)</f>
        <v/>
      </c>
      <c r="C369" s="484" t="str">
        <f aca="false">IF(DITARI!$D373="","",DITARI!$B373)</f>
        <v/>
      </c>
      <c r="D369" s="484" t="str">
        <f aca="false">IF(DITARI!$D373="","",DITARI!$C373)</f>
        <v/>
      </c>
      <c r="E369" s="484" t="str">
        <f aca="false">IF(DITARI!$D373="","",TRIM(DITARI!$D373&amp;""))</f>
        <v/>
      </c>
      <c r="F369" s="484" t="str">
        <f aca="false">IF($E369="","",IFERROR(VLOOKUP($E369,PLANI_LLOGARIVE!$A:$I,2,FALSE()),DITARI!$E373))</f>
        <v/>
      </c>
      <c r="G369" s="484" t="str">
        <f aca="false">IF($E369="","",DITARI!$I373)</f>
        <v/>
      </c>
      <c r="H369" s="484" t="str">
        <f aca="false">IFERROR(IF($E369="","",DITARI!$H373),"")</f>
        <v/>
      </c>
      <c r="I369" s="487" t="n">
        <f aca="false">IF($E369="",0,IFERROR(DITARI!$F373,0))</f>
        <v>0</v>
      </c>
      <c r="J369" s="487" t="n">
        <f aca="false">IF($E369="",0,IFERROR(DITARI!$G373,0))</f>
        <v>0</v>
      </c>
      <c r="K369" s="484" t="str">
        <f aca="false">IF($E369="","",IFERROR(VLOOKUP($E369,PLANI_LLOGARIVE!$A:$I,9,FALSE()),""))</f>
        <v/>
      </c>
      <c r="L369" s="487" t="str">
        <f aca="false">IF($E369="","",$I369-$J369)</f>
        <v/>
      </c>
      <c r="M369" s="484" t="str">
        <f aca="false">IF($E369="","",IF($I369&gt;0,"DEBIT",IF($J369&gt;0,"KREDIT","ZERO")))</f>
        <v/>
      </c>
      <c r="N369" s="484" t="str">
        <f aca="false">IF($E369="","",TEXT($B369,"yyyymmdd")&amp;"-"&amp;TEXT(ROW(),"0000"))</f>
        <v/>
      </c>
      <c r="O369" s="101" t="str">
        <f aca="false">IF($E369="","",$E369&amp;"")</f>
        <v/>
      </c>
      <c r="P369" s="101" t="str">
        <f aca="false">IF(AND($O369&lt;&gt;"",$I369&lt;&gt;0),COUNTIFS($O$2:O369,$O369,$I$2:I369,"&gt;0"),"")</f>
        <v/>
      </c>
      <c r="Q369" s="101" t="str">
        <f aca="false">IF(AND($O369&lt;&gt;"",$J369&lt;&gt;0),COUNTIFS($O$2:O369,$O369,$J$2:J369,"&gt;0"),"")</f>
        <v/>
      </c>
      <c r="R369" s="101" t="str">
        <f aca="false">IF($P369="","",$O369&amp;"|"&amp;$P369)</f>
        <v/>
      </c>
      <c r="S369" s="101" t="str">
        <f aca="false">IF($Q369="","",$O369&amp;"|"&amp;$Q369)</f>
        <v/>
      </c>
      <c r="T369" s="101" t="str">
        <f aca="false">IF($O369="","",COUNTIF($O$2:O369,$O369))</f>
        <v/>
      </c>
      <c r="U369" s="101" t="str">
        <f aca="false">IF($O369="","",$O369&amp;"|"&amp;$T369)</f>
        <v/>
      </c>
      <c r="V369" s="488" t="n">
        <f aca="false">IF(OR(LEFT($D369,5)="MB-CL",LEFT($D369,6)="MB-RES"),0,$I369)</f>
        <v>0</v>
      </c>
      <c r="W369" s="488" t="n">
        <f aca="false">IF(OR(LEFT($D369,5)="MB-CL",LEFT($D369,6)="MB-RES"),0,$J369)</f>
        <v>0</v>
      </c>
      <c r="X369" s="101" t="str">
        <f aca="false">IF($E369="","",LEFT($E369,1))</f>
        <v/>
      </c>
      <c r="Y369" s="101" t="str">
        <f aca="false">IF($E369="","",LEFT($E369,2))</f>
        <v/>
      </c>
      <c r="Z369" s="101" t="str">
        <f aca="false">IF($E369="","",LEFT($E369,3))</f>
        <v/>
      </c>
      <c r="AA369" s="101" t="str">
        <f aca="false">IF($E369="","",LEFT($E369,4))</f>
        <v/>
      </c>
    </row>
    <row r="370" customFormat="false" ht="15" hidden="false" customHeight="true" outlineLevel="0" collapsed="false">
      <c r="A370" s="484" t="str">
        <f aca="false">IF(DITARI!$D374="","",ROW()-1)</f>
        <v/>
      </c>
      <c r="B370" s="485" t="str">
        <f aca="false">IF(DITARI!$D374="","",DITARI!$A374)</f>
        <v/>
      </c>
      <c r="C370" s="484" t="str">
        <f aca="false">IF(DITARI!$D374="","",DITARI!$B374)</f>
        <v/>
      </c>
      <c r="D370" s="484" t="str">
        <f aca="false">IF(DITARI!$D374="","",DITARI!$C374)</f>
        <v/>
      </c>
      <c r="E370" s="484" t="str">
        <f aca="false">IF(DITARI!$D374="","",TRIM(DITARI!$D374&amp;""))</f>
        <v/>
      </c>
      <c r="F370" s="484" t="str">
        <f aca="false">IF($E370="","",IFERROR(VLOOKUP($E370,PLANI_LLOGARIVE!$A:$I,2,FALSE()),DITARI!$E374))</f>
        <v/>
      </c>
      <c r="G370" s="484" t="str">
        <f aca="false">IF($E370="","",DITARI!$I374)</f>
        <v/>
      </c>
      <c r="H370" s="484" t="str">
        <f aca="false">IFERROR(IF($E370="","",DITARI!$H374),"")</f>
        <v/>
      </c>
      <c r="I370" s="487" t="n">
        <f aca="false">IF($E370="",0,IFERROR(DITARI!$F374,0))</f>
        <v>0</v>
      </c>
      <c r="J370" s="487" t="n">
        <f aca="false">IF($E370="",0,IFERROR(DITARI!$G374,0))</f>
        <v>0</v>
      </c>
      <c r="K370" s="484" t="str">
        <f aca="false">IF($E370="","",IFERROR(VLOOKUP($E370,PLANI_LLOGARIVE!$A:$I,9,FALSE()),""))</f>
        <v/>
      </c>
      <c r="L370" s="487" t="str">
        <f aca="false">IF($E370="","",$I370-$J370)</f>
        <v/>
      </c>
      <c r="M370" s="484" t="str">
        <f aca="false">IF($E370="","",IF($I370&gt;0,"DEBIT",IF($J370&gt;0,"KREDIT","ZERO")))</f>
        <v/>
      </c>
      <c r="N370" s="484" t="str">
        <f aca="false">IF($E370="","",TEXT($B370,"yyyymmdd")&amp;"-"&amp;TEXT(ROW(),"0000"))</f>
        <v/>
      </c>
      <c r="O370" s="101" t="str">
        <f aca="false">IF($E370="","",$E370&amp;"")</f>
        <v/>
      </c>
      <c r="P370" s="101" t="str">
        <f aca="false">IF(AND($O370&lt;&gt;"",$I370&lt;&gt;0),COUNTIFS($O$2:O370,$O370,$I$2:I370,"&gt;0"),"")</f>
        <v/>
      </c>
      <c r="Q370" s="101" t="str">
        <f aca="false">IF(AND($O370&lt;&gt;"",$J370&lt;&gt;0),COUNTIFS($O$2:O370,$O370,$J$2:J370,"&gt;0"),"")</f>
        <v/>
      </c>
      <c r="R370" s="101" t="str">
        <f aca="false">IF($P370="","",$O370&amp;"|"&amp;$P370)</f>
        <v/>
      </c>
      <c r="S370" s="101" t="str">
        <f aca="false">IF($Q370="","",$O370&amp;"|"&amp;$Q370)</f>
        <v/>
      </c>
      <c r="T370" s="101" t="str">
        <f aca="false">IF($O370="","",COUNTIF($O$2:O370,$O370))</f>
        <v/>
      </c>
      <c r="U370" s="101" t="str">
        <f aca="false">IF($O370="","",$O370&amp;"|"&amp;$T370)</f>
        <v/>
      </c>
      <c r="V370" s="488" t="n">
        <f aca="false">IF(OR(LEFT($D370,5)="MB-CL",LEFT($D370,6)="MB-RES"),0,$I370)</f>
        <v>0</v>
      </c>
      <c r="W370" s="488" t="n">
        <f aca="false">IF(OR(LEFT($D370,5)="MB-CL",LEFT($D370,6)="MB-RES"),0,$J370)</f>
        <v>0</v>
      </c>
      <c r="X370" s="101" t="str">
        <f aca="false">IF($E370="","",LEFT($E370,1))</f>
        <v/>
      </c>
      <c r="Y370" s="101" t="str">
        <f aca="false">IF($E370="","",LEFT($E370,2))</f>
        <v/>
      </c>
      <c r="Z370" s="101" t="str">
        <f aca="false">IF($E370="","",LEFT($E370,3))</f>
        <v/>
      </c>
      <c r="AA370" s="101" t="str">
        <f aca="false">IF($E370="","",LEFT($E370,4))</f>
        <v/>
      </c>
    </row>
    <row r="371" customFormat="false" ht="15" hidden="false" customHeight="true" outlineLevel="0" collapsed="false">
      <c r="A371" s="484" t="str">
        <f aca="false">IF(DITARI!$D375="","",ROW()-1)</f>
        <v/>
      </c>
      <c r="B371" s="485" t="str">
        <f aca="false">IF(DITARI!$D375="","",DITARI!$A375)</f>
        <v/>
      </c>
      <c r="C371" s="484" t="str">
        <f aca="false">IF(DITARI!$D375="","",DITARI!$B375)</f>
        <v/>
      </c>
      <c r="D371" s="484" t="str">
        <f aca="false">IF(DITARI!$D375="","",DITARI!$C375)</f>
        <v/>
      </c>
      <c r="E371" s="484" t="str">
        <f aca="false">IF(DITARI!$D375="","",TRIM(DITARI!$D375&amp;""))</f>
        <v/>
      </c>
      <c r="F371" s="484" t="str">
        <f aca="false">IF($E371="","",IFERROR(VLOOKUP($E371,PLANI_LLOGARIVE!$A:$I,2,FALSE()),DITARI!$E375))</f>
        <v/>
      </c>
      <c r="G371" s="484" t="str">
        <f aca="false">IF($E371="","",DITARI!$I375)</f>
        <v/>
      </c>
      <c r="H371" s="484" t="str">
        <f aca="false">IFERROR(IF($E371="","",DITARI!$H375),"")</f>
        <v/>
      </c>
      <c r="I371" s="487" t="n">
        <f aca="false">IF($E371="",0,IFERROR(DITARI!$F375,0))</f>
        <v>0</v>
      </c>
      <c r="J371" s="487" t="n">
        <f aca="false">IF($E371="",0,IFERROR(DITARI!$G375,0))</f>
        <v>0</v>
      </c>
      <c r="K371" s="484" t="str">
        <f aca="false">IF($E371="","",IFERROR(VLOOKUP($E371,PLANI_LLOGARIVE!$A:$I,9,FALSE()),""))</f>
        <v/>
      </c>
      <c r="L371" s="487" t="str">
        <f aca="false">IF($E371="","",$I371-$J371)</f>
        <v/>
      </c>
      <c r="M371" s="484" t="str">
        <f aca="false">IF($E371="","",IF($I371&gt;0,"DEBIT",IF($J371&gt;0,"KREDIT","ZERO")))</f>
        <v/>
      </c>
      <c r="N371" s="484" t="str">
        <f aca="false">IF($E371="","",TEXT($B371,"yyyymmdd")&amp;"-"&amp;TEXT(ROW(),"0000"))</f>
        <v/>
      </c>
      <c r="O371" s="101" t="str">
        <f aca="false">IF($E371="","",$E371&amp;"")</f>
        <v/>
      </c>
      <c r="P371" s="101" t="str">
        <f aca="false">IF(AND($O371&lt;&gt;"",$I371&lt;&gt;0),COUNTIFS($O$2:O371,$O371,$I$2:I371,"&gt;0"),"")</f>
        <v/>
      </c>
      <c r="Q371" s="101" t="str">
        <f aca="false">IF(AND($O371&lt;&gt;"",$J371&lt;&gt;0),COUNTIFS($O$2:O371,$O371,$J$2:J371,"&gt;0"),"")</f>
        <v/>
      </c>
      <c r="R371" s="101" t="str">
        <f aca="false">IF($P371="","",$O371&amp;"|"&amp;$P371)</f>
        <v/>
      </c>
      <c r="S371" s="101" t="str">
        <f aca="false">IF($Q371="","",$O371&amp;"|"&amp;$Q371)</f>
        <v/>
      </c>
      <c r="T371" s="101" t="str">
        <f aca="false">IF($O371="","",COUNTIF($O$2:O371,$O371))</f>
        <v/>
      </c>
      <c r="U371" s="101" t="str">
        <f aca="false">IF($O371="","",$O371&amp;"|"&amp;$T371)</f>
        <v/>
      </c>
      <c r="V371" s="488" t="n">
        <f aca="false">IF(OR(LEFT($D371,5)="MB-CL",LEFT($D371,6)="MB-RES"),0,$I371)</f>
        <v>0</v>
      </c>
      <c r="W371" s="488" t="n">
        <f aca="false">IF(OR(LEFT($D371,5)="MB-CL",LEFT($D371,6)="MB-RES"),0,$J371)</f>
        <v>0</v>
      </c>
      <c r="X371" s="101" t="str">
        <f aca="false">IF($E371="","",LEFT($E371,1))</f>
        <v/>
      </c>
      <c r="Y371" s="101" t="str">
        <f aca="false">IF($E371="","",LEFT($E371,2))</f>
        <v/>
      </c>
      <c r="Z371" s="101" t="str">
        <f aca="false">IF($E371="","",LEFT($E371,3))</f>
        <v/>
      </c>
      <c r="AA371" s="101" t="str">
        <f aca="false">IF($E371="","",LEFT($E371,4))</f>
        <v/>
      </c>
    </row>
    <row r="372" customFormat="false" ht="15" hidden="false" customHeight="true" outlineLevel="0" collapsed="false">
      <c r="A372" s="484" t="str">
        <f aca="false">IF(DITARI!$D376="","",ROW()-1)</f>
        <v/>
      </c>
      <c r="B372" s="485" t="str">
        <f aca="false">IF(DITARI!$D376="","",DITARI!$A376)</f>
        <v/>
      </c>
      <c r="C372" s="484" t="str">
        <f aca="false">IF(DITARI!$D376="","",DITARI!$B376)</f>
        <v/>
      </c>
      <c r="D372" s="484" t="str">
        <f aca="false">IF(DITARI!$D376="","",DITARI!$C376)</f>
        <v/>
      </c>
      <c r="E372" s="484" t="str">
        <f aca="false">IF(DITARI!$D376="","",TRIM(DITARI!$D376&amp;""))</f>
        <v/>
      </c>
      <c r="F372" s="484" t="str">
        <f aca="false">IF($E372="","",IFERROR(VLOOKUP($E372,PLANI_LLOGARIVE!$A:$I,2,FALSE()),DITARI!$E376))</f>
        <v/>
      </c>
      <c r="G372" s="484" t="str">
        <f aca="false">IF($E372="","",DITARI!$I376)</f>
        <v/>
      </c>
      <c r="H372" s="484" t="str">
        <f aca="false">IFERROR(IF($E372="","",DITARI!$H376),"")</f>
        <v/>
      </c>
      <c r="I372" s="487" t="n">
        <f aca="false">IF($E372="",0,IFERROR(DITARI!$F376,0))</f>
        <v>0</v>
      </c>
      <c r="J372" s="487" t="n">
        <f aca="false">IF($E372="",0,IFERROR(DITARI!$G376,0))</f>
        <v>0</v>
      </c>
      <c r="K372" s="484" t="str">
        <f aca="false">IF($E372="","",IFERROR(VLOOKUP($E372,PLANI_LLOGARIVE!$A:$I,9,FALSE()),""))</f>
        <v/>
      </c>
      <c r="L372" s="487" t="str">
        <f aca="false">IF($E372="","",$I372-$J372)</f>
        <v/>
      </c>
      <c r="M372" s="484" t="str">
        <f aca="false">IF($E372="","",IF($I372&gt;0,"DEBIT",IF($J372&gt;0,"KREDIT","ZERO")))</f>
        <v/>
      </c>
      <c r="N372" s="484" t="str">
        <f aca="false">IF($E372="","",TEXT($B372,"yyyymmdd")&amp;"-"&amp;TEXT(ROW(),"0000"))</f>
        <v/>
      </c>
      <c r="O372" s="101" t="str">
        <f aca="false">IF($E372="","",$E372&amp;"")</f>
        <v/>
      </c>
      <c r="P372" s="101" t="str">
        <f aca="false">IF(AND($O372&lt;&gt;"",$I372&lt;&gt;0),COUNTIFS($O$2:O372,$O372,$I$2:I372,"&gt;0"),"")</f>
        <v/>
      </c>
      <c r="Q372" s="101" t="str">
        <f aca="false">IF(AND($O372&lt;&gt;"",$J372&lt;&gt;0),COUNTIFS($O$2:O372,$O372,$J$2:J372,"&gt;0"),"")</f>
        <v/>
      </c>
      <c r="R372" s="101" t="str">
        <f aca="false">IF($P372="","",$O372&amp;"|"&amp;$P372)</f>
        <v/>
      </c>
      <c r="S372" s="101" t="str">
        <f aca="false">IF($Q372="","",$O372&amp;"|"&amp;$Q372)</f>
        <v/>
      </c>
      <c r="T372" s="101" t="str">
        <f aca="false">IF($O372="","",COUNTIF($O$2:O372,$O372))</f>
        <v/>
      </c>
      <c r="U372" s="101" t="str">
        <f aca="false">IF($O372="","",$O372&amp;"|"&amp;$T372)</f>
        <v/>
      </c>
      <c r="V372" s="488" t="n">
        <f aca="false">IF(OR(LEFT($D372,5)="MB-CL",LEFT($D372,6)="MB-RES"),0,$I372)</f>
        <v>0</v>
      </c>
      <c r="W372" s="488" t="n">
        <f aca="false">IF(OR(LEFT($D372,5)="MB-CL",LEFT($D372,6)="MB-RES"),0,$J372)</f>
        <v>0</v>
      </c>
      <c r="X372" s="101" t="str">
        <f aca="false">IF($E372="","",LEFT($E372,1))</f>
        <v/>
      </c>
      <c r="Y372" s="101" t="str">
        <f aca="false">IF($E372="","",LEFT($E372,2))</f>
        <v/>
      </c>
      <c r="Z372" s="101" t="str">
        <f aca="false">IF($E372="","",LEFT($E372,3))</f>
        <v/>
      </c>
      <c r="AA372" s="101" t="str">
        <f aca="false">IF($E372="","",LEFT($E372,4))</f>
        <v/>
      </c>
    </row>
    <row r="373" customFormat="false" ht="15" hidden="false" customHeight="true" outlineLevel="0" collapsed="false">
      <c r="A373" s="484" t="str">
        <f aca="false">IF(DITARI!$D377="","",ROW()-1)</f>
        <v/>
      </c>
      <c r="B373" s="485" t="str">
        <f aca="false">IF(DITARI!$D377="","",DITARI!$A377)</f>
        <v/>
      </c>
      <c r="C373" s="484" t="str">
        <f aca="false">IF(DITARI!$D377="","",DITARI!$B377)</f>
        <v/>
      </c>
      <c r="D373" s="484" t="str">
        <f aca="false">IF(DITARI!$D377="","",DITARI!$C377)</f>
        <v/>
      </c>
      <c r="E373" s="484" t="str">
        <f aca="false">IF(DITARI!$D377="","",TRIM(DITARI!$D377&amp;""))</f>
        <v/>
      </c>
      <c r="F373" s="484" t="str">
        <f aca="false">IF($E373="","",IFERROR(VLOOKUP($E373,PLANI_LLOGARIVE!$A:$I,2,FALSE()),DITARI!$E377))</f>
        <v/>
      </c>
      <c r="G373" s="484" t="str">
        <f aca="false">IF($E373="","",DITARI!$I377)</f>
        <v/>
      </c>
      <c r="H373" s="484" t="str">
        <f aca="false">IFERROR(IF($E373="","",DITARI!$H377),"")</f>
        <v/>
      </c>
      <c r="I373" s="487" t="n">
        <f aca="false">IF($E373="",0,IFERROR(DITARI!$F377,0))</f>
        <v>0</v>
      </c>
      <c r="J373" s="487" t="n">
        <f aca="false">IF($E373="",0,IFERROR(DITARI!$G377,0))</f>
        <v>0</v>
      </c>
      <c r="K373" s="484" t="str">
        <f aca="false">IF($E373="","",IFERROR(VLOOKUP($E373,PLANI_LLOGARIVE!$A:$I,9,FALSE()),""))</f>
        <v/>
      </c>
      <c r="L373" s="487" t="str">
        <f aca="false">IF($E373="","",$I373-$J373)</f>
        <v/>
      </c>
      <c r="M373" s="484" t="str">
        <f aca="false">IF($E373="","",IF($I373&gt;0,"DEBIT",IF($J373&gt;0,"KREDIT","ZERO")))</f>
        <v/>
      </c>
      <c r="N373" s="484" t="str">
        <f aca="false">IF($E373="","",TEXT($B373,"yyyymmdd")&amp;"-"&amp;TEXT(ROW(),"0000"))</f>
        <v/>
      </c>
      <c r="O373" s="101" t="str">
        <f aca="false">IF($E373="","",$E373&amp;"")</f>
        <v/>
      </c>
      <c r="P373" s="101" t="str">
        <f aca="false">IF(AND($O373&lt;&gt;"",$I373&lt;&gt;0),COUNTIFS($O$2:O373,$O373,$I$2:I373,"&gt;0"),"")</f>
        <v/>
      </c>
      <c r="Q373" s="101" t="str">
        <f aca="false">IF(AND($O373&lt;&gt;"",$J373&lt;&gt;0),COUNTIFS($O$2:O373,$O373,$J$2:J373,"&gt;0"),"")</f>
        <v/>
      </c>
      <c r="R373" s="101" t="str">
        <f aca="false">IF($P373="","",$O373&amp;"|"&amp;$P373)</f>
        <v/>
      </c>
      <c r="S373" s="101" t="str">
        <f aca="false">IF($Q373="","",$O373&amp;"|"&amp;$Q373)</f>
        <v/>
      </c>
      <c r="T373" s="101" t="str">
        <f aca="false">IF($O373="","",COUNTIF($O$2:O373,$O373))</f>
        <v/>
      </c>
      <c r="U373" s="101" t="str">
        <f aca="false">IF($O373="","",$O373&amp;"|"&amp;$T373)</f>
        <v/>
      </c>
      <c r="V373" s="488" t="n">
        <f aca="false">IF(OR(LEFT($D373,5)="MB-CL",LEFT($D373,6)="MB-RES"),0,$I373)</f>
        <v>0</v>
      </c>
      <c r="W373" s="488" t="n">
        <f aca="false">IF(OR(LEFT($D373,5)="MB-CL",LEFT($D373,6)="MB-RES"),0,$J373)</f>
        <v>0</v>
      </c>
      <c r="X373" s="101" t="str">
        <f aca="false">IF($E373="","",LEFT($E373,1))</f>
        <v/>
      </c>
      <c r="Y373" s="101" t="str">
        <f aca="false">IF($E373="","",LEFT($E373,2))</f>
        <v/>
      </c>
      <c r="Z373" s="101" t="str">
        <f aca="false">IF($E373="","",LEFT($E373,3))</f>
        <v/>
      </c>
      <c r="AA373" s="101" t="str">
        <f aca="false">IF($E373="","",LEFT($E373,4))</f>
        <v/>
      </c>
    </row>
    <row r="374" customFormat="false" ht="15" hidden="false" customHeight="true" outlineLevel="0" collapsed="false">
      <c r="A374" s="484" t="str">
        <f aca="false">IF(DITARI!$D378="","",ROW()-1)</f>
        <v/>
      </c>
      <c r="B374" s="485" t="str">
        <f aca="false">IF(DITARI!$D378="","",DITARI!$A378)</f>
        <v/>
      </c>
      <c r="C374" s="484" t="str">
        <f aca="false">IF(DITARI!$D378="","",DITARI!$B378)</f>
        <v/>
      </c>
      <c r="D374" s="484" t="str">
        <f aca="false">IF(DITARI!$D378="","",DITARI!$C378)</f>
        <v/>
      </c>
      <c r="E374" s="484" t="str">
        <f aca="false">IF(DITARI!$D378="","",TRIM(DITARI!$D378&amp;""))</f>
        <v/>
      </c>
      <c r="F374" s="484" t="str">
        <f aca="false">IF($E374="","",IFERROR(VLOOKUP($E374,PLANI_LLOGARIVE!$A:$I,2,FALSE()),DITARI!$E378))</f>
        <v/>
      </c>
      <c r="G374" s="484" t="str">
        <f aca="false">IF($E374="","",DITARI!$I378)</f>
        <v/>
      </c>
      <c r="H374" s="484" t="str">
        <f aca="false">IFERROR(IF($E374="","",DITARI!$H378),"")</f>
        <v/>
      </c>
      <c r="I374" s="487" t="n">
        <f aca="false">IF($E374="",0,IFERROR(DITARI!$F378,0))</f>
        <v>0</v>
      </c>
      <c r="J374" s="487" t="n">
        <f aca="false">IF($E374="",0,IFERROR(DITARI!$G378,0))</f>
        <v>0</v>
      </c>
      <c r="K374" s="484" t="str">
        <f aca="false">IF($E374="","",IFERROR(VLOOKUP($E374,PLANI_LLOGARIVE!$A:$I,9,FALSE()),""))</f>
        <v/>
      </c>
      <c r="L374" s="487" t="str">
        <f aca="false">IF($E374="","",$I374-$J374)</f>
        <v/>
      </c>
      <c r="M374" s="484" t="str">
        <f aca="false">IF($E374="","",IF($I374&gt;0,"DEBIT",IF($J374&gt;0,"KREDIT","ZERO")))</f>
        <v/>
      </c>
      <c r="N374" s="484" t="str">
        <f aca="false">IF($E374="","",TEXT($B374,"yyyymmdd")&amp;"-"&amp;TEXT(ROW(),"0000"))</f>
        <v/>
      </c>
      <c r="O374" s="101" t="str">
        <f aca="false">IF($E374="","",$E374&amp;"")</f>
        <v/>
      </c>
      <c r="P374" s="101" t="str">
        <f aca="false">IF(AND($O374&lt;&gt;"",$I374&lt;&gt;0),COUNTIFS($O$2:O374,$O374,$I$2:I374,"&gt;0"),"")</f>
        <v/>
      </c>
      <c r="Q374" s="101" t="str">
        <f aca="false">IF(AND($O374&lt;&gt;"",$J374&lt;&gt;0),COUNTIFS($O$2:O374,$O374,$J$2:J374,"&gt;0"),"")</f>
        <v/>
      </c>
      <c r="R374" s="101" t="str">
        <f aca="false">IF($P374="","",$O374&amp;"|"&amp;$P374)</f>
        <v/>
      </c>
      <c r="S374" s="101" t="str">
        <f aca="false">IF($Q374="","",$O374&amp;"|"&amp;$Q374)</f>
        <v/>
      </c>
      <c r="T374" s="101" t="str">
        <f aca="false">IF($O374="","",COUNTIF($O$2:O374,$O374))</f>
        <v/>
      </c>
      <c r="U374" s="101" t="str">
        <f aca="false">IF($O374="","",$O374&amp;"|"&amp;$T374)</f>
        <v/>
      </c>
      <c r="V374" s="488" t="n">
        <f aca="false">IF(OR(LEFT($D374,5)="MB-CL",LEFT($D374,6)="MB-RES"),0,$I374)</f>
        <v>0</v>
      </c>
      <c r="W374" s="488" t="n">
        <f aca="false">IF(OR(LEFT($D374,5)="MB-CL",LEFT($D374,6)="MB-RES"),0,$J374)</f>
        <v>0</v>
      </c>
      <c r="X374" s="101" t="str">
        <f aca="false">IF($E374="","",LEFT($E374,1))</f>
        <v/>
      </c>
      <c r="Y374" s="101" t="str">
        <f aca="false">IF($E374="","",LEFT($E374,2))</f>
        <v/>
      </c>
      <c r="Z374" s="101" t="str">
        <f aca="false">IF($E374="","",LEFT($E374,3))</f>
        <v/>
      </c>
      <c r="AA374" s="101" t="str">
        <f aca="false">IF($E374="","",LEFT($E374,4))</f>
        <v/>
      </c>
    </row>
    <row r="375" customFormat="false" ht="15" hidden="false" customHeight="true" outlineLevel="0" collapsed="false">
      <c r="A375" s="484" t="str">
        <f aca="false">IF(DITARI!$D379="","",ROW()-1)</f>
        <v/>
      </c>
      <c r="B375" s="485" t="str">
        <f aca="false">IF(DITARI!$D379="","",DITARI!$A379)</f>
        <v/>
      </c>
      <c r="C375" s="484" t="str">
        <f aca="false">IF(DITARI!$D379="","",DITARI!$B379)</f>
        <v/>
      </c>
      <c r="D375" s="484" t="str">
        <f aca="false">IF(DITARI!$D379="","",DITARI!$C379)</f>
        <v/>
      </c>
      <c r="E375" s="484" t="str">
        <f aca="false">IF(DITARI!$D379="","",TRIM(DITARI!$D379&amp;""))</f>
        <v/>
      </c>
      <c r="F375" s="484" t="str">
        <f aca="false">IF($E375="","",IFERROR(VLOOKUP($E375,PLANI_LLOGARIVE!$A:$I,2,FALSE()),DITARI!$E379))</f>
        <v/>
      </c>
      <c r="G375" s="484" t="str">
        <f aca="false">IF($E375="","",DITARI!$I379)</f>
        <v/>
      </c>
      <c r="H375" s="484" t="str">
        <f aca="false">IFERROR(IF($E375="","",DITARI!$H379),"")</f>
        <v/>
      </c>
      <c r="I375" s="487" t="n">
        <f aca="false">IF($E375="",0,IFERROR(DITARI!$F379,0))</f>
        <v>0</v>
      </c>
      <c r="J375" s="487" t="n">
        <f aca="false">IF($E375="",0,IFERROR(DITARI!$G379,0))</f>
        <v>0</v>
      </c>
      <c r="K375" s="484" t="str">
        <f aca="false">IF($E375="","",IFERROR(VLOOKUP($E375,PLANI_LLOGARIVE!$A:$I,9,FALSE()),""))</f>
        <v/>
      </c>
      <c r="L375" s="487" t="str">
        <f aca="false">IF($E375="","",$I375-$J375)</f>
        <v/>
      </c>
      <c r="M375" s="484" t="str">
        <f aca="false">IF($E375="","",IF($I375&gt;0,"DEBIT",IF($J375&gt;0,"KREDIT","ZERO")))</f>
        <v/>
      </c>
      <c r="N375" s="484" t="str">
        <f aca="false">IF($E375="","",TEXT($B375,"yyyymmdd")&amp;"-"&amp;TEXT(ROW(),"0000"))</f>
        <v/>
      </c>
      <c r="O375" s="101" t="str">
        <f aca="false">IF($E375="","",$E375&amp;"")</f>
        <v/>
      </c>
      <c r="P375" s="101" t="str">
        <f aca="false">IF(AND($O375&lt;&gt;"",$I375&lt;&gt;0),COUNTIFS($O$2:O375,$O375,$I$2:I375,"&gt;0"),"")</f>
        <v/>
      </c>
      <c r="Q375" s="101" t="str">
        <f aca="false">IF(AND($O375&lt;&gt;"",$J375&lt;&gt;0),COUNTIFS($O$2:O375,$O375,$J$2:J375,"&gt;0"),"")</f>
        <v/>
      </c>
      <c r="R375" s="101" t="str">
        <f aca="false">IF($P375="","",$O375&amp;"|"&amp;$P375)</f>
        <v/>
      </c>
      <c r="S375" s="101" t="str">
        <f aca="false">IF($Q375="","",$O375&amp;"|"&amp;$Q375)</f>
        <v/>
      </c>
      <c r="T375" s="101" t="str">
        <f aca="false">IF($O375="","",COUNTIF($O$2:O375,$O375))</f>
        <v/>
      </c>
      <c r="U375" s="101" t="str">
        <f aca="false">IF($O375="","",$O375&amp;"|"&amp;$T375)</f>
        <v/>
      </c>
      <c r="V375" s="488" t="n">
        <f aca="false">IF(OR(LEFT($D375,5)="MB-CL",LEFT($D375,6)="MB-RES"),0,$I375)</f>
        <v>0</v>
      </c>
      <c r="W375" s="488" t="n">
        <f aca="false">IF(OR(LEFT($D375,5)="MB-CL",LEFT($D375,6)="MB-RES"),0,$J375)</f>
        <v>0</v>
      </c>
      <c r="X375" s="101" t="str">
        <f aca="false">IF($E375="","",LEFT($E375,1))</f>
        <v/>
      </c>
      <c r="Y375" s="101" t="str">
        <f aca="false">IF($E375="","",LEFT($E375,2))</f>
        <v/>
      </c>
      <c r="Z375" s="101" t="str">
        <f aca="false">IF($E375="","",LEFT($E375,3))</f>
        <v/>
      </c>
      <c r="AA375" s="101" t="str">
        <f aca="false">IF($E375="","",LEFT($E375,4))</f>
        <v/>
      </c>
    </row>
    <row r="376" customFormat="false" ht="15" hidden="false" customHeight="true" outlineLevel="0" collapsed="false">
      <c r="A376" s="484" t="str">
        <f aca="false">IF(DITARI!$D380="","",ROW()-1)</f>
        <v/>
      </c>
      <c r="B376" s="485" t="str">
        <f aca="false">IF(DITARI!$D380="","",DITARI!$A380)</f>
        <v/>
      </c>
      <c r="C376" s="484" t="str">
        <f aca="false">IF(DITARI!$D380="","",DITARI!$B380)</f>
        <v/>
      </c>
      <c r="D376" s="484" t="str">
        <f aca="false">IF(DITARI!$D380="","",DITARI!$C380)</f>
        <v/>
      </c>
      <c r="E376" s="484" t="str">
        <f aca="false">IF(DITARI!$D380="","",TRIM(DITARI!$D380&amp;""))</f>
        <v/>
      </c>
      <c r="F376" s="484" t="str">
        <f aca="false">IF($E376="","",IFERROR(VLOOKUP($E376,PLANI_LLOGARIVE!$A:$I,2,FALSE()),DITARI!$E380))</f>
        <v/>
      </c>
      <c r="G376" s="484" t="str">
        <f aca="false">IF($E376="","",DITARI!$I380)</f>
        <v/>
      </c>
      <c r="H376" s="484" t="str">
        <f aca="false">IFERROR(IF($E376="","",DITARI!$H380),"")</f>
        <v/>
      </c>
      <c r="I376" s="487" t="n">
        <f aca="false">IF($E376="",0,IFERROR(DITARI!$F380,0))</f>
        <v>0</v>
      </c>
      <c r="J376" s="487" t="n">
        <f aca="false">IF($E376="",0,IFERROR(DITARI!$G380,0))</f>
        <v>0</v>
      </c>
      <c r="K376" s="484" t="str">
        <f aca="false">IF($E376="","",IFERROR(VLOOKUP($E376,PLANI_LLOGARIVE!$A:$I,9,FALSE()),""))</f>
        <v/>
      </c>
      <c r="L376" s="487" t="str">
        <f aca="false">IF($E376="","",$I376-$J376)</f>
        <v/>
      </c>
      <c r="M376" s="484" t="str">
        <f aca="false">IF($E376="","",IF($I376&gt;0,"DEBIT",IF($J376&gt;0,"KREDIT","ZERO")))</f>
        <v/>
      </c>
      <c r="N376" s="484" t="str">
        <f aca="false">IF($E376="","",TEXT($B376,"yyyymmdd")&amp;"-"&amp;TEXT(ROW(),"0000"))</f>
        <v/>
      </c>
      <c r="O376" s="101" t="str">
        <f aca="false">IF($E376="","",$E376&amp;"")</f>
        <v/>
      </c>
      <c r="P376" s="101" t="str">
        <f aca="false">IF(AND($O376&lt;&gt;"",$I376&lt;&gt;0),COUNTIFS($O$2:O376,$O376,$I$2:I376,"&gt;0"),"")</f>
        <v/>
      </c>
      <c r="Q376" s="101" t="str">
        <f aca="false">IF(AND($O376&lt;&gt;"",$J376&lt;&gt;0),COUNTIFS($O$2:O376,$O376,$J$2:J376,"&gt;0"),"")</f>
        <v/>
      </c>
      <c r="R376" s="101" t="str">
        <f aca="false">IF($P376="","",$O376&amp;"|"&amp;$P376)</f>
        <v/>
      </c>
      <c r="S376" s="101" t="str">
        <f aca="false">IF($Q376="","",$O376&amp;"|"&amp;$Q376)</f>
        <v/>
      </c>
      <c r="T376" s="101" t="str">
        <f aca="false">IF($O376="","",COUNTIF($O$2:O376,$O376))</f>
        <v/>
      </c>
      <c r="U376" s="101" t="str">
        <f aca="false">IF($O376="","",$O376&amp;"|"&amp;$T376)</f>
        <v/>
      </c>
      <c r="V376" s="488" t="n">
        <f aca="false">IF(OR(LEFT($D376,5)="MB-CL",LEFT($D376,6)="MB-RES"),0,$I376)</f>
        <v>0</v>
      </c>
      <c r="W376" s="488" t="n">
        <f aca="false">IF(OR(LEFT($D376,5)="MB-CL",LEFT($D376,6)="MB-RES"),0,$J376)</f>
        <v>0</v>
      </c>
      <c r="X376" s="101" t="str">
        <f aca="false">IF($E376="","",LEFT($E376,1))</f>
        <v/>
      </c>
      <c r="Y376" s="101" t="str">
        <f aca="false">IF($E376="","",LEFT($E376,2))</f>
        <v/>
      </c>
      <c r="Z376" s="101" t="str">
        <f aca="false">IF($E376="","",LEFT($E376,3))</f>
        <v/>
      </c>
      <c r="AA376" s="101" t="str">
        <f aca="false">IF($E376="","",LEFT($E376,4))</f>
        <v/>
      </c>
    </row>
    <row r="377" customFormat="false" ht="15" hidden="false" customHeight="true" outlineLevel="0" collapsed="false">
      <c r="A377" s="484" t="str">
        <f aca="false">IF(DITARI!$D381="","",ROW()-1)</f>
        <v/>
      </c>
      <c r="B377" s="485" t="str">
        <f aca="false">IF(DITARI!$D381="","",DITARI!$A381)</f>
        <v/>
      </c>
      <c r="C377" s="484" t="str">
        <f aca="false">IF(DITARI!$D381="","",DITARI!$B381)</f>
        <v/>
      </c>
      <c r="D377" s="484" t="str">
        <f aca="false">IF(DITARI!$D381="","",DITARI!$C381)</f>
        <v/>
      </c>
      <c r="E377" s="484" t="str">
        <f aca="false">IF(DITARI!$D381="","",TRIM(DITARI!$D381&amp;""))</f>
        <v/>
      </c>
      <c r="F377" s="484" t="str">
        <f aca="false">IF($E377="","",IFERROR(VLOOKUP($E377,PLANI_LLOGARIVE!$A:$I,2,FALSE()),DITARI!$E381))</f>
        <v/>
      </c>
      <c r="G377" s="484" t="str">
        <f aca="false">IF($E377="","",DITARI!$I381)</f>
        <v/>
      </c>
      <c r="H377" s="484" t="str">
        <f aca="false">IFERROR(IF($E377="","",DITARI!$H381),"")</f>
        <v/>
      </c>
      <c r="I377" s="487" t="n">
        <f aca="false">IF($E377="",0,IFERROR(DITARI!$F381,0))</f>
        <v>0</v>
      </c>
      <c r="J377" s="487" t="n">
        <f aca="false">IF($E377="",0,IFERROR(DITARI!$G381,0))</f>
        <v>0</v>
      </c>
      <c r="K377" s="484" t="str">
        <f aca="false">IF($E377="","",IFERROR(VLOOKUP($E377,PLANI_LLOGARIVE!$A:$I,9,FALSE()),""))</f>
        <v/>
      </c>
      <c r="L377" s="487" t="str">
        <f aca="false">IF($E377="","",$I377-$J377)</f>
        <v/>
      </c>
      <c r="M377" s="484" t="str">
        <f aca="false">IF($E377="","",IF($I377&gt;0,"DEBIT",IF($J377&gt;0,"KREDIT","ZERO")))</f>
        <v/>
      </c>
      <c r="N377" s="484" t="str">
        <f aca="false">IF($E377="","",TEXT($B377,"yyyymmdd")&amp;"-"&amp;TEXT(ROW(),"0000"))</f>
        <v/>
      </c>
      <c r="O377" s="101" t="str">
        <f aca="false">IF($E377="","",$E377&amp;"")</f>
        <v/>
      </c>
      <c r="P377" s="101" t="str">
        <f aca="false">IF(AND($O377&lt;&gt;"",$I377&lt;&gt;0),COUNTIFS($O$2:O377,$O377,$I$2:I377,"&gt;0"),"")</f>
        <v/>
      </c>
      <c r="Q377" s="101" t="str">
        <f aca="false">IF(AND($O377&lt;&gt;"",$J377&lt;&gt;0),COUNTIFS($O$2:O377,$O377,$J$2:J377,"&gt;0"),"")</f>
        <v/>
      </c>
      <c r="R377" s="101" t="str">
        <f aca="false">IF($P377="","",$O377&amp;"|"&amp;$P377)</f>
        <v/>
      </c>
      <c r="S377" s="101" t="str">
        <f aca="false">IF($Q377="","",$O377&amp;"|"&amp;$Q377)</f>
        <v/>
      </c>
      <c r="T377" s="101" t="str">
        <f aca="false">IF($O377="","",COUNTIF($O$2:O377,$O377))</f>
        <v/>
      </c>
      <c r="U377" s="101" t="str">
        <f aca="false">IF($O377="","",$O377&amp;"|"&amp;$T377)</f>
        <v/>
      </c>
      <c r="V377" s="488" t="n">
        <f aca="false">IF(OR(LEFT($D377,5)="MB-CL",LEFT($D377,6)="MB-RES"),0,$I377)</f>
        <v>0</v>
      </c>
      <c r="W377" s="488" t="n">
        <f aca="false">IF(OR(LEFT($D377,5)="MB-CL",LEFT($D377,6)="MB-RES"),0,$J377)</f>
        <v>0</v>
      </c>
      <c r="X377" s="101" t="str">
        <f aca="false">IF($E377="","",LEFT($E377,1))</f>
        <v/>
      </c>
      <c r="Y377" s="101" t="str">
        <f aca="false">IF($E377="","",LEFT($E377,2))</f>
        <v/>
      </c>
      <c r="Z377" s="101" t="str">
        <f aca="false">IF($E377="","",LEFT($E377,3))</f>
        <v/>
      </c>
      <c r="AA377" s="101" t="str">
        <f aca="false">IF($E377="","",LEFT($E377,4))</f>
        <v/>
      </c>
    </row>
    <row r="378" customFormat="false" ht="15" hidden="false" customHeight="true" outlineLevel="0" collapsed="false">
      <c r="A378" s="484" t="str">
        <f aca="false">IF(DITARI!$D382="","",ROW()-1)</f>
        <v/>
      </c>
      <c r="B378" s="485" t="str">
        <f aca="false">IF(DITARI!$D382="","",DITARI!$A382)</f>
        <v/>
      </c>
      <c r="C378" s="484" t="str">
        <f aca="false">IF(DITARI!$D382="","",DITARI!$B382)</f>
        <v/>
      </c>
      <c r="D378" s="484" t="str">
        <f aca="false">IF(DITARI!$D382="","",DITARI!$C382)</f>
        <v/>
      </c>
      <c r="E378" s="484" t="str">
        <f aca="false">IF(DITARI!$D382="","",TRIM(DITARI!$D382&amp;""))</f>
        <v/>
      </c>
      <c r="F378" s="484" t="str">
        <f aca="false">IF($E378="","",IFERROR(VLOOKUP($E378,PLANI_LLOGARIVE!$A:$I,2,FALSE()),DITARI!$E382))</f>
        <v/>
      </c>
      <c r="G378" s="484" t="str">
        <f aca="false">IF($E378="","",DITARI!$I382)</f>
        <v/>
      </c>
      <c r="H378" s="484" t="str">
        <f aca="false">IFERROR(IF($E378="","",DITARI!$H382),"")</f>
        <v/>
      </c>
      <c r="I378" s="487" t="n">
        <f aca="false">IF($E378="",0,IFERROR(DITARI!$F382,0))</f>
        <v>0</v>
      </c>
      <c r="J378" s="487" t="n">
        <f aca="false">IF($E378="",0,IFERROR(DITARI!$G382,0))</f>
        <v>0</v>
      </c>
      <c r="K378" s="484" t="str">
        <f aca="false">IF($E378="","",IFERROR(VLOOKUP($E378,PLANI_LLOGARIVE!$A:$I,9,FALSE()),""))</f>
        <v/>
      </c>
      <c r="L378" s="487" t="str">
        <f aca="false">IF($E378="","",$I378-$J378)</f>
        <v/>
      </c>
      <c r="M378" s="484" t="str">
        <f aca="false">IF($E378="","",IF($I378&gt;0,"DEBIT",IF($J378&gt;0,"KREDIT","ZERO")))</f>
        <v/>
      </c>
      <c r="N378" s="484" t="str">
        <f aca="false">IF($E378="","",TEXT($B378,"yyyymmdd")&amp;"-"&amp;TEXT(ROW(),"0000"))</f>
        <v/>
      </c>
      <c r="O378" s="101" t="str">
        <f aca="false">IF($E378="","",$E378&amp;"")</f>
        <v/>
      </c>
      <c r="P378" s="101" t="str">
        <f aca="false">IF(AND($O378&lt;&gt;"",$I378&lt;&gt;0),COUNTIFS($O$2:O378,$O378,$I$2:I378,"&gt;0"),"")</f>
        <v/>
      </c>
      <c r="Q378" s="101" t="str">
        <f aca="false">IF(AND($O378&lt;&gt;"",$J378&lt;&gt;0),COUNTIFS($O$2:O378,$O378,$J$2:J378,"&gt;0"),"")</f>
        <v/>
      </c>
      <c r="R378" s="101" t="str">
        <f aca="false">IF($P378="","",$O378&amp;"|"&amp;$P378)</f>
        <v/>
      </c>
      <c r="S378" s="101" t="str">
        <f aca="false">IF($Q378="","",$O378&amp;"|"&amp;$Q378)</f>
        <v/>
      </c>
      <c r="T378" s="101" t="str">
        <f aca="false">IF($O378="","",COUNTIF($O$2:O378,$O378))</f>
        <v/>
      </c>
      <c r="U378" s="101" t="str">
        <f aca="false">IF($O378="","",$O378&amp;"|"&amp;$T378)</f>
        <v/>
      </c>
      <c r="V378" s="488" t="n">
        <f aca="false">IF(OR(LEFT($D378,5)="MB-CL",LEFT($D378,6)="MB-RES"),0,$I378)</f>
        <v>0</v>
      </c>
      <c r="W378" s="488" t="n">
        <f aca="false">IF(OR(LEFT($D378,5)="MB-CL",LEFT($D378,6)="MB-RES"),0,$J378)</f>
        <v>0</v>
      </c>
      <c r="X378" s="101" t="str">
        <f aca="false">IF($E378="","",LEFT($E378,1))</f>
        <v/>
      </c>
      <c r="Y378" s="101" t="str">
        <f aca="false">IF($E378="","",LEFT($E378,2))</f>
        <v/>
      </c>
      <c r="Z378" s="101" t="str">
        <f aca="false">IF($E378="","",LEFT($E378,3))</f>
        <v/>
      </c>
      <c r="AA378" s="101" t="str">
        <f aca="false">IF($E378="","",LEFT($E378,4))</f>
        <v/>
      </c>
    </row>
    <row r="379" customFormat="false" ht="15" hidden="false" customHeight="true" outlineLevel="0" collapsed="false">
      <c r="A379" s="484" t="str">
        <f aca="false">IF(DITARI!$D383="","",ROW()-1)</f>
        <v/>
      </c>
      <c r="B379" s="485" t="str">
        <f aca="false">IF(DITARI!$D383="","",DITARI!$A383)</f>
        <v/>
      </c>
      <c r="C379" s="484" t="str">
        <f aca="false">IF(DITARI!$D383="","",DITARI!$B383)</f>
        <v/>
      </c>
      <c r="D379" s="484" t="str">
        <f aca="false">IF(DITARI!$D383="","",DITARI!$C383)</f>
        <v/>
      </c>
      <c r="E379" s="484" t="str">
        <f aca="false">IF(DITARI!$D383="","",TRIM(DITARI!$D383&amp;""))</f>
        <v/>
      </c>
      <c r="F379" s="484" t="str">
        <f aca="false">IF($E379="","",IFERROR(VLOOKUP($E379,PLANI_LLOGARIVE!$A:$I,2,FALSE()),DITARI!$E383))</f>
        <v/>
      </c>
      <c r="G379" s="484" t="str">
        <f aca="false">IF($E379="","",DITARI!$I383)</f>
        <v/>
      </c>
      <c r="H379" s="484" t="str">
        <f aca="false">IFERROR(IF($E379="","",DITARI!$H383),"")</f>
        <v/>
      </c>
      <c r="I379" s="487" t="n">
        <f aca="false">IF($E379="",0,IFERROR(DITARI!$F383,0))</f>
        <v>0</v>
      </c>
      <c r="J379" s="487" t="n">
        <f aca="false">IF($E379="",0,IFERROR(DITARI!$G383,0))</f>
        <v>0</v>
      </c>
      <c r="K379" s="484" t="str">
        <f aca="false">IF($E379="","",IFERROR(VLOOKUP($E379,PLANI_LLOGARIVE!$A:$I,9,FALSE()),""))</f>
        <v/>
      </c>
      <c r="L379" s="487" t="str">
        <f aca="false">IF($E379="","",$I379-$J379)</f>
        <v/>
      </c>
      <c r="M379" s="484" t="str">
        <f aca="false">IF($E379="","",IF($I379&gt;0,"DEBIT",IF($J379&gt;0,"KREDIT","ZERO")))</f>
        <v/>
      </c>
      <c r="N379" s="484" t="str">
        <f aca="false">IF($E379="","",TEXT($B379,"yyyymmdd")&amp;"-"&amp;TEXT(ROW(),"0000"))</f>
        <v/>
      </c>
      <c r="O379" s="101" t="str">
        <f aca="false">IF($E379="","",$E379&amp;"")</f>
        <v/>
      </c>
      <c r="P379" s="101" t="str">
        <f aca="false">IF(AND($O379&lt;&gt;"",$I379&lt;&gt;0),COUNTIFS($O$2:O379,$O379,$I$2:I379,"&gt;0"),"")</f>
        <v/>
      </c>
      <c r="Q379" s="101" t="str">
        <f aca="false">IF(AND($O379&lt;&gt;"",$J379&lt;&gt;0),COUNTIFS($O$2:O379,$O379,$J$2:J379,"&gt;0"),"")</f>
        <v/>
      </c>
      <c r="R379" s="101" t="str">
        <f aca="false">IF($P379="","",$O379&amp;"|"&amp;$P379)</f>
        <v/>
      </c>
      <c r="S379" s="101" t="str">
        <f aca="false">IF($Q379="","",$O379&amp;"|"&amp;$Q379)</f>
        <v/>
      </c>
      <c r="T379" s="101" t="str">
        <f aca="false">IF($O379="","",COUNTIF($O$2:O379,$O379))</f>
        <v/>
      </c>
      <c r="U379" s="101" t="str">
        <f aca="false">IF($O379="","",$O379&amp;"|"&amp;$T379)</f>
        <v/>
      </c>
      <c r="V379" s="488" t="n">
        <f aca="false">IF(OR(LEFT($D379,5)="MB-CL",LEFT($D379,6)="MB-RES"),0,$I379)</f>
        <v>0</v>
      </c>
      <c r="W379" s="488" t="n">
        <f aca="false">IF(OR(LEFT($D379,5)="MB-CL",LEFT($D379,6)="MB-RES"),0,$J379)</f>
        <v>0</v>
      </c>
      <c r="X379" s="101" t="str">
        <f aca="false">IF($E379="","",LEFT($E379,1))</f>
        <v/>
      </c>
      <c r="Y379" s="101" t="str">
        <f aca="false">IF($E379="","",LEFT($E379,2))</f>
        <v/>
      </c>
      <c r="Z379" s="101" t="str">
        <f aca="false">IF($E379="","",LEFT($E379,3))</f>
        <v/>
      </c>
      <c r="AA379" s="101" t="str">
        <f aca="false">IF($E379="","",LEFT($E379,4))</f>
        <v/>
      </c>
    </row>
    <row r="380" customFormat="false" ht="15" hidden="false" customHeight="true" outlineLevel="0" collapsed="false">
      <c r="A380" s="484" t="str">
        <f aca="false">IF(DITARI!$D384="","",ROW()-1)</f>
        <v/>
      </c>
      <c r="B380" s="485" t="str">
        <f aca="false">IF(DITARI!$D384="","",DITARI!$A384)</f>
        <v/>
      </c>
      <c r="C380" s="484" t="str">
        <f aca="false">IF(DITARI!$D384="","",DITARI!$B384)</f>
        <v/>
      </c>
      <c r="D380" s="484" t="str">
        <f aca="false">IF(DITARI!$D384="","",DITARI!$C384)</f>
        <v/>
      </c>
      <c r="E380" s="484" t="str">
        <f aca="false">IF(DITARI!$D384="","",TRIM(DITARI!$D384&amp;""))</f>
        <v/>
      </c>
      <c r="F380" s="484" t="str">
        <f aca="false">IF($E380="","",IFERROR(VLOOKUP($E380,PLANI_LLOGARIVE!$A:$I,2,FALSE()),DITARI!$E384))</f>
        <v/>
      </c>
      <c r="G380" s="484" t="str">
        <f aca="false">IF($E380="","",DITARI!$I384)</f>
        <v/>
      </c>
      <c r="H380" s="484" t="str">
        <f aca="false">IFERROR(IF($E380="","",DITARI!$H384),"")</f>
        <v/>
      </c>
      <c r="I380" s="487" t="n">
        <f aca="false">IF($E380="",0,IFERROR(DITARI!$F384,0))</f>
        <v>0</v>
      </c>
      <c r="J380" s="487" t="n">
        <f aca="false">IF($E380="",0,IFERROR(DITARI!$G384,0))</f>
        <v>0</v>
      </c>
      <c r="K380" s="484" t="str">
        <f aca="false">IF($E380="","",IFERROR(VLOOKUP($E380,PLANI_LLOGARIVE!$A:$I,9,FALSE()),""))</f>
        <v/>
      </c>
      <c r="L380" s="487" t="str">
        <f aca="false">IF($E380="","",$I380-$J380)</f>
        <v/>
      </c>
      <c r="M380" s="484" t="str">
        <f aca="false">IF($E380="","",IF($I380&gt;0,"DEBIT",IF($J380&gt;0,"KREDIT","ZERO")))</f>
        <v/>
      </c>
      <c r="N380" s="484" t="str">
        <f aca="false">IF($E380="","",TEXT($B380,"yyyymmdd")&amp;"-"&amp;TEXT(ROW(),"0000"))</f>
        <v/>
      </c>
      <c r="O380" s="101" t="str">
        <f aca="false">IF($E380="","",$E380&amp;"")</f>
        <v/>
      </c>
      <c r="P380" s="101" t="str">
        <f aca="false">IF(AND($O380&lt;&gt;"",$I380&lt;&gt;0),COUNTIFS($O$2:O380,$O380,$I$2:I380,"&gt;0"),"")</f>
        <v/>
      </c>
      <c r="Q380" s="101" t="str">
        <f aca="false">IF(AND($O380&lt;&gt;"",$J380&lt;&gt;0),COUNTIFS($O$2:O380,$O380,$J$2:J380,"&gt;0"),"")</f>
        <v/>
      </c>
      <c r="R380" s="101" t="str">
        <f aca="false">IF($P380="","",$O380&amp;"|"&amp;$P380)</f>
        <v/>
      </c>
      <c r="S380" s="101" t="str">
        <f aca="false">IF($Q380="","",$O380&amp;"|"&amp;$Q380)</f>
        <v/>
      </c>
      <c r="T380" s="101" t="str">
        <f aca="false">IF($O380="","",COUNTIF($O$2:O380,$O380))</f>
        <v/>
      </c>
      <c r="U380" s="101" t="str">
        <f aca="false">IF($O380="","",$O380&amp;"|"&amp;$T380)</f>
        <v/>
      </c>
      <c r="V380" s="488" t="n">
        <f aca="false">IF(OR(LEFT($D380,5)="MB-CL",LEFT($D380,6)="MB-RES"),0,$I380)</f>
        <v>0</v>
      </c>
      <c r="W380" s="488" t="n">
        <f aca="false">IF(OR(LEFT($D380,5)="MB-CL",LEFT($D380,6)="MB-RES"),0,$J380)</f>
        <v>0</v>
      </c>
      <c r="X380" s="101" t="str">
        <f aca="false">IF($E380="","",LEFT($E380,1))</f>
        <v/>
      </c>
      <c r="Y380" s="101" t="str">
        <f aca="false">IF($E380="","",LEFT($E380,2))</f>
        <v/>
      </c>
      <c r="Z380" s="101" t="str">
        <f aca="false">IF($E380="","",LEFT($E380,3))</f>
        <v/>
      </c>
      <c r="AA380" s="101" t="str">
        <f aca="false">IF($E380="","",LEFT($E380,4))</f>
        <v/>
      </c>
    </row>
    <row r="381" customFormat="false" ht="15" hidden="false" customHeight="true" outlineLevel="0" collapsed="false">
      <c r="A381" s="484" t="str">
        <f aca="false">IF(DITARI!$D385="","",ROW()-1)</f>
        <v/>
      </c>
      <c r="B381" s="485" t="str">
        <f aca="false">IF(DITARI!$D385="","",DITARI!$A385)</f>
        <v/>
      </c>
      <c r="C381" s="484" t="str">
        <f aca="false">IF(DITARI!$D385="","",DITARI!$B385)</f>
        <v/>
      </c>
      <c r="D381" s="484" t="str">
        <f aca="false">IF(DITARI!$D385="","",DITARI!$C385)</f>
        <v/>
      </c>
      <c r="E381" s="484" t="str">
        <f aca="false">IF(DITARI!$D385="","",TRIM(DITARI!$D385&amp;""))</f>
        <v/>
      </c>
      <c r="F381" s="484" t="str">
        <f aca="false">IF($E381="","",IFERROR(VLOOKUP($E381,PLANI_LLOGARIVE!$A:$I,2,FALSE()),DITARI!$E385))</f>
        <v/>
      </c>
      <c r="G381" s="484" t="str">
        <f aca="false">IF($E381="","",DITARI!$I385)</f>
        <v/>
      </c>
      <c r="H381" s="484" t="str">
        <f aca="false">IFERROR(IF($E381="","",DITARI!$H385),"")</f>
        <v/>
      </c>
      <c r="I381" s="487" t="n">
        <f aca="false">IF($E381="",0,IFERROR(DITARI!$F385,0))</f>
        <v>0</v>
      </c>
      <c r="J381" s="487" t="n">
        <f aca="false">IF($E381="",0,IFERROR(DITARI!$G385,0))</f>
        <v>0</v>
      </c>
      <c r="K381" s="484" t="str">
        <f aca="false">IF($E381="","",IFERROR(VLOOKUP($E381,PLANI_LLOGARIVE!$A:$I,9,FALSE()),""))</f>
        <v/>
      </c>
      <c r="L381" s="487" t="str">
        <f aca="false">IF($E381="","",$I381-$J381)</f>
        <v/>
      </c>
      <c r="M381" s="484" t="str">
        <f aca="false">IF($E381="","",IF($I381&gt;0,"DEBIT",IF($J381&gt;0,"KREDIT","ZERO")))</f>
        <v/>
      </c>
      <c r="N381" s="484" t="str">
        <f aca="false">IF($E381="","",TEXT($B381,"yyyymmdd")&amp;"-"&amp;TEXT(ROW(),"0000"))</f>
        <v/>
      </c>
      <c r="O381" s="101" t="str">
        <f aca="false">IF($E381="","",$E381&amp;"")</f>
        <v/>
      </c>
      <c r="P381" s="101" t="str">
        <f aca="false">IF(AND($O381&lt;&gt;"",$I381&lt;&gt;0),COUNTIFS($O$2:O381,$O381,$I$2:I381,"&gt;0"),"")</f>
        <v/>
      </c>
      <c r="Q381" s="101" t="str">
        <f aca="false">IF(AND($O381&lt;&gt;"",$J381&lt;&gt;0),COUNTIFS($O$2:O381,$O381,$J$2:J381,"&gt;0"),"")</f>
        <v/>
      </c>
      <c r="R381" s="101" t="str">
        <f aca="false">IF($P381="","",$O381&amp;"|"&amp;$P381)</f>
        <v/>
      </c>
      <c r="S381" s="101" t="str">
        <f aca="false">IF($Q381="","",$O381&amp;"|"&amp;$Q381)</f>
        <v/>
      </c>
      <c r="T381" s="101" t="str">
        <f aca="false">IF($O381="","",COUNTIF($O$2:O381,$O381))</f>
        <v/>
      </c>
      <c r="U381" s="101" t="str">
        <f aca="false">IF($O381="","",$O381&amp;"|"&amp;$T381)</f>
        <v/>
      </c>
      <c r="V381" s="488" t="n">
        <f aca="false">IF(OR(LEFT($D381,5)="MB-CL",LEFT($D381,6)="MB-RES"),0,$I381)</f>
        <v>0</v>
      </c>
      <c r="W381" s="488" t="n">
        <f aca="false">IF(OR(LEFT($D381,5)="MB-CL",LEFT($D381,6)="MB-RES"),0,$J381)</f>
        <v>0</v>
      </c>
      <c r="X381" s="101" t="str">
        <f aca="false">IF($E381="","",LEFT($E381,1))</f>
        <v/>
      </c>
      <c r="Y381" s="101" t="str">
        <f aca="false">IF($E381="","",LEFT($E381,2))</f>
        <v/>
      </c>
      <c r="Z381" s="101" t="str">
        <f aca="false">IF($E381="","",LEFT($E381,3))</f>
        <v/>
      </c>
      <c r="AA381" s="101" t="str">
        <f aca="false">IF($E381="","",LEFT($E381,4))</f>
        <v/>
      </c>
    </row>
    <row r="382" customFormat="false" ht="15" hidden="false" customHeight="true" outlineLevel="0" collapsed="false">
      <c r="A382" s="484" t="str">
        <f aca="false">IF(DITARI!$D386="","",ROW()-1)</f>
        <v/>
      </c>
      <c r="B382" s="485" t="str">
        <f aca="false">IF(DITARI!$D386="","",DITARI!$A386)</f>
        <v/>
      </c>
      <c r="C382" s="484" t="str">
        <f aca="false">IF(DITARI!$D386="","",DITARI!$B386)</f>
        <v/>
      </c>
      <c r="D382" s="484" t="str">
        <f aca="false">IF(DITARI!$D386="","",DITARI!$C386)</f>
        <v/>
      </c>
      <c r="E382" s="484" t="str">
        <f aca="false">IF(DITARI!$D386="","",TRIM(DITARI!$D386&amp;""))</f>
        <v/>
      </c>
      <c r="F382" s="484" t="str">
        <f aca="false">IF($E382="","",IFERROR(VLOOKUP($E382,PLANI_LLOGARIVE!$A:$I,2,FALSE()),DITARI!$E386))</f>
        <v/>
      </c>
      <c r="G382" s="484" t="str">
        <f aca="false">IF($E382="","",DITARI!$I386)</f>
        <v/>
      </c>
      <c r="H382" s="484" t="str">
        <f aca="false">IFERROR(IF($E382="","",DITARI!$H386),"")</f>
        <v/>
      </c>
      <c r="I382" s="487" t="n">
        <f aca="false">IF($E382="",0,IFERROR(DITARI!$F386,0))</f>
        <v>0</v>
      </c>
      <c r="J382" s="487" t="n">
        <f aca="false">IF($E382="",0,IFERROR(DITARI!$G386,0))</f>
        <v>0</v>
      </c>
      <c r="K382" s="484" t="str">
        <f aca="false">IF($E382="","",IFERROR(VLOOKUP($E382,PLANI_LLOGARIVE!$A:$I,9,FALSE()),""))</f>
        <v/>
      </c>
      <c r="L382" s="487" t="str">
        <f aca="false">IF($E382="","",$I382-$J382)</f>
        <v/>
      </c>
      <c r="M382" s="484" t="str">
        <f aca="false">IF($E382="","",IF($I382&gt;0,"DEBIT",IF($J382&gt;0,"KREDIT","ZERO")))</f>
        <v/>
      </c>
      <c r="N382" s="484" t="str">
        <f aca="false">IF($E382="","",TEXT($B382,"yyyymmdd")&amp;"-"&amp;TEXT(ROW(),"0000"))</f>
        <v/>
      </c>
      <c r="O382" s="101" t="str">
        <f aca="false">IF($E382="","",$E382&amp;"")</f>
        <v/>
      </c>
      <c r="P382" s="101" t="str">
        <f aca="false">IF(AND($O382&lt;&gt;"",$I382&lt;&gt;0),COUNTIFS($O$2:O382,$O382,$I$2:I382,"&gt;0"),"")</f>
        <v/>
      </c>
      <c r="Q382" s="101" t="str">
        <f aca="false">IF(AND($O382&lt;&gt;"",$J382&lt;&gt;0),COUNTIFS($O$2:O382,$O382,$J$2:J382,"&gt;0"),"")</f>
        <v/>
      </c>
      <c r="R382" s="101" t="str">
        <f aca="false">IF($P382="","",$O382&amp;"|"&amp;$P382)</f>
        <v/>
      </c>
      <c r="S382" s="101" t="str">
        <f aca="false">IF($Q382="","",$O382&amp;"|"&amp;$Q382)</f>
        <v/>
      </c>
      <c r="T382" s="101" t="str">
        <f aca="false">IF($O382="","",COUNTIF($O$2:O382,$O382))</f>
        <v/>
      </c>
      <c r="U382" s="101" t="str">
        <f aca="false">IF($O382="","",$O382&amp;"|"&amp;$T382)</f>
        <v/>
      </c>
      <c r="V382" s="488" t="n">
        <f aca="false">IF(OR(LEFT($D382,5)="MB-CL",LEFT($D382,6)="MB-RES"),0,$I382)</f>
        <v>0</v>
      </c>
      <c r="W382" s="488" t="n">
        <f aca="false">IF(OR(LEFT($D382,5)="MB-CL",LEFT($D382,6)="MB-RES"),0,$J382)</f>
        <v>0</v>
      </c>
      <c r="X382" s="101" t="str">
        <f aca="false">IF($E382="","",LEFT($E382,1))</f>
        <v/>
      </c>
      <c r="Y382" s="101" t="str">
        <f aca="false">IF($E382="","",LEFT($E382,2))</f>
        <v/>
      </c>
      <c r="Z382" s="101" t="str">
        <f aca="false">IF($E382="","",LEFT($E382,3))</f>
        <v/>
      </c>
      <c r="AA382" s="101" t="str">
        <f aca="false">IF($E382="","",LEFT($E382,4))</f>
        <v/>
      </c>
    </row>
    <row r="383" customFormat="false" ht="15" hidden="false" customHeight="true" outlineLevel="0" collapsed="false">
      <c r="A383" s="484" t="str">
        <f aca="false">IF(DITARI!$D387="","",ROW()-1)</f>
        <v/>
      </c>
      <c r="B383" s="485" t="str">
        <f aca="false">IF(DITARI!$D387="","",DITARI!$A387)</f>
        <v/>
      </c>
      <c r="C383" s="484" t="str">
        <f aca="false">IF(DITARI!$D387="","",DITARI!$B387)</f>
        <v/>
      </c>
      <c r="D383" s="484" t="str">
        <f aca="false">IF(DITARI!$D387="","",DITARI!$C387)</f>
        <v/>
      </c>
      <c r="E383" s="484" t="str">
        <f aca="false">IF(DITARI!$D387="","",TRIM(DITARI!$D387&amp;""))</f>
        <v/>
      </c>
      <c r="F383" s="484" t="str">
        <f aca="false">IF($E383="","",IFERROR(VLOOKUP($E383,PLANI_LLOGARIVE!$A:$I,2,FALSE()),DITARI!$E387))</f>
        <v/>
      </c>
      <c r="G383" s="484" t="str">
        <f aca="false">IF($E383="","",DITARI!$I387)</f>
        <v/>
      </c>
      <c r="H383" s="484" t="str">
        <f aca="false">IFERROR(IF($E383="","",DITARI!$H387),"")</f>
        <v/>
      </c>
      <c r="I383" s="487" t="n">
        <f aca="false">IF($E383="",0,IFERROR(DITARI!$F387,0))</f>
        <v>0</v>
      </c>
      <c r="J383" s="487" t="n">
        <f aca="false">IF($E383="",0,IFERROR(DITARI!$G387,0))</f>
        <v>0</v>
      </c>
      <c r="K383" s="484" t="str">
        <f aca="false">IF($E383="","",IFERROR(VLOOKUP($E383,PLANI_LLOGARIVE!$A:$I,9,FALSE()),""))</f>
        <v/>
      </c>
      <c r="L383" s="487" t="str">
        <f aca="false">IF($E383="","",$I383-$J383)</f>
        <v/>
      </c>
      <c r="M383" s="484" t="str">
        <f aca="false">IF($E383="","",IF($I383&gt;0,"DEBIT",IF($J383&gt;0,"KREDIT","ZERO")))</f>
        <v/>
      </c>
      <c r="N383" s="484" t="str">
        <f aca="false">IF($E383="","",TEXT($B383,"yyyymmdd")&amp;"-"&amp;TEXT(ROW(),"0000"))</f>
        <v/>
      </c>
      <c r="O383" s="101" t="str">
        <f aca="false">IF($E383="","",$E383&amp;"")</f>
        <v/>
      </c>
      <c r="P383" s="101" t="str">
        <f aca="false">IF(AND($O383&lt;&gt;"",$I383&lt;&gt;0),COUNTIFS($O$2:O383,$O383,$I$2:I383,"&gt;0"),"")</f>
        <v/>
      </c>
      <c r="Q383" s="101" t="str">
        <f aca="false">IF(AND($O383&lt;&gt;"",$J383&lt;&gt;0),COUNTIFS($O$2:O383,$O383,$J$2:J383,"&gt;0"),"")</f>
        <v/>
      </c>
      <c r="R383" s="101" t="str">
        <f aca="false">IF($P383="","",$O383&amp;"|"&amp;$P383)</f>
        <v/>
      </c>
      <c r="S383" s="101" t="str">
        <f aca="false">IF($Q383="","",$O383&amp;"|"&amp;$Q383)</f>
        <v/>
      </c>
      <c r="T383" s="101" t="str">
        <f aca="false">IF($O383="","",COUNTIF($O$2:O383,$O383))</f>
        <v/>
      </c>
      <c r="U383" s="101" t="str">
        <f aca="false">IF($O383="","",$O383&amp;"|"&amp;$T383)</f>
        <v/>
      </c>
      <c r="V383" s="488" t="n">
        <f aca="false">IF(OR(LEFT($D383,5)="MB-CL",LEFT($D383,6)="MB-RES"),0,$I383)</f>
        <v>0</v>
      </c>
      <c r="W383" s="488" t="n">
        <f aca="false">IF(OR(LEFT($D383,5)="MB-CL",LEFT($D383,6)="MB-RES"),0,$J383)</f>
        <v>0</v>
      </c>
      <c r="X383" s="101" t="str">
        <f aca="false">IF($E383="","",LEFT($E383,1))</f>
        <v/>
      </c>
      <c r="Y383" s="101" t="str">
        <f aca="false">IF($E383="","",LEFT($E383,2))</f>
        <v/>
      </c>
      <c r="Z383" s="101" t="str">
        <f aca="false">IF($E383="","",LEFT($E383,3))</f>
        <v/>
      </c>
      <c r="AA383" s="101" t="str">
        <f aca="false">IF($E383="","",LEFT($E383,4))</f>
        <v/>
      </c>
    </row>
    <row r="384" customFormat="false" ht="15" hidden="false" customHeight="true" outlineLevel="0" collapsed="false">
      <c r="A384" s="484" t="str">
        <f aca="false">IF(DITARI!$D388="","",ROW()-1)</f>
        <v/>
      </c>
      <c r="B384" s="485" t="str">
        <f aca="false">IF(DITARI!$D388="","",DITARI!$A388)</f>
        <v/>
      </c>
      <c r="C384" s="484" t="str">
        <f aca="false">IF(DITARI!$D388="","",DITARI!$B388)</f>
        <v/>
      </c>
      <c r="D384" s="484" t="str">
        <f aca="false">IF(DITARI!$D388="","",DITARI!$C388)</f>
        <v/>
      </c>
      <c r="E384" s="484" t="str">
        <f aca="false">IF(DITARI!$D388="","",TRIM(DITARI!$D388&amp;""))</f>
        <v/>
      </c>
      <c r="F384" s="484" t="str">
        <f aca="false">IF($E384="","",IFERROR(VLOOKUP($E384,PLANI_LLOGARIVE!$A:$I,2,FALSE()),DITARI!$E388))</f>
        <v/>
      </c>
      <c r="G384" s="484" t="str">
        <f aca="false">IF($E384="","",DITARI!$I388)</f>
        <v/>
      </c>
      <c r="H384" s="484" t="str">
        <f aca="false">IFERROR(IF($E384="","",DITARI!$H388),"")</f>
        <v/>
      </c>
      <c r="I384" s="487" t="n">
        <f aca="false">IF($E384="",0,IFERROR(DITARI!$F388,0))</f>
        <v>0</v>
      </c>
      <c r="J384" s="487" t="n">
        <f aca="false">IF($E384="",0,IFERROR(DITARI!$G388,0))</f>
        <v>0</v>
      </c>
      <c r="K384" s="484" t="str">
        <f aca="false">IF($E384="","",IFERROR(VLOOKUP($E384,PLANI_LLOGARIVE!$A:$I,9,FALSE()),""))</f>
        <v/>
      </c>
      <c r="L384" s="487" t="str">
        <f aca="false">IF($E384="","",$I384-$J384)</f>
        <v/>
      </c>
      <c r="M384" s="484" t="str">
        <f aca="false">IF($E384="","",IF($I384&gt;0,"DEBIT",IF($J384&gt;0,"KREDIT","ZERO")))</f>
        <v/>
      </c>
      <c r="N384" s="484" t="str">
        <f aca="false">IF($E384="","",TEXT($B384,"yyyymmdd")&amp;"-"&amp;TEXT(ROW(),"0000"))</f>
        <v/>
      </c>
      <c r="O384" s="101" t="str">
        <f aca="false">IF($E384="","",$E384&amp;"")</f>
        <v/>
      </c>
      <c r="P384" s="101" t="str">
        <f aca="false">IF(AND($O384&lt;&gt;"",$I384&lt;&gt;0),COUNTIFS($O$2:O384,$O384,$I$2:I384,"&gt;0"),"")</f>
        <v/>
      </c>
      <c r="Q384" s="101" t="str">
        <f aca="false">IF(AND($O384&lt;&gt;"",$J384&lt;&gt;0),COUNTIFS($O$2:O384,$O384,$J$2:J384,"&gt;0"),"")</f>
        <v/>
      </c>
      <c r="R384" s="101" t="str">
        <f aca="false">IF($P384="","",$O384&amp;"|"&amp;$P384)</f>
        <v/>
      </c>
      <c r="S384" s="101" t="str">
        <f aca="false">IF($Q384="","",$O384&amp;"|"&amp;$Q384)</f>
        <v/>
      </c>
      <c r="T384" s="101" t="str">
        <f aca="false">IF($O384="","",COUNTIF($O$2:O384,$O384))</f>
        <v/>
      </c>
      <c r="U384" s="101" t="str">
        <f aca="false">IF($O384="","",$O384&amp;"|"&amp;$T384)</f>
        <v/>
      </c>
      <c r="V384" s="488" t="n">
        <f aca="false">IF(OR(LEFT($D384,5)="MB-CL",LEFT($D384,6)="MB-RES"),0,$I384)</f>
        <v>0</v>
      </c>
      <c r="W384" s="488" t="n">
        <f aca="false">IF(OR(LEFT($D384,5)="MB-CL",LEFT($D384,6)="MB-RES"),0,$J384)</f>
        <v>0</v>
      </c>
      <c r="X384" s="101" t="str">
        <f aca="false">IF($E384="","",LEFT($E384,1))</f>
        <v/>
      </c>
      <c r="Y384" s="101" t="str">
        <f aca="false">IF($E384="","",LEFT($E384,2))</f>
        <v/>
      </c>
      <c r="Z384" s="101" t="str">
        <f aca="false">IF($E384="","",LEFT($E384,3))</f>
        <v/>
      </c>
      <c r="AA384" s="101" t="str">
        <f aca="false">IF($E384="","",LEFT($E384,4))</f>
        <v/>
      </c>
    </row>
    <row r="385" customFormat="false" ht="15" hidden="false" customHeight="true" outlineLevel="0" collapsed="false">
      <c r="A385" s="484" t="str">
        <f aca="false">IF(DITARI!$D389="","",ROW()-1)</f>
        <v/>
      </c>
      <c r="B385" s="485" t="str">
        <f aca="false">IF(DITARI!$D389="","",DITARI!$A389)</f>
        <v/>
      </c>
      <c r="C385" s="484" t="str">
        <f aca="false">IF(DITARI!$D389="","",DITARI!$B389)</f>
        <v/>
      </c>
      <c r="D385" s="484" t="str">
        <f aca="false">IF(DITARI!$D389="","",DITARI!$C389)</f>
        <v/>
      </c>
      <c r="E385" s="484" t="str">
        <f aca="false">IF(DITARI!$D389="","",TRIM(DITARI!$D389&amp;""))</f>
        <v/>
      </c>
      <c r="F385" s="484" t="str">
        <f aca="false">IF($E385="","",IFERROR(VLOOKUP($E385,PLANI_LLOGARIVE!$A:$I,2,FALSE()),DITARI!$E389))</f>
        <v/>
      </c>
      <c r="G385" s="484" t="str">
        <f aca="false">IF($E385="","",DITARI!$I389)</f>
        <v/>
      </c>
      <c r="H385" s="484" t="str">
        <f aca="false">IFERROR(IF($E385="","",DITARI!$H389),"")</f>
        <v/>
      </c>
      <c r="I385" s="487" t="n">
        <f aca="false">IF($E385="",0,IFERROR(DITARI!$F389,0))</f>
        <v>0</v>
      </c>
      <c r="J385" s="487" t="n">
        <f aca="false">IF($E385="",0,IFERROR(DITARI!$G389,0))</f>
        <v>0</v>
      </c>
      <c r="K385" s="484" t="str">
        <f aca="false">IF($E385="","",IFERROR(VLOOKUP($E385,PLANI_LLOGARIVE!$A:$I,9,FALSE()),""))</f>
        <v/>
      </c>
      <c r="L385" s="487" t="str">
        <f aca="false">IF($E385="","",$I385-$J385)</f>
        <v/>
      </c>
      <c r="M385" s="484" t="str">
        <f aca="false">IF($E385="","",IF($I385&gt;0,"DEBIT",IF($J385&gt;0,"KREDIT","ZERO")))</f>
        <v/>
      </c>
      <c r="N385" s="484" t="str">
        <f aca="false">IF($E385="","",TEXT($B385,"yyyymmdd")&amp;"-"&amp;TEXT(ROW(),"0000"))</f>
        <v/>
      </c>
      <c r="O385" s="101" t="str">
        <f aca="false">IF($E385="","",$E385&amp;"")</f>
        <v/>
      </c>
      <c r="P385" s="101" t="str">
        <f aca="false">IF(AND($O385&lt;&gt;"",$I385&lt;&gt;0),COUNTIFS($O$2:O385,$O385,$I$2:I385,"&gt;0"),"")</f>
        <v/>
      </c>
      <c r="Q385" s="101" t="str">
        <f aca="false">IF(AND($O385&lt;&gt;"",$J385&lt;&gt;0),COUNTIFS($O$2:O385,$O385,$J$2:J385,"&gt;0"),"")</f>
        <v/>
      </c>
      <c r="R385" s="101" t="str">
        <f aca="false">IF($P385="","",$O385&amp;"|"&amp;$P385)</f>
        <v/>
      </c>
      <c r="S385" s="101" t="str">
        <f aca="false">IF($Q385="","",$O385&amp;"|"&amp;$Q385)</f>
        <v/>
      </c>
      <c r="T385" s="101" t="str">
        <f aca="false">IF($O385="","",COUNTIF($O$2:O385,$O385))</f>
        <v/>
      </c>
      <c r="U385" s="101" t="str">
        <f aca="false">IF($O385="","",$O385&amp;"|"&amp;$T385)</f>
        <v/>
      </c>
      <c r="V385" s="488" t="n">
        <f aca="false">IF(OR(LEFT($D385,5)="MB-CL",LEFT($D385,6)="MB-RES"),0,$I385)</f>
        <v>0</v>
      </c>
      <c r="W385" s="488" t="n">
        <f aca="false">IF(OR(LEFT($D385,5)="MB-CL",LEFT($D385,6)="MB-RES"),0,$J385)</f>
        <v>0</v>
      </c>
      <c r="X385" s="101" t="str">
        <f aca="false">IF($E385="","",LEFT($E385,1))</f>
        <v/>
      </c>
      <c r="Y385" s="101" t="str">
        <f aca="false">IF($E385="","",LEFT($E385,2))</f>
        <v/>
      </c>
      <c r="Z385" s="101" t="str">
        <f aca="false">IF($E385="","",LEFT($E385,3))</f>
        <v/>
      </c>
      <c r="AA385" s="101" t="str">
        <f aca="false">IF($E385="","",LEFT($E385,4))</f>
        <v/>
      </c>
    </row>
    <row r="386" customFormat="false" ht="15" hidden="false" customHeight="true" outlineLevel="0" collapsed="false">
      <c r="A386" s="484" t="str">
        <f aca="false">IF(DITARI!$D390="","",ROW()-1)</f>
        <v/>
      </c>
      <c r="B386" s="485" t="str">
        <f aca="false">IF(DITARI!$D390="","",DITARI!$A390)</f>
        <v/>
      </c>
      <c r="C386" s="484" t="str">
        <f aca="false">IF(DITARI!$D390="","",DITARI!$B390)</f>
        <v/>
      </c>
      <c r="D386" s="484" t="str">
        <f aca="false">IF(DITARI!$D390="","",DITARI!$C390)</f>
        <v/>
      </c>
      <c r="E386" s="484" t="str">
        <f aca="false">IF(DITARI!$D390="","",TRIM(DITARI!$D390&amp;""))</f>
        <v/>
      </c>
      <c r="F386" s="484" t="str">
        <f aca="false">IF($E386="","",IFERROR(VLOOKUP($E386,PLANI_LLOGARIVE!$A:$I,2,FALSE()),DITARI!$E390))</f>
        <v/>
      </c>
      <c r="G386" s="484" t="str">
        <f aca="false">IF($E386="","",DITARI!$I390)</f>
        <v/>
      </c>
      <c r="H386" s="484" t="str">
        <f aca="false">IFERROR(IF($E386="","",DITARI!$H390),"")</f>
        <v/>
      </c>
      <c r="I386" s="487" t="n">
        <f aca="false">IF($E386="",0,IFERROR(DITARI!$F390,0))</f>
        <v>0</v>
      </c>
      <c r="J386" s="487" t="n">
        <f aca="false">IF($E386="",0,IFERROR(DITARI!$G390,0))</f>
        <v>0</v>
      </c>
      <c r="K386" s="484" t="str">
        <f aca="false">IF($E386="","",IFERROR(VLOOKUP($E386,PLANI_LLOGARIVE!$A:$I,9,FALSE()),""))</f>
        <v/>
      </c>
      <c r="L386" s="487" t="str">
        <f aca="false">IF($E386="","",$I386-$J386)</f>
        <v/>
      </c>
      <c r="M386" s="484" t="str">
        <f aca="false">IF($E386="","",IF($I386&gt;0,"DEBIT",IF($J386&gt;0,"KREDIT","ZERO")))</f>
        <v/>
      </c>
      <c r="N386" s="484" t="str">
        <f aca="false">IF($E386="","",TEXT($B386,"yyyymmdd")&amp;"-"&amp;TEXT(ROW(),"0000"))</f>
        <v/>
      </c>
      <c r="O386" s="101" t="str">
        <f aca="false">IF($E386="","",$E386&amp;"")</f>
        <v/>
      </c>
      <c r="P386" s="101" t="str">
        <f aca="false">IF(AND($O386&lt;&gt;"",$I386&lt;&gt;0),COUNTIFS($O$2:O386,$O386,$I$2:I386,"&gt;0"),"")</f>
        <v/>
      </c>
      <c r="Q386" s="101" t="str">
        <f aca="false">IF(AND($O386&lt;&gt;"",$J386&lt;&gt;0),COUNTIFS($O$2:O386,$O386,$J$2:J386,"&gt;0"),"")</f>
        <v/>
      </c>
      <c r="R386" s="101" t="str">
        <f aca="false">IF($P386="","",$O386&amp;"|"&amp;$P386)</f>
        <v/>
      </c>
      <c r="S386" s="101" t="str">
        <f aca="false">IF($Q386="","",$O386&amp;"|"&amp;$Q386)</f>
        <v/>
      </c>
      <c r="T386" s="101" t="str">
        <f aca="false">IF($O386="","",COUNTIF($O$2:O386,$O386))</f>
        <v/>
      </c>
      <c r="U386" s="101" t="str">
        <f aca="false">IF($O386="","",$O386&amp;"|"&amp;$T386)</f>
        <v/>
      </c>
      <c r="V386" s="488" t="n">
        <f aca="false">IF(OR(LEFT($D386,5)="MB-CL",LEFT($D386,6)="MB-RES"),0,$I386)</f>
        <v>0</v>
      </c>
      <c r="W386" s="488" t="n">
        <f aca="false">IF(OR(LEFT($D386,5)="MB-CL",LEFT($D386,6)="MB-RES"),0,$J386)</f>
        <v>0</v>
      </c>
      <c r="X386" s="101" t="str">
        <f aca="false">IF($E386="","",LEFT($E386,1))</f>
        <v/>
      </c>
      <c r="Y386" s="101" t="str">
        <f aca="false">IF($E386="","",LEFT($E386,2))</f>
        <v/>
      </c>
      <c r="Z386" s="101" t="str">
        <f aca="false">IF($E386="","",LEFT($E386,3))</f>
        <v/>
      </c>
      <c r="AA386" s="101" t="str">
        <f aca="false">IF($E386="","",LEFT($E386,4))</f>
        <v/>
      </c>
    </row>
    <row r="387" customFormat="false" ht="15" hidden="false" customHeight="true" outlineLevel="0" collapsed="false">
      <c r="A387" s="484" t="str">
        <f aca="false">IF(DITARI!$D391="","",ROW()-1)</f>
        <v/>
      </c>
      <c r="B387" s="485" t="str">
        <f aca="false">IF(DITARI!$D391="","",DITARI!$A391)</f>
        <v/>
      </c>
      <c r="C387" s="484" t="str">
        <f aca="false">IF(DITARI!$D391="","",DITARI!$B391)</f>
        <v/>
      </c>
      <c r="D387" s="484" t="str">
        <f aca="false">IF(DITARI!$D391="","",DITARI!$C391)</f>
        <v/>
      </c>
      <c r="E387" s="484" t="str">
        <f aca="false">IF(DITARI!$D391="","",TRIM(DITARI!$D391&amp;""))</f>
        <v/>
      </c>
      <c r="F387" s="484" t="str">
        <f aca="false">IF($E387="","",IFERROR(VLOOKUP($E387,PLANI_LLOGARIVE!$A:$I,2,FALSE()),DITARI!$E391))</f>
        <v/>
      </c>
      <c r="G387" s="484" t="str">
        <f aca="false">IF($E387="","",DITARI!$I391)</f>
        <v/>
      </c>
      <c r="H387" s="484" t="str">
        <f aca="false">IFERROR(IF($E387="","",DITARI!$H391),"")</f>
        <v/>
      </c>
      <c r="I387" s="487" t="n">
        <f aca="false">IF($E387="",0,IFERROR(DITARI!$F391,0))</f>
        <v>0</v>
      </c>
      <c r="J387" s="487" t="n">
        <f aca="false">IF($E387="",0,IFERROR(DITARI!$G391,0))</f>
        <v>0</v>
      </c>
      <c r="K387" s="484" t="str">
        <f aca="false">IF($E387="","",IFERROR(VLOOKUP($E387,PLANI_LLOGARIVE!$A:$I,9,FALSE()),""))</f>
        <v/>
      </c>
      <c r="L387" s="487" t="str">
        <f aca="false">IF($E387="","",$I387-$J387)</f>
        <v/>
      </c>
      <c r="M387" s="484" t="str">
        <f aca="false">IF($E387="","",IF($I387&gt;0,"DEBIT",IF($J387&gt;0,"KREDIT","ZERO")))</f>
        <v/>
      </c>
      <c r="N387" s="484" t="str">
        <f aca="false">IF($E387="","",TEXT($B387,"yyyymmdd")&amp;"-"&amp;TEXT(ROW(),"0000"))</f>
        <v/>
      </c>
      <c r="O387" s="101" t="str">
        <f aca="false">IF($E387="","",$E387&amp;"")</f>
        <v/>
      </c>
      <c r="P387" s="101" t="str">
        <f aca="false">IF(AND($O387&lt;&gt;"",$I387&lt;&gt;0),COUNTIFS($O$2:O387,$O387,$I$2:I387,"&gt;0"),"")</f>
        <v/>
      </c>
      <c r="Q387" s="101" t="str">
        <f aca="false">IF(AND($O387&lt;&gt;"",$J387&lt;&gt;0),COUNTIFS($O$2:O387,$O387,$J$2:J387,"&gt;0"),"")</f>
        <v/>
      </c>
      <c r="R387" s="101" t="str">
        <f aca="false">IF($P387="","",$O387&amp;"|"&amp;$P387)</f>
        <v/>
      </c>
      <c r="S387" s="101" t="str">
        <f aca="false">IF($Q387="","",$O387&amp;"|"&amp;$Q387)</f>
        <v/>
      </c>
      <c r="T387" s="101" t="str">
        <f aca="false">IF($O387="","",COUNTIF($O$2:O387,$O387))</f>
        <v/>
      </c>
      <c r="U387" s="101" t="str">
        <f aca="false">IF($O387="","",$O387&amp;"|"&amp;$T387)</f>
        <v/>
      </c>
      <c r="V387" s="488" t="n">
        <f aca="false">IF(OR(LEFT($D387,5)="MB-CL",LEFT($D387,6)="MB-RES"),0,$I387)</f>
        <v>0</v>
      </c>
      <c r="W387" s="488" t="n">
        <f aca="false">IF(OR(LEFT($D387,5)="MB-CL",LEFT($D387,6)="MB-RES"),0,$J387)</f>
        <v>0</v>
      </c>
      <c r="X387" s="101" t="str">
        <f aca="false">IF($E387="","",LEFT($E387,1))</f>
        <v/>
      </c>
      <c r="Y387" s="101" t="str">
        <f aca="false">IF($E387="","",LEFT($E387,2))</f>
        <v/>
      </c>
      <c r="Z387" s="101" t="str">
        <f aca="false">IF($E387="","",LEFT($E387,3))</f>
        <v/>
      </c>
      <c r="AA387" s="101" t="str">
        <f aca="false">IF($E387="","",LEFT($E387,4))</f>
        <v/>
      </c>
    </row>
    <row r="388" customFormat="false" ht="15" hidden="false" customHeight="true" outlineLevel="0" collapsed="false">
      <c r="A388" s="484" t="str">
        <f aca="false">IF(DITARI!$D392="","",ROW()-1)</f>
        <v/>
      </c>
      <c r="B388" s="485" t="str">
        <f aca="false">IF(DITARI!$D392="","",DITARI!$A392)</f>
        <v/>
      </c>
      <c r="C388" s="484" t="str">
        <f aca="false">IF(DITARI!$D392="","",DITARI!$B392)</f>
        <v/>
      </c>
      <c r="D388" s="484" t="str">
        <f aca="false">IF(DITARI!$D392="","",DITARI!$C392)</f>
        <v/>
      </c>
      <c r="E388" s="484" t="str">
        <f aca="false">IF(DITARI!$D392="","",TRIM(DITARI!$D392&amp;""))</f>
        <v/>
      </c>
      <c r="F388" s="484" t="str">
        <f aca="false">IF($E388="","",IFERROR(VLOOKUP($E388,PLANI_LLOGARIVE!$A:$I,2,FALSE()),DITARI!$E392))</f>
        <v/>
      </c>
      <c r="G388" s="484" t="str">
        <f aca="false">IF($E388="","",DITARI!$I392)</f>
        <v/>
      </c>
      <c r="H388" s="484" t="str">
        <f aca="false">IFERROR(IF($E388="","",DITARI!$H392),"")</f>
        <v/>
      </c>
      <c r="I388" s="487" t="n">
        <f aca="false">IF($E388="",0,IFERROR(DITARI!$F392,0))</f>
        <v>0</v>
      </c>
      <c r="J388" s="487" t="n">
        <f aca="false">IF($E388="",0,IFERROR(DITARI!$G392,0))</f>
        <v>0</v>
      </c>
      <c r="K388" s="484" t="str">
        <f aca="false">IF($E388="","",IFERROR(VLOOKUP($E388,PLANI_LLOGARIVE!$A:$I,9,FALSE()),""))</f>
        <v/>
      </c>
      <c r="L388" s="487" t="str">
        <f aca="false">IF($E388="","",$I388-$J388)</f>
        <v/>
      </c>
      <c r="M388" s="484" t="str">
        <f aca="false">IF($E388="","",IF($I388&gt;0,"DEBIT",IF($J388&gt;0,"KREDIT","ZERO")))</f>
        <v/>
      </c>
      <c r="N388" s="484" t="str">
        <f aca="false">IF($E388="","",TEXT($B388,"yyyymmdd")&amp;"-"&amp;TEXT(ROW(),"0000"))</f>
        <v/>
      </c>
      <c r="O388" s="101" t="str">
        <f aca="false">IF($E388="","",$E388&amp;"")</f>
        <v/>
      </c>
      <c r="P388" s="101" t="str">
        <f aca="false">IF(AND($O388&lt;&gt;"",$I388&lt;&gt;0),COUNTIFS($O$2:O388,$O388,$I$2:I388,"&gt;0"),"")</f>
        <v/>
      </c>
      <c r="Q388" s="101" t="str">
        <f aca="false">IF(AND($O388&lt;&gt;"",$J388&lt;&gt;0),COUNTIFS($O$2:O388,$O388,$J$2:J388,"&gt;0"),"")</f>
        <v/>
      </c>
      <c r="R388" s="101" t="str">
        <f aca="false">IF($P388="","",$O388&amp;"|"&amp;$P388)</f>
        <v/>
      </c>
      <c r="S388" s="101" t="str">
        <f aca="false">IF($Q388="","",$O388&amp;"|"&amp;$Q388)</f>
        <v/>
      </c>
      <c r="T388" s="101" t="str">
        <f aca="false">IF($O388="","",COUNTIF($O$2:O388,$O388))</f>
        <v/>
      </c>
      <c r="U388" s="101" t="str">
        <f aca="false">IF($O388="","",$O388&amp;"|"&amp;$T388)</f>
        <v/>
      </c>
      <c r="V388" s="488" t="n">
        <f aca="false">IF(OR(LEFT($D388,5)="MB-CL",LEFT($D388,6)="MB-RES"),0,$I388)</f>
        <v>0</v>
      </c>
      <c r="W388" s="488" t="n">
        <f aca="false">IF(OR(LEFT($D388,5)="MB-CL",LEFT($D388,6)="MB-RES"),0,$J388)</f>
        <v>0</v>
      </c>
      <c r="X388" s="101" t="str">
        <f aca="false">IF($E388="","",LEFT($E388,1))</f>
        <v/>
      </c>
      <c r="Y388" s="101" t="str">
        <f aca="false">IF($E388="","",LEFT($E388,2))</f>
        <v/>
      </c>
      <c r="Z388" s="101" t="str">
        <f aca="false">IF($E388="","",LEFT($E388,3))</f>
        <v/>
      </c>
      <c r="AA388" s="101" t="str">
        <f aca="false">IF($E388="","",LEFT($E388,4))</f>
        <v/>
      </c>
    </row>
    <row r="389" customFormat="false" ht="15" hidden="false" customHeight="true" outlineLevel="0" collapsed="false">
      <c r="A389" s="484" t="str">
        <f aca="false">IF(DITARI!$D393="","",ROW()-1)</f>
        <v/>
      </c>
      <c r="B389" s="485" t="str">
        <f aca="false">IF(DITARI!$D393="","",DITARI!$A393)</f>
        <v/>
      </c>
      <c r="C389" s="484" t="str">
        <f aca="false">IF(DITARI!$D393="","",DITARI!$B393)</f>
        <v/>
      </c>
      <c r="D389" s="484" t="str">
        <f aca="false">IF(DITARI!$D393="","",DITARI!$C393)</f>
        <v/>
      </c>
      <c r="E389" s="484" t="str">
        <f aca="false">IF(DITARI!$D393="","",TRIM(DITARI!$D393&amp;""))</f>
        <v/>
      </c>
      <c r="F389" s="484" t="str">
        <f aca="false">IF($E389="","",IFERROR(VLOOKUP($E389,PLANI_LLOGARIVE!$A:$I,2,FALSE()),DITARI!$E393))</f>
        <v/>
      </c>
      <c r="G389" s="484" t="str">
        <f aca="false">IF($E389="","",DITARI!$I393)</f>
        <v/>
      </c>
      <c r="H389" s="484" t="str">
        <f aca="false">IFERROR(IF($E389="","",DITARI!$H393),"")</f>
        <v/>
      </c>
      <c r="I389" s="487" t="n">
        <f aca="false">IF($E389="",0,IFERROR(DITARI!$F393,0))</f>
        <v>0</v>
      </c>
      <c r="J389" s="487" t="n">
        <f aca="false">IF($E389="",0,IFERROR(DITARI!$G393,0))</f>
        <v>0</v>
      </c>
      <c r="K389" s="484" t="str">
        <f aca="false">IF($E389="","",IFERROR(VLOOKUP($E389,PLANI_LLOGARIVE!$A:$I,9,FALSE()),""))</f>
        <v/>
      </c>
      <c r="L389" s="487" t="str">
        <f aca="false">IF($E389="","",$I389-$J389)</f>
        <v/>
      </c>
      <c r="M389" s="484" t="str">
        <f aca="false">IF($E389="","",IF($I389&gt;0,"DEBIT",IF($J389&gt;0,"KREDIT","ZERO")))</f>
        <v/>
      </c>
      <c r="N389" s="484" t="str">
        <f aca="false">IF($E389="","",TEXT($B389,"yyyymmdd")&amp;"-"&amp;TEXT(ROW(),"0000"))</f>
        <v/>
      </c>
      <c r="O389" s="101" t="str">
        <f aca="false">IF($E389="","",$E389&amp;"")</f>
        <v/>
      </c>
      <c r="P389" s="101" t="str">
        <f aca="false">IF(AND($O389&lt;&gt;"",$I389&lt;&gt;0),COUNTIFS($O$2:O389,$O389,$I$2:I389,"&gt;0"),"")</f>
        <v/>
      </c>
      <c r="Q389" s="101" t="str">
        <f aca="false">IF(AND($O389&lt;&gt;"",$J389&lt;&gt;0),COUNTIFS($O$2:O389,$O389,$J$2:J389,"&gt;0"),"")</f>
        <v/>
      </c>
      <c r="R389" s="101" t="str">
        <f aca="false">IF($P389="","",$O389&amp;"|"&amp;$P389)</f>
        <v/>
      </c>
      <c r="S389" s="101" t="str">
        <f aca="false">IF($Q389="","",$O389&amp;"|"&amp;$Q389)</f>
        <v/>
      </c>
      <c r="T389" s="101" t="str">
        <f aca="false">IF($O389="","",COUNTIF($O$2:O389,$O389))</f>
        <v/>
      </c>
      <c r="U389" s="101" t="str">
        <f aca="false">IF($O389="","",$O389&amp;"|"&amp;$T389)</f>
        <v/>
      </c>
      <c r="V389" s="488" t="n">
        <f aca="false">IF(OR(LEFT($D389,5)="MB-CL",LEFT($D389,6)="MB-RES"),0,$I389)</f>
        <v>0</v>
      </c>
      <c r="W389" s="488" t="n">
        <f aca="false">IF(OR(LEFT($D389,5)="MB-CL",LEFT($D389,6)="MB-RES"),0,$J389)</f>
        <v>0</v>
      </c>
      <c r="X389" s="101" t="str">
        <f aca="false">IF($E389="","",LEFT($E389,1))</f>
        <v/>
      </c>
      <c r="Y389" s="101" t="str">
        <f aca="false">IF($E389="","",LEFT($E389,2))</f>
        <v/>
      </c>
      <c r="Z389" s="101" t="str">
        <f aca="false">IF($E389="","",LEFT($E389,3))</f>
        <v/>
      </c>
      <c r="AA389" s="101" t="str">
        <f aca="false">IF($E389="","",LEFT($E389,4))</f>
        <v/>
      </c>
    </row>
    <row r="390" customFormat="false" ht="15" hidden="false" customHeight="true" outlineLevel="0" collapsed="false">
      <c r="A390" s="484" t="str">
        <f aca="false">IF(DITARI!$D394="","",ROW()-1)</f>
        <v/>
      </c>
      <c r="B390" s="485" t="str">
        <f aca="false">IF(DITARI!$D394="","",DITARI!$A394)</f>
        <v/>
      </c>
      <c r="C390" s="484" t="str">
        <f aca="false">IF(DITARI!$D394="","",DITARI!$B394)</f>
        <v/>
      </c>
      <c r="D390" s="484" t="str">
        <f aca="false">IF(DITARI!$D394="","",DITARI!$C394)</f>
        <v/>
      </c>
      <c r="E390" s="484" t="str">
        <f aca="false">IF(DITARI!$D394="","",TRIM(DITARI!$D394&amp;""))</f>
        <v/>
      </c>
      <c r="F390" s="484" t="str">
        <f aca="false">IF($E390="","",IFERROR(VLOOKUP($E390,PLANI_LLOGARIVE!$A:$I,2,FALSE()),DITARI!$E394))</f>
        <v/>
      </c>
      <c r="G390" s="484" t="str">
        <f aca="false">IF($E390="","",DITARI!$I394)</f>
        <v/>
      </c>
      <c r="H390" s="484" t="str">
        <f aca="false">IFERROR(IF($E390="","",DITARI!$H394),"")</f>
        <v/>
      </c>
      <c r="I390" s="487" t="n">
        <f aca="false">IF($E390="",0,IFERROR(DITARI!$F394,0))</f>
        <v>0</v>
      </c>
      <c r="J390" s="487" t="n">
        <f aca="false">IF($E390="",0,IFERROR(DITARI!$G394,0))</f>
        <v>0</v>
      </c>
      <c r="K390" s="484" t="str">
        <f aca="false">IF($E390="","",IFERROR(VLOOKUP($E390,PLANI_LLOGARIVE!$A:$I,9,FALSE()),""))</f>
        <v/>
      </c>
      <c r="L390" s="487" t="str">
        <f aca="false">IF($E390="","",$I390-$J390)</f>
        <v/>
      </c>
      <c r="M390" s="484" t="str">
        <f aca="false">IF($E390="","",IF($I390&gt;0,"DEBIT",IF($J390&gt;0,"KREDIT","ZERO")))</f>
        <v/>
      </c>
      <c r="N390" s="484" t="str">
        <f aca="false">IF($E390="","",TEXT($B390,"yyyymmdd")&amp;"-"&amp;TEXT(ROW(),"0000"))</f>
        <v/>
      </c>
      <c r="O390" s="101" t="str">
        <f aca="false">IF($E390="","",$E390&amp;"")</f>
        <v/>
      </c>
      <c r="P390" s="101" t="str">
        <f aca="false">IF(AND($O390&lt;&gt;"",$I390&lt;&gt;0),COUNTIFS($O$2:O390,$O390,$I$2:I390,"&gt;0"),"")</f>
        <v/>
      </c>
      <c r="Q390" s="101" t="str">
        <f aca="false">IF(AND($O390&lt;&gt;"",$J390&lt;&gt;0),COUNTIFS($O$2:O390,$O390,$J$2:J390,"&gt;0"),"")</f>
        <v/>
      </c>
      <c r="R390" s="101" t="str">
        <f aca="false">IF($P390="","",$O390&amp;"|"&amp;$P390)</f>
        <v/>
      </c>
      <c r="S390" s="101" t="str">
        <f aca="false">IF($Q390="","",$O390&amp;"|"&amp;$Q390)</f>
        <v/>
      </c>
      <c r="T390" s="101" t="str">
        <f aca="false">IF($O390="","",COUNTIF($O$2:O390,$O390))</f>
        <v/>
      </c>
      <c r="U390" s="101" t="str">
        <f aca="false">IF($O390="","",$O390&amp;"|"&amp;$T390)</f>
        <v/>
      </c>
      <c r="V390" s="488" t="n">
        <f aca="false">IF(OR(LEFT($D390,5)="MB-CL",LEFT($D390,6)="MB-RES"),0,$I390)</f>
        <v>0</v>
      </c>
      <c r="W390" s="488" t="n">
        <f aca="false">IF(OR(LEFT($D390,5)="MB-CL",LEFT($D390,6)="MB-RES"),0,$J390)</f>
        <v>0</v>
      </c>
      <c r="X390" s="101" t="str">
        <f aca="false">IF($E390="","",LEFT($E390,1))</f>
        <v/>
      </c>
      <c r="Y390" s="101" t="str">
        <f aca="false">IF($E390="","",LEFT($E390,2))</f>
        <v/>
      </c>
      <c r="Z390" s="101" t="str">
        <f aca="false">IF($E390="","",LEFT($E390,3))</f>
        <v/>
      </c>
      <c r="AA390" s="101" t="str">
        <f aca="false">IF($E390="","",LEFT($E390,4))</f>
        <v/>
      </c>
    </row>
    <row r="391" customFormat="false" ht="15" hidden="false" customHeight="true" outlineLevel="0" collapsed="false">
      <c r="A391" s="484" t="str">
        <f aca="false">IF(DITARI!$D395="","",ROW()-1)</f>
        <v/>
      </c>
      <c r="B391" s="485" t="str">
        <f aca="false">IF(DITARI!$D395="","",DITARI!$A395)</f>
        <v/>
      </c>
      <c r="C391" s="484" t="str">
        <f aca="false">IF(DITARI!$D395="","",DITARI!$B395)</f>
        <v/>
      </c>
      <c r="D391" s="484" t="str">
        <f aca="false">IF(DITARI!$D395="","",DITARI!$C395)</f>
        <v/>
      </c>
      <c r="E391" s="484" t="str">
        <f aca="false">IF(DITARI!$D395="","",TRIM(DITARI!$D395&amp;""))</f>
        <v/>
      </c>
      <c r="F391" s="484" t="str">
        <f aca="false">IF($E391="","",IFERROR(VLOOKUP($E391,PLANI_LLOGARIVE!$A:$I,2,FALSE()),DITARI!$E395))</f>
        <v/>
      </c>
      <c r="G391" s="484" t="str">
        <f aca="false">IF($E391="","",DITARI!$I395)</f>
        <v/>
      </c>
      <c r="H391" s="484" t="str">
        <f aca="false">IFERROR(IF($E391="","",DITARI!$H395),"")</f>
        <v/>
      </c>
      <c r="I391" s="487" t="n">
        <f aca="false">IF($E391="",0,IFERROR(DITARI!$F395,0))</f>
        <v>0</v>
      </c>
      <c r="J391" s="487" t="n">
        <f aca="false">IF($E391="",0,IFERROR(DITARI!$G395,0))</f>
        <v>0</v>
      </c>
      <c r="K391" s="484" t="str">
        <f aca="false">IF($E391="","",IFERROR(VLOOKUP($E391,PLANI_LLOGARIVE!$A:$I,9,FALSE()),""))</f>
        <v/>
      </c>
      <c r="L391" s="487" t="str">
        <f aca="false">IF($E391="","",$I391-$J391)</f>
        <v/>
      </c>
      <c r="M391" s="484" t="str">
        <f aca="false">IF($E391="","",IF($I391&gt;0,"DEBIT",IF($J391&gt;0,"KREDIT","ZERO")))</f>
        <v/>
      </c>
      <c r="N391" s="484" t="str">
        <f aca="false">IF($E391="","",TEXT($B391,"yyyymmdd")&amp;"-"&amp;TEXT(ROW(),"0000"))</f>
        <v/>
      </c>
      <c r="O391" s="101" t="str">
        <f aca="false">IF($E391="","",$E391&amp;"")</f>
        <v/>
      </c>
      <c r="P391" s="101" t="str">
        <f aca="false">IF(AND($O391&lt;&gt;"",$I391&lt;&gt;0),COUNTIFS($O$2:O391,$O391,$I$2:I391,"&gt;0"),"")</f>
        <v/>
      </c>
      <c r="Q391" s="101" t="str">
        <f aca="false">IF(AND($O391&lt;&gt;"",$J391&lt;&gt;0),COUNTIFS($O$2:O391,$O391,$J$2:J391,"&gt;0"),"")</f>
        <v/>
      </c>
      <c r="R391" s="101" t="str">
        <f aca="false">IF($P391="","",$O391&amp;"|"&amp;$P391)</f>
        <v/>
      </c>
      <c r="S391" s="101" t="str">
        <f aca="false">IF($Q391="","",$O391&amp;"|"&amp;$Q391)</f>
        <v/>
      </c>
      <c r="T391" s="101" t="str">
        <f aca="false">IF($O391="","",COUNTIF($O$2:O391,$O391))</f>
        <v/>
      </c>
      <c r="U391" s="101" t="str">
        <f aca="false">IF($O391="","",$O391&amp;"|"&amp;$T391)</f>
        <v/>
      </c>
      <c r="V391" s="488" t="n">
        <f aca="false">IF(OR(LEFT($D391,5)="MB-CL",LEFT($D391,6)="MB-RES"),0,$I391)</f>
        <v>0</v>
      </c>
      <c r="W391" s="488" t="n">
        <f aca="false">IF(OR(LEFT($D391,5)="MB-CL",LEFT($D391,6)="MB-RES"),0,$J391)</f>
        <v>0</v>
      </c>
      <c r="X391" s="101" t="str">
        <f aca="false">IF($E391="","",LEFT($E391,1))</f>
        <v/>
      </c>
      <c r="Y391" s="101" t="str">
        <f aca="false">IF($E391="","",LEFT($E391,2))</f>
        <v/>
      </c>
      <c r="Z391" s="101" t="str">
        <f aca="false">IF($E391="","",LEFT($E391,3))</f>
        <v/>
      </c>
      <c r="AA391" s="101" t="str">
        <f aca="false">IF($E391="","",LEFT($E391,4))</f>
        <v/>
      </c>
    </row>
    <row r="392" customFormat="false" ht="15" hidden="false" customHeight="true" outlineLevel="0" collapsed="false">
      <c r="A392" s="484" t="str">
        <f aca="false">IF(DITARI!$D396="","",ROW()-1)</f>
        <v/>
      </c>
      <c r="B392" s="485" t="str">
        <f aca="false">IF(DITARI!$D396="","",DITARI!$A396)</f>
        <v/>
      </c>
      <c r="C392" s="484" t="str">
        <f aca="false">IF(DITARI!$D396="","",DITARI!$B396)</f>
        <v/>
      </c>
      <c r="D392" s="484" t="str">
        <f aca="false">IF(DITARI!$D396="","",DITARI!$C396)</f>
        <v/>
      </c>
      <c r="E392" s="484" t="str">
        <f aca="false">IF(DITARI!$D396="","",TRIM(DITARI!$D396&amp;""))</f>
        <v/>
      </c>
      <c r="F392" s="484" t="str">
        <f aca="false">IF($E392="","",IFERROR(VLOOKUP($E392,PLANI_LLOGARIVE!$A:$I,2,FALSE()),DITARI!$E396))</f>
        <v/>
      </c>
      <c r="G392" s="484" t="str">
        <f aca="false">IF($E392="","",DITARI!$I396)</f>
        <v/>
      </c>
      <c r="H392" s="484" t="str">
        <f aca="false">IFERROR(IF($E392="","",DITARI!$H396),"")</f>
        <v/>
      </c>
      <c r="I392" s="487" t="n">
        <f aca="false">IF($E392="",0,IFERROR(DITARI!$F396,0))</f>
        <v>0</v>
      </c>
      <c r="J392" s="487" t="n">
        <f aca="false">IF($E392="",0,IFERROR(DITARI!$G396,0))</f>
        <v>0</v>
      </c>
      <c r="K392" s="484" t="str">
        <f aca="false">IF($E392="","",IFERROR(VLOOKUP($E392,PLANI_LLOGARIVE!$A:$I,9,FALSE()),""))</f>
        <v/>
      </c>
      <c r="L392" s="487" t="str">
        <f aca="false">IF($E392="","",$I392-$J392)</f>
        <v/>
      </c>
      <c r="M392" s="484" t="str">
        <f aca="false">IF($E392="","",IF($I392&gt;0,"DEBIT",IF($J392&gt;0,"KREDIT","ZERO")))</f>
        <v/>
      </c>
      <c r="N392" s="484" t="str">
        <f aca="false">IF($E392="","",TEXT($B392,"yyyymmdd")&amp;"-"&amp;TEXT(ROW(),"0000"))</f>
        <v/>
      </c>
      <c r="O392" s="101" t="str">
        <f aca="false">IF($E392="","",$E392&amp;"")</f>
        <v/>
      </c>
      <c r="P392" s="101" t="str">
        <f aca="false">IF(AND($O392&lt;&gt;"",$I392&lt;&gt;0),COUNTIFS($O$2:O392,$O392,$I$2:I392,"&gt;0"),"")</f>
        <v/>
      </c>
      <c r="Q392" s="101" t="str">
        <f aca="false">IF(AND($O392&lt;&gt;"",$J392&lt;&gt;0),COUNTIFS($O$2:O392,$O392,$J$2:J392,"&gt;0"),"")</f>
        <v/>
      </c>
      <c r="R392" s="101" t="str">
        <f aca="false">IF($P392="","",$O392&amp;"|"&amp;$P392)</f>
        <v/>
      </c>
      <c r="S392" s="101" t="str">
        <f aca="false">IF($Q392="","",$O392&amp;"|"&amp;$Q392)</f>
        <v/>
      </c>
      <c r="T392" s="101" t="str">
        <f aca="false">IF($O392="","",COUNTIF($O$2:O392,$O392))</f>
        <v/>
      </c>
      <c r="U392" s="101" t="str">
        <f aca="false">IF($O392="","",$O392&amp;"|"&amp;$T392)</f>
        <v/>
      </c>
      <c r="V392" s="488" t="n">
        <f aca="false">IF(OR(LEFT($D392,5)="MB-CL",LEFT($D392,6)="MB-RES"),0,$I392)</f>
        <v>0</v>
      </c>
      <c r="W392" s="488" t="n">
        <f aca="false">IF(OR(LEFT($D392,5)="MB-CL",LEFT($D392,6)="MB-RES"),0,$J392)</f>
        <v>0</v>
      </c>
      <c r="X392" s="101" t="str">
        <f aca="false">IF($E392="","",LEFT($E392,1))</f>
        <v/>
      </c>
      <c r="Y392" s="101" t="str">
        <f aca="false">IF($E392="","",LEFT($E392,2))</f>
        <v/>
      </c>
      <c r="Z392" s="101" t="str">
        <f aca="false">IF($E392="","",LEFT($E392,3))</f>
        <v/>
      </c>
      <c r="AA392" s="101" t="str">
        <f aca="false">IF($E392="","",LEFT($E392,4))</f>
        <v/>
      </c>
    </row>
    <row r="393" customFormat="false" ht="15" hidden="false" customHeight="true" outlineLevel="0" collapsed="false">
      <c r="A393" s="484" t="str">
        <f aca="false">IF(DITARI!$D397="","",ROW()-1)</f>
        <v/>
      </c>
      <c r="B393" s="485" t="str">
        <f aca="false">IF(DITARI!$D397="","",DITARI!$A397)</f>
        <v/>
      </c>
      <c r="C393" s="484" t="str">
        <f aca="false">IF(DITARI!$D397="","",DITARI!$B397)</f>
        <v/>
      </c>
      <c r="D393" s="484" t="str">
        <f aca="false">IF(DITARI!$D397="","",DITARI!$C397)</f>
        <v/>
      </c>
      <c r="E393" s="484" t="str">
        <f aca="false">IF(DITARI!$D397="","",TRIM(DITARI!$D397&amp;""))</f>
        <v/>
      </c>
      <c r="F393" s="484" t="str">
        <f aca="false">IF($E393="","",IFERROR(VLOOKUP($E393,PLANI_LLOGARIVE!$A:$I,2,FALSE()),DITARI!$E397))</f>
        <v/>
      </c>
      <c r="G393" s="484" t="str">
        <f aca="false">IF($E393="","",DITARI!$I397)</f>
        <v/>
      </c>
      <c r="H393" s="484" t="str">
        <f aca="false">IFERROR(IF($E393="","",DITARI!$H397),"")</f>
        <v/>
      </c>
      <c r="I393" s="487" t="n">
        <f aca="false">IF($E393="",0,IFERROR(DITARI!$F397,0))</f>
        <v>0</v>
      </c>
      <c r="J393" s="487" t="n">
        <f aca="false">IF($E393="",0,IFERROR(DITARI!$G397,0))</f>
        <v>0</v>
      </c>
      <c r="K393" s="484" t="str">
        <f aca="false">IF($E393="","",IFERROR(VLOOKUP($E393,PLANI_LLOGARIVE!$A:$I,9,FALSE()),""))</f>
        <v/>
      </c>
      <c r="L393" s="487" t="str">
        <f aca="false">IF($E393="","",$I393-$J393)</f>
        <v/>
      </c>
      <c r="M393" s="484" t="str">
        <f aca="false">IF($E393="","",IF($I393&gt;0,"DEBIT",IF($J393&gt;0,"KREDIT","ZERO")))</f>
        <v/>
      </c>
      <c r="N393" s="484" t="str">
        <f aca="false">IF($E393="","",TEXT($B393,"yyyymmdd")&amp;"-"&amp;TEXT(ROW(),"0000"))</f>
        <v/>
      </c>
      <c r="O393" s="101" t="str">
        <f aca="false">IF($E393="","",$E393&amp;"")</f>
        <v/>
      </c>
      <c r="P393" s="101" t="str">
        <f aca="false">IF(AND($O393&lt;&gt;"",$I393&lt;&gt;0),COUNTIFS($O$2:O393,$O393,$I$2:I393,"&gt;0"),"")</f>
        <v/>
      </c>
      <c r="Q393" s="101" t="str">
        <f aca="false">IF(AND($O393&lt;&gt;"",$J393&lt;&gt;0),COUNTIFS($O$2:O393,$O393,$J$2:J393,"&gt;0"),"")</f>
        <v/>
      </c>
      <c r="R393" s="101" t="str">
        <f aca="false">IF($P393="","",$O393&amp;"|"&amp;$P393)</f>
        <v/>
      </c>
      <c r="S393" s="101" t="str">
        <f aca="false">IF($Q393="","",$O393&amp;"|"&amp;$Q393)</f>
        <v/>
      </c>
      <c r="T393" s="101" t="str">
        <f aca="false">IF($O393="","",COUNTIF($O$2:O393,$O393))</f>
        <v/>
      </c>
      <c r="U393" s="101" t="str">
        <f aca="false">IF($O393="","",$O393&amp;"|"&amp;$T393)</f>
        <v/>
      </c>
      <c r="V393" s="488" t="n">
        <f aca="false">IF(OR(LEFT($D393,5)="MB-CL",LEFT($D393,6)="MB-RES"),0,$I393)</f>
        <v>0</v>
      </c>
      <c r="W393" s="488" t="n">
        <f aca="false">IF(OR(LEFT($D393,5)="MB-CL",LEFT($D393,6)="MB-RES"),0,$J393)</f>
        <v>0</v>
      </c>
      <c r="X393" s="101" t="str">
        <f aca="false">IF($E393="","",LEFT($E393,1))</f>
        <v/>
      </c>
      <c r="Y393" s="101" t="str">
        <f aca="false">IF($E393="","",LEFT($E393,2))</f>
        <v/>
      </c>
      <c r="Z393" s="101" t="str">
        <f aca="false">IF($E393="","",LEFT($E393,3))</f>
        <v/>
      </c>
      <c r="AA393" s="101" t="str">
        <f aca="false">IF($E393="","",LEFT($E393,4))</f>
        <v/>
      </c>
    </row>
    <row r="394" customFormat="false" ht="15" hidden="false" customHeight="true" outlineLevel="0" collapsed="false">
      <c r="A394" s="484" t="str">
        <f aca="false">IF(DITARI!$D398="","",ROW()-1)</f>
        <v/>
      </c>
      <c r="B394" s="485" t="str">
        <f aca="false">IF(DITARI!$D398="","",DITARI!$A398)</f>
        <v/>
      </c>
      <c r="C394" s="484" t="str">
        <f aca="false">IF(DITARI!$D398="","",DITARI!$B398)</f>
        <v/>
      </c>
      <c r="D394" s="484" t="str">
        <f aca="false">IF(DITARI!$D398="","",DITARI!$C398)</f>
        <v/>
      </c>
      <c r="E394" s="484" t="str">
        <f aca="false">IF(DITARI!$D398="","",TRIM(DITARI!$D398&amp;""))</f>
        <v/>
      </c>
      <c r="F394" s="484" t="str">
        <f aca="false">IF($E394="","",IFERROR(VLOOKUP($E394,PLANI_LLOGARIVE!$A:$I,2,FALSE()),DITARI!$E398))</f>
        <v/>
      </c>
      <c r="G394" s="484" t="str">
        <f aca="false">IF($E394="","",DITARI!$I398)</f>
        <v/>
      </c>
      <c r="H394" s="484" t="str">
        <f aca="false">IFERROR(IF($E394="","",DITARI!$H398),"")</f>
        <v/>
      </c>
      <c r="I394" s="487" t="n">
        <f aca="false">IF($E394="",0,IFERROR(DITARI!$F398,0))</f>
        <v>0</v>
      </c>
      <c r="J394" s="487" t="n">
        <f aca="false">IF($E394="",0,IFERROR(DITARI!$G398,0))</f>
        <v>0</v>
      </c>
      <c r="K394" s="484" t="str">
        <f aca="false">IF($E394="","",IFERROR(VLOOKUP($E394,PLANI_LLOGARIVE!$A:$I,9,FALSE()),""))</f>
        <v/>
      </c>
      <c r="L394" s="487" t="str">
        <f aca="false">IF($E394="","",$I394-$J394)</f>
        <v/>
      </c>
      <c r="M394" s="484" t="str">
        <f aca="false">IF($E394="","",IF($I394&gt;0,"DEBIT",IF($J394&gt;0,"KREDIT","ZERO")))</f>
        <v/>
      </c>
      <c r="N394" s="484" t="str">
        <f aca="false">IF($E394="","",TEXT($B394,"yyyymmdd")&amp;"-"&amp;TEXT(ROW(),"0000"))</f>
        <v/>
      </c>
      <c r="O394" s="101" t="str">
        <f aca="false">IF($E394="","",$E394&amp;"")</f>
        <v/>
      </c>
      <c r="P394" s="101" t="str">
        <f aca="false">IF(AND($O394&lt;&gt;"",$I394&lt;&gt;0),COUNTIFS($O$2:O394,$O394,$I$2:I394,"&gt;0"),"")</f>
        <v/>
      </c>
      <c r="Q394" s="101" t="str">
        <f aca="false">IF(AND($O394&lt;&gt;"",$J394&lt;&gt;0),COUNTIFS($O$2:O394,$O394,$J$2:J394,"&gt;0"),"")</f>
        <v/>
      </c>
      <c r="R394" s="101" t="str">
        <f aca="false">IF($P394="","",$O394&amp;"|"&amp;$P394)</f>
        <v/>
      </c>
      <c r="S394" s="101" t="str">
        <f aca="false">IF($Q394="","",$O394&amp;"|"&amp;$Q394)</f>
        <v/>
      </c>
      <c r="T394" s="101" t="str">
        <f aca="false">IF($O394="","",COUNTIF($O$2:O394,$O394))</f>
        <v/>
      </c>
      <c r="U394" s="101" t="str">
        <f aca="false">IF($O394="","",$O394&amp;"|"&amp;$T394)</f>
        <v/>
      </c>
      <c r="V394" s="488" t="n">
        <f aca="false">IF(OR(LEFT($D394,5)="MB-CL",LEFT($D394,6)="MB-RES"),0,$I394)</f>
        <v>0</v>
      </c>
      <c r="W394" s="488" t="n">
        <f aca="false">IF(OR(LEFT($D394,5)="MB-CL",LEFT($D394,6)="MB-RES"),0,$J394)</f>
        <v>0</v>
      </c>
      <c r="X394" s="101" t="str">
        <f aca="false">IF($E394="","",LEFT($E394,1))</f>
        <v/>
      </c>
      <c r="Y394" s="101" t="str">
        <f aca="false">IF($E394="","",LEFT($E394,2))</f>
        <v/>
      </c>
      <c r="Z394" s="101" t="str">
        <f aca="false">IF($E394="","",LEFT($E394,3))</f>
        <v/>
      </c>
      <c r="AA394" s="101" t="str">
        <f aca="false">IF($E394="","",LEFT($E394,4))</f>
        <v/>
      </c>
    </row>
    <row r="395" customFormat="false" ht="15" hidden="false" customHeight="true" outlineLevel="0" collapsed="false">
      <c r="A395" s="484" t="str">
        <f aca="false">IF(DITARI!$D399="","",ROW()-1)</f>
        <v/>
      </c>
      <c r="B395" s="485" t="str">
        <f aca="false">IF(DITARI!$D399="","",DITARI!$A399)</f>
        <v/>
      </c>
      <c r="C395" s="484" t="str">
        <f aca="false">IF(DITARI!$D399="","",DITARI!$B399)</f>
        <v/>
      </c>
      <c r="D395" s="484" t="str">
        <f aca="false">IF(DITARI!$D399="","",DITARI!$C399)</f>
        <v/>
      </c>
      <c r="E395" s="484" t="str">
        <f aca="false">IF(DITARI!$D399="","",TRIM(DITARI!$D399&amp;""))</f>
        <v/>
      </c>
      <c r="F395" s="484" t="str">
        <f aca="false">IF($E395="","",IFERROR(VLOOKUP($E395,PLANI_LLOGARIVE!$A:$I,2,FALSE()),DITARI!$E399))</f>
        <v/>
      </c>
      <c r="G395" s="484" t="str">
        <f aca="false">IF($E395="","",DITARI!$I399)</f>
        <v/>
      </c>
      <c r="H395" s="484" t="str">
        <f aca="false">IFERROR(IF($E395="","",DITARI!$H399),"")</f>
        <v/>
      </c>
      <c r="I395" s="487" t="n">
        <f aca="false">IF($E395="",0,IFERROR(DITARI!$F399,0))</f>
        <v>0</v>
      </c>
      <c r="J395" s="487" t="n">
        <f aca="false">IF($E395="",0,IFERROR(DITARI!$G399,0))</f>
        <v>0</v>
      </c>
      <c r="K395" s="484" t="str">
        <f aca="false">IF($E395="","",IFERROR(VLOOKUP($E395,PLANI_LLOGARIVE!$A:$I,9,FALSE()),""))</f>
        <v/>
      </c>
      <c r="L395" s="487" t="str">
        <f aca="false">IF($E395="","",$I395-$J395)</f>
        <v/>
      </c>
      <c r="M395" s="484" t="str">
        <f aca="false">IF($E395="","",IF($I395&gt;0,"DEBIT",IF($J395&gt;0,"KREDIT","ZERO")))</f>
        <v/>
      </c>
      <c r="N395" s="484" t="str">
        <f aca="false">IF($E395="","",TEXT($B395,"yyyymmdd")&amp;"-"&amp;TEXT(ROW(),"0000"))</f>
        <v/>
      </c>
      <c r="O395" s="101" t="str">
        <f aca="false">IF($E395="","",$E395&amp;"")</f>
        <v/>
      </c>
      <c r="P395" s="101" t="str">
        <f aca="false">IF(AND($O395&lt;&gt;"",$I395&lt;&gt;0),COUNTIFS($O$2:O395,$O395,$I$2:I395,"&gt;0"),"")</f>
        <v/>
      </c>
      <c r="Q395" s="101" t="str">
        <f aca="false">IF(AND($O395&lt;&gt;"",$J395&lt;&gt;0),COUNTIFS($O$2:O395,$O395,$J$2:J395,"&gt;0"),"")</f>
        <v/>
      </c>
      <c r="R395" s="101" t="str">
        <f aca="false">IF($P395="","",$O395&amp;"|"&amp;$P395)</f>
        <v/>
      </c>
      <c r="S395" s="101" t="str">
        <f aca="false">IF($Q395="","",$O395&amp;"|"&amp;$Q395)</f>
        <v/>
      </c>
      <c r="T395" s="101" t="str">
        <f aca="false">IF($O395="","",COUNTIF($O$2:O395,$O395))</f>
        <v/>
      </c>
      <c r="U395" s="101" t="str">
        <f aca="false">IF($O395="","",$O395&amp;"|"&amp;$T395)</f>
        <v/>
      </c>
      <c r="V395" s="488" t="n">
        <f aca="false">IF(OR(LEFT($D395,5)="MB-CL",LEFT($D395,6)="MB-RES"),0,$I395)</f>
        <v>0</v>
      </c>
      <c r="W395" s="488" t="n">
        <f aca="false">IF(OR(LEFT($D395,5)="MB-CL",LEFT($D395,6)="MB-RES"),0,$J395)</f>
        <v>0</v>
      </c>
      <c r="X395" s="101" t="str">
        <f aca="false">IF($E395="","",LEFT($E395,1))</f>
        <v/>
      </c>
      <c r="Y395" s="101" t="str">
        <f aca="false">IF($E395="","",LEFT($E395,2))</f>
        <v/>
      </c>
      <c r="Z395" s="101" t="str">
        <f aca="false">IF($E395="","",LEFT($E395,3))</f>
        <v/>
      </c>
      <c r="AA395" s="101" t="str">
        <f aca="false">IF($E395="","",LEFT($E395,4))</f>
        <v/>
      </c>
    </row>
    <row r="396" customFormat="false" ht="15" hidden="false" customHeight="true" outlineLevel="0" collapsed="false">
      <c r="A396" s="484" t="str">
        <f aca="false">IF(DITARI!$D400="","",ROW()-1)</f>
        <v/>
      </c>
      <c r="B396" s="485" t="str">
        <f aca="false">IF(DITARI!$D400="","",DITARI!$A400)</f>
        <v/>
      </c>
      <c r="C396" s="484" t="str">
        <f aca="false">IF(DITARI!$D400="","",DITARI!$B400)</f>
        <v/>
      </c>
      <c r="D396" s="484" t="str">
        <f aca="false">IF(DITARI!$D400="","",DITARI!$C400)</f>
        <v/>
      </c>
      <c r="E396" s="484" t="str">
        <f aca="false">IF(DITARI!$D400="","",TRIM(DITARI!$D400&amp;""))</f>
        <v/>
      </c>
      <c r="F396" s="484" t="str">
        <f aca="false">IF($E396="","",IFERROR(VLOOKUP($E396,PLANI_LLOGARIVE!$A:$I,2,FALSE()),DITARI!$E400))</f>
        <v/>
      </c>
      <c r="G396" s="484" t="str">
        <f aca="false">IF($E396="","",DITARI!$I400)</f>
        <v/>
      </c>
      <c r="H396" s="484" t="str">
        <f aca="false">IFERROR(IF($E396="","",DITARI!$H400),"")</f>
        <v/>
      </c>
      <c r="I396" s="487" t="n">
        <f aca="false">IF($E396="",0,IFERROR(DITARI!$F400,0))</f>
        <v>0</v>
      </c>
      <c r="J396" s="487" t="n">
        <f aca="false">IF($E396="",0,IFERROR(DITARI!$G400,0))</f>
        <v>0</v>
      </c>
      <c r="K396" s="484" t="str">
        <f aca="false">IF($E396="","",IFERROR(VLOOKUP($E396,PLANI_LLOGARIVE!$A:$I,9,FALSE()),""))</f>
        <v/>
      </c>
      <c r="L396" s="487" t="str">
        <f aca="false">IF($E396="","",$I396-$J396)</f>
        <v/>
      </c>
      <c r="M396" s="484" t="str">
        <f aca="false">IF($E396="","",IF($I396&gt;0,"DEBIT",IF($J396&gt;0,"KREDIT","ZERO")))</f>
        <v/>
      </c>
      <c r="N396" s="484" t="str">
        <f aca="false">IF($E396="","",TEXT($B396,"yyyymmdd")&amp;"-"&amp;TEXT(ROW(),"0000"))</f>
        <v/>
      </c>
      <c r="O396" s="101" t="str">
        <f aca="false">IF($E396="","",$E396&amp;"")</f>
        <v/>
      </c>
      <c r="P396" s="101" t="str">
        <f aca="false">IF(AND($O396&lt;&gt;"",$I396&lt;&gt;0),COUNTIFS($O$2:O396,$O396,$I$2:I396,"&gt;0"),"")</f>
        <v/>
      </c>
      <c r="Q396" s="101" t="str">
        <f aca="false">IF(AND($O396&lt;&gt;"",$J396&lt;&gt;0),COUNTIFS($O$2:O396,$O396,$J$2:J396,"&gt;0"),"")</f>
        <v/>
      </c>
      <c r="R396" s="101" t="str">
        <f aca="false">IF($P396="","",$O396&amp;"|"&amp;$P396)</f>
        <v/>
      </c>
      <c r="S396" s="101" t="str">
        <f aca="false">IF($Q396="","",$O396&amp;"|"&amp;$Q396)</f>
        <v/>
      </c>
      <c r="T396" s="101" t="str">
        <f aca="false">IF($O396="","",COUNTIF($O$2:O396,$O396))</f>
        <v/>
      </c>
      <c r="U396" s="101" t="str">
        <f aca="false">IF($O396="","",$O396&amp;"|"&amp;$T396)</f>
        <v/>
      </c>
      <c r="V396" s="488" t="n">
        <f aca="false">IF(OR(LEFT($D396,5)="MB-CL",LEFT($D396,6)="MB-RES"),0,$I396)</f>
        <v>0</v>
      </c>
      <c r="W396" s="488" t="n">
        <f aca="false">IF(OR(LEFT($D396,5)="MB-CL",LEFT($D396,6)="MB-RES"),0,$J396)</f>
        <v>0</v>
      </c>
      <c r="X396" s="101" t="str">
        <f aca="false">IF($E396="","",LEFT($E396,1))</f>
        <v/>
      </c>
      <c r="Y396" s="101" t="str">
        <f aca="false">IF($E396="","",LEFT($E396,2))</f>
        <v/>
      </c>
      <c r="Z396" s="101" t="str">
        <f aca="false">IF($E396="","",LEFT($E396,3))</f>
        <v/>
      </c>
      <c r="AA396" s="101" t="str">
        <f aca="false">IF($E396="","",LEFT($E396,4))</f>
        <v/>
      </c>
    </row>
    <row r="397" customFormat="false" ht="15" hidden="false" customHeight="true" outlineLevel="0" collapsed="false">
      <c r="A397" s="484" t="str">
        <f aca="false">IF(DITARI!$D401="","",ROW()-1)</f>
        <v/>
      </c>
      <c r="B397" s="485" t="str">
        <f aca="false">IF(DITARI!$D401="","",DITARI!$A401)</f>
        <v/>
      </c>
      <c r="C397" s="484" t="str">
        <f aca="false">IF(DITARI!$D401="","",DITARI!$B401)</f>
        <v/>
      </c>
      <c r="D397" s="484" t="str">
        <f aca="false">IF(DITARI!$D401="","",DITARI!$C401)</f>
        <v/>
      </c>
      <c r="E397" s="484" t="str">
        <f aca="false">IF(DITARI!$D401="","",TRIM(DITARI!$D401&amp;""))</f>
        <v/>
      </c>
      <c r="F397" s="484" t="str">
        <f aca="false">IF($E397="","",IFERROR(VLOOKUP($E397,PLANI_LLOGARIVE!$A:$I,2,FALSE()),DITARI!$E401))</f>
        <v/>
      </c>
      <c r="G397" s="484" t="str">
        <f aca="false">IF($E397="","",DITARI!$I401)</f>
        <v/>
      </c>
      <c r="H397" s="484" t="str">
        <f aca="false">IFERROR(IF($E397="","",DITARI!$H401),"")</f>
        <v/>
      </c>
      <c r="I397" s="487" t="n">
        <f aca="false">IF($E397="",0,IFERROR(DITARI!$F401,0))</f>
        <v>0</v>
      </c>
      <c r="J397" s="487" t="n">
        <f aca="false">IF($E397="",0,IFERROR(DITARI!$G401,0))</f>
        <v>0</v>
      </c>
      <c r="K397" s="484" t="str">
        <f aca="false">IF($E397="","",IFERROR(VLOOKUP($E397,PLANI_LLOGARIVE!$A:$I,9,FALSE()),""))</f>
        <v/>
      </c>
      <c r="L397" s="487" t="str">
        <f aca="false">IF($E397="","",$I397-$J397)</f>
        <v/>
      </c>
      <c r="M397" s="484" t="str">
        <f aca="false">IF($E397="","",IF($I397&gt;0,"DEBIT",IF($J397&gt;0,"KREDIT","ZERO")))</f>
        <v/>
      </c>
      <c r="N397" s="484" t="str">
        <f aca="false">IF($E397="","",TEXT($B397,"yyyymmdd")&amp;"-"&amp;TEXT(ROW(),"0000"))</f>
        <v/>
      </c>
      <c r="O397" s="101" t="str">
        <f aca="false">IF($E397="","",$E397&amp;"")</f>
        <v/>
      </c>
      <c r="P397" s="101" t="str">
        <f aca="false">IF(AND($O397&lt;&gt;"",$I397&lt;&gt;0),COUNTIFS($O$2:O397,$O397,$I$2:I397,"&gt;0"),"")</f>
        <v/>
      </c>
      <c r="Q397" s="101" t="str">
        <f aca="false">IF(AND($O397&lt;&gt;"",$J397&lt;&gt;0),COUNTIFS($O$2:O397,$O397,$J$2:J397,"&gt;0"),"")</f>
        <v/>
      </c>
      <c r="R397" s="101" t="str">
        <f aca="false">IF($P397="","",$O397&amp;"|"&amp;$P397)</f>
        <v/>
      </c>
      <c r="S397" s="101" t="str">
        <f aca="false">IF($Q397="","",$O397&amp;"|"&amp;$Q397)</f>
        <v/>
      </c>
      <c r="T397" s="101" t="str">
        <f aca="false">IF($O397="","",COUNTIF($O$2:O397,$O397))</f>
        <v/>
      </c>
      <c r="U397" s="101" t="str">
        <f aca="false">IF($O397="","",$O397&amp;"|"&amp;$T397)</f>
        <v/>
      </c>
      <c r="V397" s="488" t="n">
        <f aca="false">IF(OR(LEFT($D397,5)="MB-CL",LEFT($D397,6)="MB-RES"),0,$I397)</f>
        <v>0</v>
      </c>
      <c r="W397" s="488" t="n">
        <f aca="false">IF(OR(LEFT($D397,5)="MB-CL",LEFT($D397,6)="MB-RES"),0,$J397)</f>
        <v>0</v>
      </c>
      <c r="X397" s="101" t="str">
        <f aca="false">IF($E397="","",LEFT($E397,1))</f>
        <v/>
      </c>
      <c r="Y397" s="101" t="str">
        <f aca="false">IF($E397="","",LEFT($E397,2))</f>
        <v/>
      </c>
      <c r="Z397" s="101" t="str">
        <f aca="false">IF($E397="","",LEFT($E397,3))</f>
        <v/>
      </c>
      <c r="AA397" s="101" t="str">
        <f aca="false">IF($E397="","",LEFT($E397,4))</f>
        <v/>
      </c>
    </row>
    <row r="398" customFormat="false" ht="15" hidden="false" customHeight="true" outlineLevel="0" collapsed="false">
      <c r="A398" s="484" t="str">
        <f aca="false">IF(DITARI!$D402="","",ROW()-1)</f>
        <v/>
      </c>
      <c r="B398" s="485" t="str">
        <f aca="false">IF(DITARI!$D402="","",DITARI!$A402)</f>
        <v/>
      </c>
      <c r="C398" s="484" t="str">
        <f aca="false">IF(DITARI!$D402="","",DITARI!$B402)</f>
        <v/>
      </c>
      <c r="D398" s="484" t="str">
        <f aca="false">IF(DITARI!$D402="","",DITARI!$C402)</f>
        <v/>
      </c>
      <c r="E398" s="484" t="str">
        <f aca="false">IF(DITARI!$D402="","",TRIM(DITARI!$D402&amp;""))</f>
        <v/>
      </c>
      <c r="F398" s="484" t="str">
        <f aca="false">IF($E398="","",IFERROR(VLOOKUP($E398,PLANI_LLOGARIVE!$A:$I,2,FALSE()),DITARI!$E402))</f>
        <v/>
      </c>
      <c r="G398" s="484" t="str">
        <f aca="false">IF($E398="","",DITARI!$I402)</f>
        <v/>
      </c>
      <c r="H398" s="484" t="str">
        <f aca="false">IFERROR(IF($E398="","",DITARI!$H402),"")</f>
        <v/>
      </c>
      <c r="I398" s="487" t="n">
        <f aca="false">IF($E398="",0,IFERROR(DITARI!$F402,0))</f>
        <v>0</v>
      </c>
      <c r="J398" s="487" t="n">
        <f aca="false">IF($E398="",0,IFERROR(DITARI!$G402,0))</f>
        <v>0</v>
      </c>
      <c r="K398" s="484" t="str">
        <f aca="false">IF($E398="","",IFERROR(VLOOKUP($E398,PLANI_LLOGARIVE!$A:$I,9,FALSE()),""))</f>
        <v/>
      </c>
      <c r="L398" s="487" t="str">
        <f aca="false">IF($E398="","",$I398-$J398)</f>
        <v/>
      </c>
      <c r="M398" s="484" t="str">
        <f aca="false">IF($E398="","",IF($I398&gt;0,"DEBIT",IF($J398&gt;0,"KREDIT","ZERO")))</f>
        <v/>
      </c>
      <c r="N398" s="484" t="str">
        <f aca="false">IF($E398="","",TEXT($B398,"yyyymmdd")&amp;"-"&amp;TEXT(ROW(),"0000"))</f>
        <v/>
      </c>
      <c r="O398" s="101" t="str">
        <f aca="false">IF($E398="","",$E398&amp;"")</f>
        <v/>
      </c>
      <c r="P398" s="101" t="str">
        <f aca="false">IF(AND($O398&lt;&gt;"",$I398&lt;&gt;0),COUNTIFS($O$2:O398,$O398,$I$2:I398,"&gt;0"),"")</f>
        <v/>
      </c>
      <c r="Q398" s="101" t="str">
        <f aca="false">IF(AND($O398&lt;&gt;"",$J398&lt;&gt;0),COUNTIFS($O$2:O398,$O398,$J$2:J398,"&gt;0"),"")</f>
        <v/>
      </c>
      <c r="R398" s="101" t="str">
        <f aca="false">IF($P398="","",$O398&amp;"|"&amp;$P398)</f>
        <v/>
      </c>
      <c r="S398" s="101" t="str">
        <f aca="false">IF($Q398="","",$O398&amp;"|"&amp;$Q398)</f>
        <v/>
      </c>
      <c r="T398" s="101" t="str">
        <f aca="false">IF($O398="","",COUNTIF($O$2:O398,$O398))</f>
        <v/>
      </c>
      <c r="U398" s="101" t="str">
        <f aca="false">IF($O398="","",$O398&amp;"|"&amp;$T398)</f>
        <v/>
      </c>
      <c r="V398" s="488" t="n">
        <f aca="false">IF(OR(LEFT($D398,5)="MB-CL",LEFT($D398,6)="MB-RES"),0,$I398)</f>
        <v>0</v>
      </c>
      <c r="W398" s="488" t="n">
        <f aca="false">IF(OR(LEFT($D398,5)="MB-CL",LEFT($D398,6)="MB-RES"),0,$J398)</f>
        <v>0</v>
      </c>
      <c r="X398" s="101" t="str">
        <f aca="false">IF($E398="","",LEFT($E398,1))</f>
        <v/>
      </c>
      <c r="Y398" s="101" t="str">
        <f aca="false">IF($E398="","",LEFT($E398,2))</f>
        <v/>
      </c>
      <c r="Z398" s="101" t="str">
        <f aca="false">IF($E398="","",LEFT($E398,3))</f>
        <v/>
      </c>
      <c r="AA398" s="101" t="str">
        <f aca="false">IF($E398="","",LEFT($E398,4))</f>
        <v/>
      </c>
    </row>
    <row r="399" customFormat="false" ht="15" hidden="false" customHeight="true" outlineLevel="0" collapsed="false">
      <c r="A399" s="484" t="str">
        <f aca="false">IF(DITARI!$D403="","",ROW()-1)</f>
        <v/>
      </c>
      <c r="B399" s="485" t="str">
        <f aca="false">IF(DITARI!$D403="","",DITARI!$A403)</f>
        <v/>
      </c>
      <c r="C399" s="484" t="str">
        <f aca="false">IF(DITARI!$D403="","",DITARI!$B403)</f>
        <v/>
      </c>
      <c r="D399" s="484" t="str">
        <f aca="false">IF(DITARI!$D403="","",DITARI!$C403)</f>
        <v/>
      </c>
      <c r="E399" s="484" t="str">
        <f aca="false">IF(DITARI!$D403="","",TRIM(DITARI!$D403&amp;""))</f>
        <v/>
      </c>
      <c r="F399" s="484" t="str">
        <f aca="false">IF($E399="","",IFERROR(VLOOKUP($E399,PLANI_LLOGARIVE!$A:$I,2,FALSE()),DITARI!$E403))</f>
        <v/>
      </c>
      <c r="G399" s="484" t="str">
        <f aca="false">IF($E399="","",DITARI!$I403)</f>
        <v/>
      </c>
      <c r="H399" s="484" t="str">
        <f aca="false">IFERROR(IF($E399="","",DITARI!$H403),"")</f>
        <v/>
      </c>
      <c r="I399" s="487" t="n">
        <f aca="false">IF($E399="",0,IFERROR(DITARI!$F403,0))</f>
        <v>0</v>
      </c>
      <c r="J399" s="487" t="n">
        <f aca="false">IF($E399="",0,IFERROR(DITARI!$G403,0))</f>
        <v>0</v>
      </c>
      <c r="K399" s="484" t="str">
        <f aca="false">IF($E399="","",IFERROR(VLOOKUP($E399,PLANI_LLOGARIVE!$A:$I,9,FALSE()),""))</f>
        <v/>
      </c>
      <c r="L399" s="487" t="str">
        <f aca="false">IF($E399="","",$I399-$J399)</f>
        <v/>
      </c>
      <c r="M399" s="484" t="str">
        <f aca="false">IF($E399="","",IF($I399&gt;0,"DEBIT",IF($J399&gt;0,"KREDIT","ZERO")))</f>
        <v/>
      </c>
      <c r="N399" s="484" t="str">
        <f aca="false">IF($E399="","",TEXT($B399,"yyyymmdd")&amp;"-"&amp;TEXT(ROW(),"0000"))</f>
        <v/>
      </c>
      <c r="O399" s="101" t="str">
        <f aca="false">IF($E399="","",$E399&amp;"")</f>
        <v/>
      </c>
      <c r="P399" s="101" t="str">
        <f aca="false">IF(AND($O399&lt;&gt;"",$I399&lt;&gt;0),COUNTIFS($O$2:O399,$O399,$I$2:I399,"&gt;0"),"")</f>
        <v/>
      </c>
      <c r="Q399" s="101" t="str">
        <f aca="false">IF(AND($O399&lt;&gt;"",$J399&lt;&gt;0),COUNTIFS($O$2:O399,$O399,$J$2:J399,"&gt;0"),"")</f>
        <v/>
      </c>
      <c r="R399" s="101" t="str">
        <f aca="false">IF($P399="","",$O399&amp;"|"&amp;$P399)</f>
        <v/>
      </c>
      <c r="S399" s="101" t="str">
        <f aca="false">IF($Q399="","",$O399&amp;"|"&amp;$Q399)</f>
        <v/>
      </c>
      <c r="T399" s="101" t="str">
        <f aca="false">IF($O399="","",COUNTIF($O$2:O399,$O399))</f>
        <v/>
      </c>
      <c r="U399" s="101" t="str">
        <f aca="false">IF($O399="","",$O399&amp;"|"&amp;$T399)</f>
        <v/>
      </c>
      <c r="V399" s="488" t="n">
        <f aca="false">IF(OR(LEFT($D399,5)="MB-CL",LEFT($D399,6)="MB-RES"),0,$I399)</f>
        <v>0</v>
      </c>
      <c r="W399" s="488" t="n">
        <f aca="false">IF(OR(LEFT($D399,5)="MB-CL",LEFT($D399,6)="MB-RES"),0,$J399)</f>
        <v>0</v>
      </c>
      <c r="X399" s="101" t="str">
        <f aca="false">IF($E399="","",LEFT($E399,1))</f>
        <v/>
      </c>
      <c r="Y399" s="101" t="str">
        <f aca="false">IF($E399="","",LEFT($E399,2))</f>
        <v/>
      </c>
      <c r="Z399" s="101" t="str">
        <f aca="false">IF($E399="","",LEFT($E399,3))</f>
        <v/>
      </c>
      <c r="AA399" s="101" t="str">
        <f aca="false">IF($E399="","",LEFT($E399,4))</f>
        <v/>
      </c>
    </row>
    <row r="400" customFormat="false" ht="15" hidden="false" customHeight="true" outlineLevel="0" collapsed="false">
      <c r="A400" s="484" t="str">
        <f aca="false">IF(DITARI!$D404="","",ROW()-1)</f>
        <v/>
      </c>
      <c r="B400" s="485" t="str">
        <f aca="false">IF(DITARI!$D404="","",DITARI!$A404)</f>
        <v/>
      </c>
      <c r="C400" s="484" t="str">
        <f aca="false">IF(DITARI!$D404="","",DITARI!$B404)</f>
        <v/>
      </c>
      <c r="D400" s="484" t="str">
        <f aca="false">IF(DITARI!$D404="","",DITARI!$C404)</f>
        <v/>
      </c>
      <c r="E400" s="484" t="str">
        <f aca="false">IF(DITARI!$D404="","",TRIM(DITARI!$D404&amp;""))</f>
        <v/>
      </c>
      <c r="F400" s="484" t="str">
        <f aca="false">IF($E400="","",IFERROR(VLOOKUP($E400,PLANI_LLOGARIVE!$A:$I,2,FALSE()),DITARI!$E404))</f>
        <v/>
      </c>
      <c r="G400" s="484" t="str">
        <f aca="false">IF($E400="","",DITARI!$I404)</f>
        <v/>
      </c>
      <c r="H400" s="484" t="str">
        <f aca="false">IFERROR(IF($E400="","",DITARI!$H404),"")</f>
        <v/>
      </c>
      <c r="I400" s="487" t="n">
        <f aca="false">IF($E400="",0,IFERROR(DITARI!$F404,0))</f>
        <v>0</v>
      </c>
      <c r="J400" s="487" t="n">
        <f aca="false">IF($E400="",0,IFERROR(DITARI!$G404,0))</f>
        <v>0</v>
      </c>
      <c r="K400" s="484" t="str">
        <f aca="false">IF($E400="","",IFERROR(VLOOKUP($E400,PLANI_LLOGARIVE!$A:$I,9,FALSE()),""))</f>
        <v/>
      </c>
      <c r="L400" s="487" t="str">
        <f aca="false">IF($E400="","",$I400-$J400)</f>
        <v/>
      </c>
      <c r="M400" s="484" t="str">
        <f aca="false">IF($E400="","",IF($I400&gt;0,"DEBIT",IF($J400&gt;0,"KREDIT","ZERO")))</f>
        <v/>
      </c>
      <c r="N400" s="484" t="str">
        <f aca="false">IF($E400="","",TEXT($B400,"yyyymmdd")&amp;"-"&amp;TEXT(ROW(),"0000"))</f>
        <v/>
      </c>
      <c r="O400" s="101" t="str">
        <f aca="false">IF($E400="","",$E400&amp;"")</f>
        <v/>
      </c>
      <c r="P400" s="101" t="str">
        <f aca="false">IF(AND($O400&lt;&gt;"",$I400&lt;&gt;0),COUNTIFS($O$2:O400,$O400,$I$2:I400,"&gt;0"),"")</f>
        <v/>
      </c>
      <c r="Q400" s="101" t="str">
        <f aca="false">IF(AND($O400&lt;&gt;"",$J400&lt;&gt;0),COUNTIFS($O$2:O400,$O400,$J$2:J400,"&gt;0"),"")</f>
        <v/>
      </c>
      <c r="R400" s="101" t="str">
        <f aca="false">IF($P400="","",$O400&amp;"|"&amp;$P400)</f>
        <v/>
      </c>
      <c r="S400" s="101" t="str">
        <f aca="false">IF($Q400="","",$O400&amp;"|"&amp;$Q400)</f>
        <v/>
      </c>
      <c r="T400" s="101" t="str">
        <f aca="false">IF($O400="","",COUNTIF($O$2:O400,$O400))</f>
        <v/>
      </c>
      <c r="U400" s="101" t="str">
        <f aca="false">IF($O400="","",$O400&amp;"|"&amp;$T400)</f>
        <v/>
      </c>
      <c r="V400" s="488" t="n">
        <f aca="false">IF(OR(LEFT($D400,5)="MB-CL",LEFT($D400,6)="MB-RES"),0,$I400)</f>
        <v>0</v>
      </c>
      <c r="W400" s="488" t="n">
        <f aca="false">IF(OR(LEFT($D400,5)="MB-CL",LEFT($D400,6)="MB-RES"),0,$J400)</f>
        <v>0</v>
      </c>
      <c r="X400" s="101" t="str">
        <f aca="false">IF($E400="","",LEFT($E400,1))</f>
        <v/>
      </c>
      <c r="Y400" s="101" t="str">
        <f aca="false">IF($E400="","",LEFT($E400,2))</f>
        <v/>
      </c>
      <c r="Z400" s="101" t="str">
        <f aca="false">IF($E400="","",LEFT($E400,3))</f>
        <v/>
      </c>
      <c r="AA400" s="101" t="str">
        <f aca="false">IF($E400="","",LEFT($E400,4))</f>
        <v/>
      </c>
    </row>
    <row r="401" customFormat="false" ht="15" hidden="false" customHeight="true" outlineLevel="0" collapsed="false">
      <c r="A401" s="484" t="str">
        <f aca="false">IF(DITARI!$D405="","",ROW()-1)</f>
        <v/>
      </c>
      <c r="B401" s="485" t="str">
        <f aca="false">IF(DITARI!$D405="","",DITARI!$A405)</f>
        <v/>
      </c>
      <c r="C401" s="484" t="str">
        <f aca="false">IF(DITARI!$D405="","",DITARI!$B405)</f>
        <v/>
      </c>
      <c r="D401" s="484" t="str">
        <f aca="false">IF(DITARI!$D405="","",DITARI!$C405)</f>
        <v/>
      </c>
      <c r="E401" s="484" t="str">
        <f aca="false">IF(DITARI!$D405="","",TRIM(DITARI!$D405&amp;""))</f>
        <v/>
      </c>
      <c r="F401" s="484" t="str">
        <f aca="false">IF($E401="","",IFERROR(VLOOKUP($E401,PLANI_LLOGARIVE!$A:$I,2,FALSE()),DITARI!$E405))</f>
        <v/>
      </c>
      <c r="G401" s="484" t="str">
        <f aca="false">IF($E401="","",DITARI!$I405)</f>
        <v/>
      </c>
      <c r="H401" s="484" t="str">
        <f aca="false">IFERROR(IF($E401="","",DITARI!$H405),"")</f>
        <v/>
      </c>
      <c r="I401" s="487" t="n">
        <f aca="false">IF($E401="",0,IFERROR(DITARI!$F405,0))</f>
        <v>0</v>
      </c>
      <c r="J401" s="487" t="n">
        <f aca="false">IF($E401="",0,IFERROR(DITARI!$G405,0))</f>
        <v>0</v>
      </c>
      <c r="K401" s="484" t="str">
        <f aca="false">IF($E401="","",IFERROR(VLOOKUP($E401,PLANI_LLOGARIVE!$A:$I,9,FALSE()),""))</f>
        <v/>
      </c>
      <c r="L401" s="487" t="str">
        <f aca="false">IF($E401="","",$I401-$J401)</f>
        <v/>
      </c>
      <c r="M401" s="484" t="str">
        <f aca="false">IF($E401="","",IF($I401&gt;0,"DEBIT",IF($J401&gt;0,"KREDIT","ZERO")))</f>
        <v/>
      </c>
      <c r="N401" s="484" t="str">
        <f aca="false">IF($E401="","",TEXT($B401,"yyyymmdd")&amp;"-"&amp;TEXT(ROW(),"0000"))</f>
        <v/>
      </c>
      <c r="O401" s="101" t="str">
        <f aca="false">IF($E401="","",$E401&amp;"")</f>
        <v/>
      </c>
      <c r="P401" s="101" t="str">
        <f aca="false">IF(AND($O401&lt;&gt;"",$I401&lt;&gt;0),COUNTIFS($O$2:O401,$O401,$I$2:I401,"&gt;0"),"")</f>
        <v/>
      </c>
      <c r="Q401" s="101" t="str">
        <f aca="false">IF(AND($O401&lt;&gt;"",$J401&lt;&gt;0),COUNTIFS($O$2:O401,$O401,$J$2:J401,"&gt;0"),"")</f>
        <v/>
      </c>
      <c r="R401" s="101" t="str">
        <f aca="false">IF($P401="","",$O401&amp;"|"&amp;$P401)</f>
        <v/>
      </c>
      <c r="S401" s="101" t="str">
        <f aca="false">IF($Q401="","",$O401&amp;"|"&amp;$Q401)</f>
        <v/>
      </c>
      <c r="T401" s="101" t="str">
        <f aca="false">IF($O401="","",COUNTIF($O$2:O401,$O401))</f>
        <v/>
      </c>
      <c r="U401" s="101" t="str">
        <f aca="false">IF($O401="","",$O401&amp;"|"&amp;$T401)</f>
        <v/>
      </c>
      <c r="V401" s="488" t="n">
        <f aca="false">IF(OR(LEFT($D401,5)="MB-CL",LEFT($D401,6)="MB-RES"),0,$I401)</f>
        <v>0</v>
      </c>
      <c r="W401" s="488" t="n">
        <f aca="false">IF(OR(LEFT($D401,5)="MB-CL",LEFT($D401,6)="MB-RES"),0,$J401)</f>
        <v>0</v>
      </c>
      <c r="X401" s="101" t="str">
        <f aca="false">IF($E401="","",LEFT($E401,1))</f>
        <v/>
      </c>
      <c r="Y401" s="101" t="str">
        <f aca="false">IF($E401="","",LEFT($E401,2))</f>
        <v/>
      </c>
      <c r="Z401" s="101" t="str">
        <f aca="false">IF($E401="","",LEFT($E401,3))</f>
        <v/>
      </c>
      <c r="AA401" s="101" t="str">
        <f aca="false">IF($E401="","",LEFT($E401,4))</f>
        <v/>
      </c>
    </row>
    <row r="402" customFormat="false" ht="15" hidden="false" customHeight="true" outlineLevel="0" collapsed="false">
      <c r="A402" s="484" t="str">
        <f aca="false">IF(DITARI!$D406="","",ROW()-1)</f>
        <v/>
      </c>
      <c r="B402" s="485" t="str">
        <f aca="false">IF(DITARI!$D406="","",DITARI!$A406)</f>
        <v/>
      </c>
      <c r="C402" s="484" t="str">
        <f aca="false">IF(DITARI!$D406="","",DITARI!$B406)</f>
        <v/>
      </c>
      <c r="D402" s="484" t="str">
        <f aca="false">IF(DITARI!$D406="","",DITARI!$C406)</f>
        <v/>
      </c>
      <c r="E402" s="484" t="str">
        <f aca="false">IF(DITARI!$D406="","",TRIM(DITARI!$D406&amp;""))</f>
        <v/>
      </c>
      <c r="F402" s="484" t="str">
        <f aca="false">IF($E402="","",IFERROR(VLOOKUP($E402,PLANI_LLOGARIVE!$A:$I,2,FALSE()),DITARI!$E406))</f>
        <v/>
      </c>
      <c r="G402" s="484" t="str">
        <f aca="false">IF($E402="","",DITARI!$I406)</f>
        <v/>
      </c>
      <c r="H402" s="484" t="str">
        <f aca="false">IFERROR(IF($E402="","",DITARI!$H406),"")</f>
        <v/>
      </c>
      <c r="I402" s="487" t="n">
        <f aca="false">IF($E402="",0,IFERROR(DITARI!$F406,0))</f>
        <v>0</v>
      </c>
      <c r="J402" s="487" t="n">
        <f aca="false">IF($E402="",0,IFERROR(DITARI!$G406,0))</f>
        <v>0</v>
      </c>
      <c r="K402" s="484" t="str">
        <f aca="false">IF($E402="","",IFERROR(VLOOKUP($E402,PLANI_LLOGARIVE!$A:$I,9,FALSE()),""))</f>
        <v/>
      </c>
      <c r="L402" s="487" t="str">
        <f aca="false">IF($E402="","",$I402-$J402)</f>
        <v/>
      </c>
      <c r="M402" s="484" t="str">
        <f aca="false">IF($E402="","",IF($I402&gt;0,"DEBIT",IF($J402&gt;0,"KREDIT","ZERO")))</f>
        <v/>
      </c>
      <c r="N402" s="484" t="str">
        <f aca="false">IF($E402="","",TEXT($B402,"yyyymmdd")&amp;"-"&amp;TEXT(ROW(),"0000"))</f>
        <v/>
      </c>
      <c r="O402" s="101" t="str">
        <f aca="false">IF($E402="","",$E402&amp;"")</f>
        <v/>
      </c>
      <c r="P402" s="101" t="str">
        <f aca="false">IF(AND($O402&lt;&gt;"",$I402&lt;&gt;0),COUNTIFS($O$2:O402,$O402,$I$2:I402,"&gt;0"),"")</f>
        <v/>
      </c>
      <c r="Q402" s="101" t="str">
        <f aca="false">IF(AND($O402&lt;&gt;"",$J402&lt;&gt;0),COUNTIFS($O$2:O402,$O402,$J$2:J402,"&gt;0"),"")</f>
        <v/>
      </c>
      <c r="R402" s="101" t="str">
        <f aca="false">IF($P402="","",$O402&amp;"|"&amp;$P402)</f>
        <v/>
      </c>
      <c r="S402" s="101" t="str">
        <f aca="false">IF($Q402="","",$O402&amp;"|"&amp;$Q402)</f>
        <v/>
      </c>
      <c r="T402" s="101" t="str">
        <f aca="false">IF($O402="","",COUNTIF($O$2:O402,$O402))</f>
        <v/>
      </c>
      <c r="U402" s="101" t="str">
        <f aca="false">IF($O402="","",$O402&amp;"|"&amp;$T402)</f>
        <v/>
      </c>
      <c r="V402" s="488" t="n">
        <f aca="false">IF(OR(LEFT($D402,5)="MB-CL",LEFT($D402,6)="MB-RES"),0,$I402)</f>
        <v>0</v>
      </c>
      <c r="W402" s="488" t="n">
        <f aca="false">IF(OR(LEFT($D402,5)="MB-CL",LEFT($D402,6)="MB-RES"),0,$J402)</f>
        <v>0</v>
      </c>
      <c r="X402" s="101" t="str">
        <f aca="false">IF($E402="","",LEFT($E402,1))</f>
        <v/>
      </c>
      <c r="Y402" s="101" t="str">
        <f aca="false">IF($E402="","",LEFT($E402,2))</f>
        <v/>
      </c>
      <c r="Z402" s="101" t="str">
        <f aca="false">IF($E402="","",LEFT($E402,3))</f>
        <v/>
      </c>
      <c r="AA402" s="101" t="str">
        <f aca="false">IF($E402="","",LEFT($E402,4))</f>
        <v/>
      </c>
    </row>
    <row r="403" customFormat="false" ht="15" hidden="false" customHeight="true" outlineLevel="0" collapsed="false">
      <c r="A403" s="484" t="str">
        <f aca="false">IF(DITARI!$D407="","",ROW()-1)</f>
        <v/>
      </c>
      <c r="B403" s="485" t="str">
        <f aca="false">IF(DITARI!$D407="","",DITARI!$A407)</f>
        <v/>
      </c>
      <c r="C403" s="484" t="str">
        <f aca="false">IF(DITARI!$D407="","",DITARI!$B407)</f>
        <v/>
      </c>
      <c r="D403" s="484" t="str">
        <f aca="false">IF(DITARI!$D407="","",DITARI!$C407)</f>
        <v/>
      </c>
      <c r="E403" s="484" t="str">
        <f aca="false">IF(DITARI!$D407="","",TRIM(DITARI!$D407&amp;""))</f>
        <v/>
      </c>
      <c r="F403" s="484" t="str">
        <f aca="false">IF($E403="","",IFERROR(VLOOKUP($E403,PLANI_LLOGARIVE!$A:$I,2,FALSE()),DITARI!$E407))</f>
        <v/>
      </c>
      <c r="G403" s="484" t="str">
        <f aca="false">IF($E403="","",DITARI!$I407)</f>
        <v/>
      </c>
      <c r="H403" s="484" t="str">
        <f aca="false">IFERROR(IF($E403="","",DITARI!$H407),"")</f>
        <v/>
      </c>
      <c r="I403" s="487" t="n">
        <f aca="false">IF($E403="",0,IFERROR(DITARI!$F407,0))</f>
        <v>0</v>
      </c>
      <c r="J403" s="487" t="n">
        <f aca="false">IF($E403="",0,IFERROR(DITARI!$G407,0))</f>
        <v>0</v>
      </c>
      <c r="K403" s="484" t="str">
        <f aca="false">IF($E403="","",IFERROR(VLOOKUP($E403,PLANI_LLOGARIVE!$A:$I,9,FALSE()),""))</f>
        <v/>
      </c>
      <c r="L403" s="487" t="str">
        <f aca="false">IF($E403="","",$I403-$J403)</f>
        <v/>
      </c>
      <c r="M403" s="484" t="str">
        <f aca="false">IF($E403="","",IF($I403&gt;0,"DEBIT",IF($J403&gt;0,"KREDIT","ZERO")))</f>
        <v/>
      </c>
      <c r="N403" s="484" t="str">
        <f aca="false">IF($E403="","",TEXT($B403,"yyyymmdd")&amp;"-"&amp;TEXT(ROW(),"0000"))</f>
        <v/>
      </c>
      <c r="O403" s="101" t="str">
        <f aca="false">IF($E403="","",$E403&amp;"")</f>
        <v/>
      </c>
      <c r="P403" s="101" t="str">
        <f aca="false">IF(AND($O403&lt;&gt;"",$I403&lt;&gt;0),COUNTIFS($O$2:O403,$O403,$I$2:I403,"&gt;0"),"")</f>
        <v/>
      </c>
      <c r="Q403" s="101" t="str">
        <f aca="false">IF(AND($O403&lt;&gt;"",$J403&lt;&gt;0),COUNTIFS($O$2:O403,$O403,$J$2:J403,"&gt;0"),"")</f>
        <v/>
      </c>
      <c r="R403" s="101" t="str">
        <f aca="false">IF($P403="","",$O403&amp;"|"&amp;$P403)</f>
        <v/>
      </c>
      <c r="S403" s="101" t="str">
        <f aca="false">IF($Q403="","",$O403&amp;"|"&amp;$Q403)</f>
        <v/>
      </c>
      <c r="T403" s="101" t="str">
        <f aca="false">IF($O403="","",COUNTIF($O$2:O403,$O403))</f>
        <v/>
      </c>
      <c r="U403" s="101" t="str">
        <f aca="false">IF($O403="","",$O403&amp;"|"&amp;$T403)</f>
        <v/>
      </c>
      <c r="V403" s="488" t="n">
        <f aca="false">IF(OR(LEFT($D403,5)="MB-CL",LEFT($D403,6)="MB-RES"),0,$I403)</f>
        <v>0</v>
      </c>
      <c r="W403" s="488" t="n">
        <f aca="false">IF(OR(LEFT($D403,5)="MB-CL",LEFT($D403,6)="MB-RES"),0,$J403)</f>
        <v>0</v>
      </c>
      <c r="X403" s="101" t="str">
        <f aca="false">IF($E403="","",LEFT($E403,1))</f>
        <v/>
      </c>
      <c r="Y403" s="101" t="str">
        <f aca="false">IF($E403="","",LEFT($E403,2))</f>
        <v/>
      </c>
      <c r="Z403" s="101" t="str">
        <f aca="false">IF($E403="","",LEFT($E403,3))</f>
        <v/>
      </c>
      <c r="AA403" s="101" t="str">
        <f aca="false">IF($E403="","",LEFT($E403,4))</f>
        <v/>
      </c>
    </row>
    <row r="404" customFormat="false" ht="15" hidden="false" customHeight="true" outlineLevel="0" collapsed="false">
      <c r="A404" s="484" t="str">
        <f aca="false">IF(DITARI!$D408="","",ROW()-1)</f>
        <v/>
      </c>
      <c r="B404" s="485" t="str">
        <f aca="false">IF(DITARI!$D408="","",DITARI!$A408)</f>
        <v/>
      </c>
      <c r="C404" s="484" t="str">
        <f aca="false">IF(DITARI!$D408="","",DITARI!$B408)</f>
        <v/>
      </c>
      <c r="D404" s="484" t="str">
        <f aca="false">IF(DITARI!$D408="","",DITARI!$C408)</f>
        <v/>
      </c>
      <c r="E404" s="484" t="str">
        <f aca="false">IF(DITARI!$D408="","",TRIM(DITARI!$D408&amp;""))</f>
        <v/>
      </c>
      <c r="F404" s="484" t="str">
        <f aca="false">IF($E404="","",IFERROR(VLOOKUP($E404,PLANI_LLOGARIVE!$A:$I,2,FALSE()),DITARI!$E408))</f>
        <v/>
      </c>
      <c r="G404" s="484" t="str">
        <f aca="false">IF($E404="","",DITARI!$I408)</f>
        <v/>
      </c>
      <c r="H404" s="484" t="str">
        <f aca="false">IFERROR(IF($E404="","",DITARI!$H408),"")</f>
        <v/>
      </c>
      <c r="I404" s="487" t="n">
        <f aca="false">IF($E404="",0,IFERROR(DITARI!$F408,0))</f>
        <v>0</v>
      </c>
      <c r="J404" s="487" t="n">
        <f aca="false">IF($E404="",0,IFERROR(DITARI!$G408,0))</f>
        <v>0</v>
      </c>
      <c r="K404" s="484" t="str">
        <f aca="false">IF($E404="","",IFERROR(VLOOKUP($E404,PLANI_LLOGARIVE!$A:$I,9,FALSE()),""))</f>
        <v/>
      </c>
      <c r="L404" s="487" t="str">
        <f aca="false">IF($E404="","",$I404-$J404)</f>
        <v/>
      </c>
      <c r="M404" s="484" t="str">
        <f aca="false">IF($E404="","",IF($I404&gt;0,"DEBIT",IF($J404&gt;0,"KREDIT","ZERO")))</f>
        <v/>
      </c>
      <c r="N404" s="484" t="str">
        <f aca="false">IF($E404="","",TEXT($B404,"yyyymmdd")&amp;"-"&amp;TEXT(ROW(),"0000"))</f>
        <v/>
      </c>
      <c r="O404" s="101" t="str">
        <f aca="false">IF($E404="","",$E404&amp;"")</f>
        <v/>
      </c>
      <c r="P404" s="101" t="str">
        <f aca="false">IF(AND($O404&lt;&gt;"",$I404&lt;&gt;0),COUNTIFS($O$2:O404,$O404,$I$2:I404,"&gt;0"),"")</f>
        <v/>
      </c>
      <c r="Q404" s="101" t="str">
        <f aca="false">IF(AND($O404&lt;&gt;"",$J404&lt;&gt;0),COUNTIFS($O$2:O404,$O404,$J$2:J404,"&gt;0"),"")</f>
        <v/>
      </c>
      <c r="R404" s="101" t="str">
        <f aca="false">IF($P404="","",$O404&amp;"|"&amp;$P404)</f>
        <v/>
      </c>
      <c r="S404" s="101" t="str">
        <f aca="false">IF($Q404="","",$O404&amp;"|"&amp;$Q404)</f>
        <v/>
      </c>
      <c r="T404" s="101" t="str">
        <f aca="false">IF($O404="","",COUNTIF($O$2:O404,$O404))</f>
        <v/>
      </c>
      <c r="U404" s="101" t="str">
        <f aca="false">IF($O404="","",$O404&amp;"|"&amp;$T404)</f>
        <v/>
      </c>
      <c r="V404" s="488" t="n">
        <f aca="false">IF(OR(LEFT($D404,5)="MB-CL",LEFT($D404,6)="MB-RES"),0,$I404)</f>
        <v>0</v>
      </c>
      <c r="W404" s="488" t="n">
        <f aca="false">IF(OR(LEFT($D404,5)="MB-CL",LEFT($D404,6)="MB-RES"),0,$J404)</f>
        <v>0</v>
      </c>
      <c r="X404" s="101" t="str">
        <f aca="false">IF($E404="","",LEFT($E404,1))</f>
        <v/>
      </c>
      <c r="Y404" s="101" t="str">
        <f aca="false">IF($E404="","",LEFT($E404,2))</f>
        <v/>
      </c>
      <c r="Z404" s="101" t="str">
        <f aca="false">IF($E404="","",LEFT($E404,3))</f>
        <v/>
      </c>
      <c r="AA404" s="101" t="str">
        <f aca="false">IF($E404="","",LEFT($E404,4))</f>
        <v/>
      </c>
    </row>
    <row r="405" customFormat="false" ht="15" hidden="false" customHeight="true" outlineLevel="0" collapsed="false">
      <c r="A405" s="484" t="str">
        <f aca="false">IF(DITARI!$D409="","",ROW()-1)</f>
        <v/>
      </c>
      <c r="B405" s="485" t="str">
        <f aca="false">IF(DITARI!$D409="","",DITARI!$A409)</f>
        <v/>
      </c>
      <c r="C405" s="484" t="str">
        <f aca="false">IF(DITARI!$D409="","",DITARI!$B409)</f>
        <v/>
      </c>
      <c r="D405" s="484" t="str">
        <f aca="false">IF(DITARI!$D409="","",DITARI!$C409)</f>
        <v/>
      </c>
      <c r="E405" s="484" t="str">
        <f aca="false">IF(DITARI!$D409="","",TRIM(DITARI!$D409&amp;""))</f>
        <v/>
      </c>
      <c r="F405" s="484" t="str">
        <f aca="false">IF($E405="","",IFERROR(VLOOKUP($E405,PLANI_LLOGARIVE!$A:$I,2,FALSE()),DITARI!$E409))</f>
        <v/>
      </c>
      <c r="G405" s="484" t="str">
        <f aca="false">IF($E405="","",DITARI!$I409)</f>
        <v/>
      </c>
      <c r="H405" s="484" t="str">
        <f aca="false">IFERROR(IF($E405="","",DITARI!$H409),"")</f>
        <v/>
      </c>
      <c r="I405" s="487" t="n">
        <f aca="false">IF($E405="",0,IFERROR(DITARI!$F409,0))</f>
        <v>0</v>
      </c>
      <c r="J405" s="487" t="n">
        <f aca="false">IF($E405="",0,IFERROR(DITARI!$G409,0))</f>
        <v>0</v>
      </c>
      <c r="K405" s="484" t="str">
        <f aca="false">IF($E405="","",IFERROR(VLOOKUP($E405,PLANI_LLOGARIVE!$A:$I,9,FALSE()),""))</f>
        <v/>
      </c>
      <c r="L405" s="487" t="str">
        <f aca="false">IF($E405="","",$I405-$J405)</f>
        <v/>
      </c>
      <c r="M405" s="484" t="str">
        <f aca="false">IF($E405="","",IF($I405&gt;0,"DEBIT",IF($J405&gt;0,"KREDIT","ZERO")))</f>
        <v/>
      </c>
      <c r="N405" s="484" t="str">
        <f aca="false">IF($E405="","",TEXT($B405,"yyyymmdd")&amp;"-"&amp;TEXT(ROW(),"0000"))</f>
        <v/>
      </c>
      <c r="O405" s="101" t="str">
        <f aca="false">IF($E405="","",$E405&amp;"")</f>
        <v/>
      </c>
      <c r="P405" s="101" t="str">
        <f aca="false">IF(AND($O405&lt;&gt;"",$I405&lt;&gt;0),COUNTIFS($O$2:O405,$O405,$I$2:I405,"&gt;0"),"")</f>
        <v/>
      </c>
      <c r="Q405" s="101" t="str">
        <f aca="false">IF(AND($O405&lt;&gt;"",$J405&lt;&gt;0),COUNTIFS($O$2:O405,$O405,$J$2:J405,"&gt;0"),"")</f>
        <v/>
      </c>
      <c r="R405" s="101" t="str">
        <f aca="false">IF($P405="","",$O405&amp;"|"&amp;$P405)</f>
        <v/>
      </c>
      <c r="S405" s="101" t="str">
        <f aca="false">IF($Q405="","",$O405&amp;"|"&amp;$Q405)</f>
        <v/>
      </c>
      <c r="T405" s="101" t="str">
        <f aca="false">IF($O405="","",COUNTIF($O$2:O405,$O405))</f>
        <v/>
      </c>
      <c r="U405" s="101" t="str">
        <f aca="false">IF($O405="","",$O405&amp;"|"&amp;$T405)</f>
        <v/>
      </c>
      <c r="V405" s="488" t="n">
        <f aca="false">IF(OR(LEFT($D405,5)="MB-CL",LEFT($D405,6)="MB-RES"),0,$I405)</f>
        <v>0</v>
      </c>
      <c r="W405" s="488" t="n">
        <f aca="false">IF(OR(LEFT($D405,5)="MB-CL",LEFT($D405,6)="MB-RES"),0,$J405)</f>
        <v>0</v>
      </c>
      <c r="X405" s="101" t="str">
        <f aca="false">IF($E405="","",LEFT($E405,1))</f>
        <v/>
      </c>
      <c r="Y405" s="101" t="str">
        <f aca="false">IF($E405="","",LEFT($E405,2))</f>
        <v/>
      </c>
      <c r="Z405" s="101" t="str">
        <f aca="false">IF($E405="","",LEFT($E405,3))</f>
        <v/>
      </c>
      <c r="AA405" s="101" t="str">
        <f aca="false">IF($E405="","",LEFT($E405,4))</f>
        <v/>
      </c>
    </row>
    <row r="406" customFormat="false" ht="15" hidden="false" customHeight="true" outlineLevel="0" collapsed="false">
      <c r="A406" s="484" t="str">
        <f aca="false">IF(DITARI!$D410="","",ROW()-1)</f>
        <v/>
      </c>
      <c r="B406" s="485" t="str">
        <f aca="false">IF(DITARI!$D410="","",DITARI!$A410)</f>
        <v/>
      </c>
      <c r="C406" s="484" t="str">
        <f aca="false">IF(DITARI!$D410="","",DITARI!$B410)</f>
        <v/>
      </c>
      <c r="D406" s="484" t="str">
        <f aca="false">IF(DITARI!$D410="","",DITARI!$C410)</f>
        <v/>
      </c>
      <c r="E406" s="484" t="str">
        <f aca="false">IF(DITARI!$D410="","",TRIM(DITARI!$D410&amp;""))</f>
        <v/>
      </c>
      <c r="F406" s="484" t="str">
        <f aca="false">IF($E406="","",IFERROR(VLOOKUP($E406,PLANI_LLOGARIVE!$A:$I,2,FALSE()),DITARI!$E410))</f>
        <v/>
      </c>
      <c r="G406" s="484" t="str">
        <f aca="false">IF($E406="","",DITARI!$I410)</f>
        <v/>
      </c>
      <c r="H406" s="484" t="str">
        <f aca="false">IFERROR(IF($E406="","",DITARI!$H410),"")</f>
        <v/>
      </c>
      <c r="I406" s="487" t="n">
        <f aca="false">IF($E406="",0,IFERROR(DITARI!$F410,0))</f>
        <v>0</v>
      </c>
      <c r="J406" s="487" t="n">
        <f aca="false">IF($E406="",0,IFERROR(DITARI!$G410,0))</f>
        <v>0</v>
      </c>
      <c r="K406" s="484" t="str">
        <f aca="false">IF($E406="","",IFERROR(VLOOKUP($E406,PLANI_LLOGARIVE!$A:$I,9,FALSE()),""))</f>
        <v/>
      </c>
      <c r="L406" s="487" t="str">
        <f aca="false">IF($E406="","",$I406-$J406)</f>
        <v/>
      </c>
      <c r="M406" s="484" t="str">
        <f aca="false">IF($E406="","",IF($I406&gt;0,"DEBIT",IF($J406&gt;0,"KREDIT","ZERO")))</f>
        <v/>
      </c>
      <c r="N406" s="484" t="str">
        <f aca="false">IF($E406="","",TEXT($B406,"yyyymmdd")&amp;"-"&amp;TEXT(ROW(),"0000"))</f>
        <v/>
      </c>
      <c r="O406" s="101" t="str">
        <f aca="false">IF($E406="","",$E406&amp;"")</f>
        <v/>
      </c>
      <c r="P406" s="101" t="str">
        <f aca="false">IF(AND($O406&lt;&gt;"",$I406&lt;&gt;0),COUNTIFS($O$2:O406,$O406,$I$2:I406,"&gt;0"),"")</f>
        <v/>
      </c>
      <c r="Q406" s="101" t="str">
        <f aca="false">IF(AND($O406&lt;&gt;"",$J406&lt;&gt;0),COUNTIFS($O$2:O406,$O406,$J$2:J406,"&gt;0"),"")</f>
        <v/>
      </c>
      <c r="R406" s="101" t="str">
        <f aca="false">IF($P406="","",$O406&amp;"|"&amp;$P406)</f>
        <v/>
      </c>
      <c r="S406" s="101" t="str">
        <f aca="false">IF($Q406="","",$O406&amp;"|"&amp;$Q406)</f>
        <v/>
      </c>
      <c r="T406" s="101" t="str">
        <f aca="false">IF($O406="","",COUNTIF($O$2:O406,$O406))</f>
        <v/>
      </c>
      <c r="U406" s="101" t="str">
        <f aca="false">IF($O406="","",$O406&amp;"|"&amp;$T406)</f>
        <v/>
      </c>
      <c r="V406" s="488" t="n">
        <f aca="false">IF(OR(LEFT($D406,5)="MB-CL",LEFT($D406,6)="MB-RES"),0,$I406)</f>
        <v>0</v>
      </c>
      <c r="W406" s="488" t="n">
        <f aca="false">IF(OR(LEFT($D406,5)="MB-CL",LEFT($D406,6)="MB-RES"),0,$J406)</f>
        <v>0</v>
      </c>
      <c r="X406" s="101" t="str">
        <f aca="false">IF($E406="","",LEFT($E406,1))</f>
        <v/>
      </c>
      <c r="Y406" s="101" t="str">
        <f aca="false">IF($E406="","",LEFT($E406,2))</f>
        <v/>
      </c>
      <c r="Z406" s="101" t="str">
        <f aca="false">IF($E406="","",LEFT($E406,3))</f>
        <v/>
      </c>
      <c r="AA406" s="101" t="str">
        <f aca="false">IF($E406="","",LEFT($E406,4))</f>
        <v/>
      </c>
    </row>
    <row r="407" customFormat="false" ht="15" hidden="false" customHeight="true" outlineLevel="0" collapsed="false">
      <c r="A407" s="484" t="str">
        <f aca="false">IF(DITARI!$D411="","",ROW()-1)</f>
        <v/>
      </c>
      <c r="B407" s="485" t="str">
        <f aca="false">IF(DITARI!$D411="","",DITARI!$A411)</f>
        <v/>
      </c>
      <c r="C407" s="484" t="str">
        <f aca="false">IF(DITARI!$D411="","",DITARI!$B411)</f>
        <v/>
      </c>
      <c r="D407" s="484" t="str">
        <f aca="false">IF(DITARI!$D411="","",DITARI!$C411)</f>
        <v/>
      </c>
      <c r="E407" s="484" t="str">
        <f aca="false">IF(DITARI!$D411="","",TRIM(DITARI!$D411&amp;""))</f>
        <v/>
      </c>
      <c r="F407" s="484" t="str">
        <f aca="false">IF($E407="","",IFERROR(VLOOKUP($E407,PLANI_LLOGARIVE!$A:$I,2,FALSE()),DITARI!$E411))</f>
        <v/>
      </c>
      <c r="G407" s="484" t="str">
        <f aca="false">IF($E407="","",DITARI!$I411)</f>
        <v/>
      </c>
      <c r="H407" s="484" t="str">
        <f aca="false">IFERROR(IF($E407="","",DITARI!$H411),"")</f>
        <v/>
      </c>
      <c r="I407" s="487" t="n">
        <f aca="false">IF($E407="",0,IFERROR(DITARI!$F411,0))</f>
        <v>0</v>
      </c>
      <c r="J407" s="487" t="n">
        <f aca="false">IF($E407="",0,IFERROR(DITARI!$G411,0))</f>
        <v>0</v>
      </c>
      <c r="K407" s="484" t="str">
        <f aca="false">IF($E407="","",IFERROR(VLOOKUP($E407,PLANI_LLOGARIVE!$A:$I,9,FALSE()),""))</f>
        <v/>
      </c>
      <c r="L407" s="487" t="str">
        <f aca="false">IF($E407="","",$I407-$J407)</f>
        <v/>
      </c>
      <c r="M407" s="484" t="str">
        <f aca="false">IF($E407="","",IF($I407&gt;0,"DEBIT",IF($J407&gt;0,"KREDIT","ZERO")))</f>
        <v/>
      </c>
      <c r="N407" s="484" t="str">
        <f aca="false">IF($E407="","",TEXT($B407,"yyyymmdd")&amp;"-"&amp;TEXT(ROW(),"0000"))</f>
        <v/>
      </c>
      <c r="O407" s="101" t="str">
        <f aca="false">IF($E407="","",$E407&amp;"")</f>
        <v/>
      </c>
      <c r="P407" s="101" t="str">
        <f aca="false">IF(AND($O407&lt;&gt;"",$I407&lt;&gt;0),COUNTIFS($O$2:O407,$O407,$I$2:I407,"&gt;0"),"")</f>
        <v/>
      </c>
      <c r="Q407" s="101" t="str">
        <f aca="false">IF(AND($O407&lt;&gt;"",$J407&lt;&gt;0),COUNTIFS($O$2:O407,$O407,$J$2:J407,"&gt;0"),"")</f>
        <v/>
      </c>
      <c r="R407" s="101" t="str">
        <f aca="false">IF($P407="","",$O407&amp;"|"&amp;$P407)</f>
        <v/>
      </c>
      <c r="S407" s="101" t="str">
        <f aca="false">IF($Q407="","",$O407&amp;"|"&amp;$Q407)</f>
        <v/>
      </c>
      <c r="T407" s="101" t="str">
        <f aca="false">IF($O407="","",COUNTIF($O$2:O407,$O407))</f>
        <v/>
      </c>
      <c r="U407" s="101" t="str">
        <f aca="false">IF($O407="","",$O407&amp;"|"&amp;$T407)</f>
        <v/>
      </c>
      <c r="V407" s="488" t="n">
        <f aca="false">IF(OR(LEFT($D407,5)="MB-CL",LEFT($D407,6)="MB-RES"),0,$I407)</f>
        <v>0</v>
      </c>
      <c r="W407" s="488" t="n">
        <f aca="false">IF(OR(LEFT($D407,5)="MB-CL",LEFT($D407,6)="MB-RES"),0,$J407)</f>
        <v>0</v>
      </c>
      <c r="X407" s="101" t="str">
        <f aca="false">IF($E407="","",LEFT($E407,1))</f>
        <v/>
      </c>
      <c r="Y407" s="101" t="str">
        <f aca="false">IF($E407="","",LEFT($E407,2))</f>
        <v/>
      </c>
      <c r="Z407" s="101" t="str">
        <f aca="false">IF($E407="","",LEFT($E407,3))</f>
        <v/>
      </c>
      <c r="AA407" s="101" t="str">
        <f aca="false">IF($E407="","",LEFT($E407,4))</f>
        <v/>
      </c>
    </row>
    <row r="408" customFormat="false" ht="15" hidden="false" customHeight="true" outlineLevel="0" collapsed="false">
      <c r="A408" s="484" t="str">
        <f aca="false">IF(DITARI!$D412="","",ROW()-1)</f>
        <v/>
      </c>
      <c r="B408" s="485" t="str">
        <f aca="false">IF(DITARI!$D412="","",DITARI!$A412)</f>
        <v/>
      </c>
      <c r="C408" s="484" t="str">
        <f aca="false">IF(DITARI!$D412="","",DITARI!$B412)</f>
        <v/>
      </c>
      <c r="D408" s="484" t="str">
        <f aca="false">IF(DITARI!$D412="","",DITARI!$C412)</f>
        <v/>
      </c>
      <c r="E408" s="484" t="str">
        <f aca="false">IF(DITARI!$D412="","",TRIM(DITARI!$D412&amp;""))</f>
        <v/>
      </c>
      <c r="F408" s="484" t="str">
        <f aca="false">IF($E408="","",IFERROR(VLOOKUP($E408,PLANI_LLOGARIVE!$A:$I,2,FALSE()),DITARI!$E412))</f>
        <v/>
      </c>
      <c r="G408" s="484" t="str">
        <f aca="false">IF($E408="","",DITARI!$I412)</f>
        <v/>
      </c>
      <c r="H408" s="484" t="str">
        <f aca="false">IFERROR(IF($E408="","",DITARI!$H412),"")</f>
        <v/>
      </c>
      <c r="I408" s="487" t="n">
        <f aca="false">IF($E408="",0,IFERROR(DITARI!$F412,0))</f>
        <v>0</v>
      </c>
      <c r="J408" s="487" t="n">
        <f aca="false">IF($E408="",0,IFERROR(DITARI!$G412,0))</f>
        <v>0</v>
      </c>
      <c r="K408" s="484" t="str">
        <f aca="false">IF($E408="","",IFERROR(VLOOKUP($E408,PLANI_LLOGARIVE!$A:$I,9,FALSE()),""))</f>
        <v/>
      </c>
      <c r="L408" s="487" t="str">
        <f aca="false">IF($E408="","",$I408-$J408)</f>
        <v/>
      </c>
      <c r="M408" s="484" t="str">
        <f aca="false">IF($E408="","",IF($I408&gt;0,"DEBIT",IF($J408&gt;0,"KREDIT","ZERO")))</f>
        <v/>
      </c>
      <c r="N408" s="484" t="str">
        <f aca="false">IF($E408="","",TEXT($B408,"yyyymmdd")&amp;"-"&amp;TEXT(ROW(),"0000"))</f>
        <v/>
      </c>
      <c r="O408" s="101" t="str">
        <f aca="false">IF($E408="","",$E408&amp;"")</f>
        <v/>
      </c>
      <c r="P408" s="101" t="str">
        <f aca="false">IF(AND($O408&lt;&gt;"",$I408&lt;&gt;0),COUNTIFS($O$2:O408,$O408,$I$2:I408,"&gt;0"),"")</f>
        <v/>
      </c>
      <c r="Q408" s="101" t="str">
        <f aca="false">IF(AND($O408&lt;&gt;"",$J408&lt;&gt;0),COUNTIFS($O$2:O408,$O408,$J$2:J408,"&gt;0"),"")</f>
        <v/>
      </c>
      <c r="R408" s="101" t="str">
        <f aca="false">IF($P408="","",$O408&amp;"|"&amp;$P408)</f>
        <v/>
      </c>
      <c r="S408" s="101" t="str">
        <f aca="false">IF($Q408="","",$O408&amp;"|"&amp;$Q408)</f>
        <v/>
      </c>
      <c r="T408" s="101" t="str">
        <f aca="false">IF($O408="","",COUNTIF($O$2:O408,$O408))</f>
        <v/>
      </c>
      <c r="U408" s="101" t="str">
        <f aca="false">IF($O408="","",$O408&amp;"|"&amp;$T408)</f>
        <v/>
      </c>
      <c r="V408" s="488" t="n">
        <f aca="false">IF(OR(LEFT($D408,5)="MB-CL",LEFT($D408,6)="MB-RES"),0,$I408)</f>
        <v>0</v>
      </c>
      <c r="W408" s="488" t="n">
        <f aca="false">IF(OR(LEFT($D408,5)="MB-CL",LEFT($D408,6)="MB-RES"),0,$J408)</f>
        <v>0</v>
      </c>
      <c r="X408" s="101" t="str">
        <f aca="false">IF($E408="","",LEFT($E408,1))</f>
        <v/>
      </c>
      <c r="Y408" s="101" t="str">
        <f aca="false">IF($E408="","",LEFT($E408,2))</f>
        <v/>
      </c>
      <c r="Z408" s="101" t="str">
        <f aca="false">IF($E408="","",LEFT($E408,3))</f>
        <v/>
      </c>
      <c r="AA408" s="101" t="str">
        <f aca="false">IF($E408="","",LEFT($E408,4))</f>
        <v/>
      </c>
    </row>
    <row r="409" customFormat="false" ht="15" hidden="false" customHeight="true" outlineLevel="0" collapsed="false">
      <c r="A409" s="484" t="str">
        <f aca="false">IF(DITARI!$D413="","",ROW()-1)</f>
        <v/>
      </c>
      <c r="B409" s="485" t="str">
        <f aca="false">IF(DITARI!$D413="","",DITARI!$A413)</f>
        <v/>
      </c>
      <c r="C409" s="484" t="str">
        <f aca="false">IF(DITARI!$D413="","",DITARI!$B413)</f>
        <v/>
      </c>
      <c r="D409" s="484" t="str">
        <f aca="false">IF(DITARI!$D413="","",DITARI!$C413)</f>
        <v/>
      </c>
      <c r="E409" s="484" t="str">
        <f aca="false">IF(DITARI!$D413="","",TRIM(DITARI!$D413&amp;""))</f>
        <v/>
      </c>
      <c r="F409" s="484" t="str">
        <f aca="false">IF($E409="","",IFERROR(VLOOKUP($E409,PLANI_LLOGARIVE!$A:$I,2,FALSE()),DITARI!$E413))</f>
        <v/>
      </c>
      <c r="G409" s="484" t="str">
        <f aca="false">IF($E409="","",DITARI!$I413)</f>
        <v/>
      </c>
      <c r="H409" s="484" t="str">
        <f aca="false">IFERROR(IF($E409="","",DITARI!$H413),"")</f>
        <v/>
      </c>
      <c r="I409" s="487" t="n">
        <f aca="false">IF($E409="",0,IFERROR(DITARI!$F413,0))</f>
        <v>0</v>
      </c>
      <c r="J409" s="487" t="n">
        <f aca="false">IF($E409="",0,IFERROR(DITARI!$G413,0))</f>
        <v>0</v>
      </c>
      <c r="K409" s="484" t="str">
        <f aca="false">IF($E409="","",IFERROR(VLOOKUP($E409,PLANI_LLOGARIVE!$A:$I,9,FALSE()),""))</f>
        <v/>
      </c>
      <c r="L409" s="487" t="str">
        <f aca="false">IF($E409="","",$I409-$J409)</f>
        <v/>
      </c>
      <c r="M409" s="484" t="str">
        <f aca="false">IF($E409="","",IF($I409&gt;0,"DEBIT",IF($J409&gt;0,"KREDIT","ZERO")))</f>
        <v/>
      </c>
      <c r="N409" s="484" t="str">
        <f aca="false">IF($E409="","",TEXT($B409,"yyyymmdd")&amp;"-"&amp;TEXT(ROW(),"0000"))</f>
        <v/>
      </c>
      <c r="O409" s="101" t="str">
        <f aca="false">IF($E409="","",$E409&amp;"")</f>
        <v/>
      </c>
      <c r="P409" s="101" t="str">
        <f aca="false">IF(AND($O409&lt;&gt;"",$I409&lt;&gt;0),COUNTIFS($O$2:O409,$O409,$I$2:I409,"&gt;0"),"")</f>
        <v/>
      </c>
      <c r="Q409" s="101" t="str">
        <f aca="false">IF(AND($O409&lt;&gt;"",$J409&lt;&gt;0),COUNTIFS($O$2:O409,$O409,$J$2:J409,"&gt;0"),"")</f>
        <v/>
      </c>
      <c r="R409" s="101" t="str">
        <f aca="false">IF($P409="","",$O409&amp;"|"&amp;$P409)</f>
        <v/>
      </c>
      <c r="S409" s="101" t="str">
        <f aca="false">IF($Q409="","",$O409&amp;"|"&amp;$Q409)</f>
        <v/>
      </c>
      <c r="T409" s="101" t="str">
        <f aca="false">IF($O409="","",COUNTIF($O$2:O409,$O409))</f>
        <v/>
      </c>
      <c r="U409" s="101" t="str">
        <f aca="false">IF($O409="","",$O409&amp;"|"&amp;$T409)</f>
        <v/>
      </c>
      <c r="V409" s="488" t="n">
        <f aca="false">IF(OR(LEFT($D409,5)="MB-CL",LEFT($D409,6)="MB-RES"),0,$I409)</f>
        <v>0</v>
      </c>
      <c r="W409" s="488" t="n">
        <f aca="false">IF(OR(LEFT($D409,5)="MB-CL",LEFT($D409,6)="MB-RES"),0,$J409)</f>
        <v>0</v>
      </c>
      <c r="X409" s="101" t="str">
        <f aca="false">IF($E409="","",LEFT($E409,1))</f>
        <v/>
      </c>
      <c r="Y409" s="101" t="str">
        <f aca="false">IF($E409="","",LEFT($E409,2))</f>
        <v/>
      </c>
      <c r="Z409" s="101" t="str">
        <f aca="false">IF($E409="","",LEFT($E409,3))</f>
        <v/>
      </c>
      <c r="AA409" s="101" t="str">
        <f aca="false">IF($E409="","",LEFT($E409,4))</f>
        <v/>
      </c>
    </row>
    <row r="410" customFormat="false" ht="15" hidden="false" customHeight="true" outlineLevel="0" collapsed="false">
      <c r="A410" s="484" t="str">
        <f aca="false">IF(DITARI!$D414="","",ROW()-1)</f>
        <v/>
      </c>
      <c r="B410" s="485" t="str">
        <f aca="false">IF(DITARI!$D414="","",DITARI!$A414)</f>
        <v/>
      </c>
      <c r="C410" s="484" t="str">
        <f aca="false">IF(DITARI!$D414="","",DITARI!$B414)</f>
        <v/>
      </c>
      <c r="D410" s="484" t="str">
        <f aca="false">IF(DITARI!$D414="","",DITARI!$C414)</f>
        <v/>
      </c>
      <c r="E410" s="484" t="str">
        <f aca="false">IF(DITARI!$D414="","",TRIM(DITARI!$D414&amp;""))</f>
        <v/>
      </c>
      <c r="F410" s="484" t="str">
        <f aca="false">IF($E410="","",IFERROR(VLOOKUP($E410,PLANI_LLOGARIVE!$A:$I,2,FALSE()),DITARI!$E414))</f>
        <v/>
      </c>
      <c r="G410" s="484" t="str">
        <f aca="false">IF($E410="","",DITARI!$I414)</f>
        <v/>
      </c>
      <c r="H410" s="484" t="str">
        <f aca="false">IFERROR(IF($E410="","",DITARI!$H414),"")</f>
        <v/>
      </c>
      <c r="I410" s="487" t="n">
        <f aca="false">IF($E410="",0,IFERROR(DITARI!$F414,0))</f>
        <v>0</v>
      </c>
      <c r="J410" s="487" t="n">
        <f aca="false">IF($E410="",0,IFERROR(DITARI!$G414,0))</f>
        <v>0</v>
      </c>
      <c r="K410" s="484" t="str">
        <f aca="false">IF($E410="","",IFERROR(VLOOKUP($E410,PLANI_LLOGARIVE!$A:$I,9,FALSE()),""))</f>
        <v/>
      </c>
      <c r="L410" s="487" t="str">
        <f aca="false">IF($E410="","",$I410-$J410)</f>
        <v/>
      </c>
      <c r="M410" s="484" t="str">
        <f aca="false">IF($E410="","",IF($I410&gt;0,"DEBIT",IF($J410&gt;0,"KREDIT","ZERO")))</f>
        <v/>
      </c>
      <c r="N410" s="484" t="str">
        <f aca="false">IF($E410="","",TEXT($B410,"yyyymmdd")&amp;"-"&amp;TEXT(ROW(),"0000"))</f>
        <v/>
      </c>
      <c r="O410" s="101" t="str">
        <f aca="false">IF($E410="","",$E410&amp;"")</f>
        <v/>
      </c>
      <c r="P410" s="101" t="str">
        <f aca="false">IF(AND($O410&lt;&gt;"",$I410&lt;&gt;0),COUNTIFS($O$2:O410,$O410,$I$2:I410,"&gt;0"),"")</f>
        <v/>
      </c>
      <c r="Q410" s="101" t="str">
        <f aca="false">IF(AND($O410&lt;&gt;"",$J410&lt;&gt;0),COUNTIFS($O$2:O410,$O410,$J$2:J410,"&gt;0"),"")</f>
        <v/>
      </c>
      <c r="R410" s="101" t="str">
        <f aca="false">IF($P410="","",$O410&amp;"|"&amp;$P410)</f>
        <v/>
      </c>
      <c r="S410" s="101" t="str">
        <f aca="false">IF($Q410="","",$O410&amp;"|"&amp;$Q410)</f>
        <v/>
      </c>
      <c r="T410" s="101" t="str">
        <f aca="false">IF($O410="","",COUNTIF($O$2:O410,$O410))</f>
        <v/>
      </c>
      <c r="U410" s="101" t="str">
        <f aca="false">IF($O410="","",$O410&amp;"|"&amp;$T410)</f>
        <v/>
      </c>
      <c r="V410" s="488" t="n">
        <f aca="false">IF(OR(LEFT($D410,5)="MB-CL",LEFT($D410,6)="MB-RES"),0,$I410)</f>
        <v>0</v>
      </c>
      <c r="W410" s="488" t="n">
        <f aca="false">IF(OR(LEFT($D410,5)="MB-CL",LEFT($D410,6)="MB-RES"),0,$J410)</f>
        <v>0</v>
      </c>
      <c r="X410" s="101" t="str">
        <f aca="false">IF($E410="","",LEFT($E410,1))</f>
        <v/>
      </c>
      <c r="Y410" s="101" t="str">
        <f aca="false">IF($E410="","",LEFT($E410,2))</f>
        <v/>
      </c>
      <c r="Z410" s="101" t="str">
        <f aca="false">IF($E410="","",LEFT($E410,3))</f>
        <v/>
      </c>
      <c r="AA410" s="101" t="str">
        <f aca="false">IF($E410="","",LEFT($E410,4))</f>
        <v/>
      </c>
    </row>
    <row r="411" customFormat="false" ht="15" hidden="false" customHeight="true" outlineLevel="0" collapsed="false">
      <c r="A411" s="484" t="str">
        <f aca="false">IF(DITARI!$D415="","",ROW()-1)</f>
        <v/>
      </c>
      <c r="B411" s="485" t="str">
        <f aca="false">IF(DITARI!$D415="","",DITARI!$A415)</f>
        <v/>
      </c>
      <c r="C411" s="484" t="str">
        <f aca="false">IF(DITARI!$D415="","",DITARI!$B415)</f>
        <v/>
      </c>
      <c r="D411" s="484" t="str">
        <f aca="false">IF(DITARI!$D415="","",DITARI!$C415)</f>
        <v/>
      </c>
      <c r="E411" s="484" t="str">
        <f aca="false">IF(DITARI!$D415="","",TRIM(DITARI!$D415&amp;""))</f>
        <v/>
      </c>
      <c r="F411" s="484" t="str">
        <f aca="false">IF($E411="","",IFERROR(VLOOKUP($E411,PLANI_LLOGARIVE!$A:$I,2,FALSE()),DITARI!$E415))</f>
        <v/>
      </c>
      <c r="G411" s="484" t="str">
        <f aca="false">IF($E411="","",DITARI!$I415)</f>
        <v/>
      </c>
      <c r="H411" s="484" t="str">
        <f aca="false">IFERROR(IF($E411="","",DITARI!$H415),"")</f>
        <v/>
      </c>
      <c r="I411" s="487" t="n">
        <f aca="false">IF($E411="",0,IFERROR(DITARI!$F415,0))</f>
        <v>0</v>
      </c>
      <c r="J411" s="487" t="n">
        <f aca="false">IF($E411="",0,IFERROR(DITARI!$G415,0))</f>
        <v>0</v>
      </c>
      <c r="K411" s="484" t="str">
        <f aca="false">IF($E411="","",IFERROR(VLOOKUP($E411,PLANI_LLOGARIVE!$A:$I,9,FALSE()),""))</f>
        <v/>
      </c>
      <c r="L411" s="487" t="str">
        <f aca="false">IF($E411="","",$I411-$J411)</f>
        <v/>
      </c>
      <c r="M411" s="484" t="str">
        <f aca="false">IF($E411="","",IF($I411&gt;0,"DEBIT",IF($J411&gt;0,"KREDIT","ZERO")))</f>
        <v/>
      </c>
      <c r="N411" s="484" t="str">
        <f aca="false">IF($E411="","",TEXT($B411,"yyyymmdd")&amp;"-"&amp;TEXT(ROW(),"0000"))</f>
        <v/>
      </c>
      <c r="O411" s="101" t="str">
        <f aca="false">IF($E411="","",$E411&amp;"")</f>
        <v/>
      </c>
      <c r="P411" s="101" t="str">
        <f aca="false">IF(AND($O411&lt;&gt;"",$I411&lt;&gt;0),COUNTIFS($O$2:O411,$O411,$I$2:I411,"&gt;0"),"")</f>
        <v/>
      </c>
      <c r="Q411" s="101" t="str">
        <f aca="false">IF(AND($O411&lt;&gt;"",$J411&lt;&gt;0),COUNTIFS($O$2:O411,$O411,$J$2:J411,"&gt;0"),"")</f>
        <v/>
      </c>
      <c r="R411" s="101" t="str">
        <f aca="false">IF($P411="","",$O411&amp;"|"&amp;$P411)</f>
        <v/>
      </c>
      <c r="S411" s="101" t="str">
        <f aca="false">IF($Q411="","",$O411&amp;"|"&amp;$Q411)</f>
        <v/>
      </c>
      <c r="T411" s="101" t="str">
        <f aca="false">IF($O411="","",COUNTIF($O$2:O411,$O411))</f>
        <v/>
      </c>
      <c r="U411" s="101" t="str">
        <f aca="false">IF($O411="","",$O411&amp;"|"&amp;$T411)</f>
        <v/>
      </c>
      <c r="V411" s="488" t="n">
        <f aca="false">IF(OR(LEFT($D411,5)="MB-CL",LEFT($D411,6)="MB-RES"),0,$I411)</f>
        <v>0</v>
      </c>
      <c r="W411" s="488" t="n">
        <f aca="false">IF(OR(LEFT($D411,5)="MB-CL",LEFT($D411,6)="MB-RES"),0,$J411)</f>
        <v>0</v>
      </c>
      <c r="X411" s="101" t="str">
        <f aca="false">IF($E411="","",LEFT($E411,1))</f>
        <v/>
      </c>
      <c r="Y411" s="101" t="str">
        <f aca="false">IF($E411="","",LEFT($E411,2))</f>
        <v/>
      </c>
      <c r="Z411" s="101" t="str">
        <f aca="false">IF($E411="","",LEFT($E411,3))</f>
        <v/>
      </c>
      <c r="AA411" s="101" t="str">
        <f aca="false">IF($E411="","",LEFT($E411,4))</f>
        <v/>
      </c>
    </row>
    <row r="412" customFormat="false" ht="15" hidden="false" customHeight="true" outlineLevel="0" collapsed="false">
      <c r="A412" s="484" t="str">
        <f aca="false">IF(DITARI!$D416="","",ROW()-1)</f>
        <v/>
      </c>
      <c r="B412" s="485" t="str">
        <f aca="false">IF(DITARI!$D416="","",DITARI!$A416)</f>
        <v/>
      </c>
      <c r="C412" s="484" t="str">
        <f aca="false">IF(DITARI!$D416="","",DITARI!$B416)</f>
        <v/>
      </c>
      <c r="D412" s="484" t="str">
        <f aca="false">IF(DITARI!$D416="","",DITARI!$C416)</f>
        <v/>
      </c>
      <c r="E412" s="484" t="str">
        <f aca="false">IF(DITARI!$D416="","",TRIM(DITARI!$D416&amp;""))</f>
        <v/>
      </c>
      <c r="F412" s="484" t="str">
        <f aca="false">IF($E412="","",IFERROR(VLOOKUP($E412,PLANI_LLOGARIVE!$A:$I,2,FALSE()),DITARI!$E416))</f>
        <v/>
      </c>
      <c r="G412" s="484" t="str">
        <f aca="false">IF($E412="","",DITARI!$I416)</f>
        <v/>
      </c>
      <c r="H412" s="484" t="str">
        <f aca="false">IFERROR(IF($E412="","",DITARI!$H416),"")</f>
        <v/>
      </c>
      <c r="I412" s="487" t="n">
        <f aca="false">IF($E412="",0,IFERROR(DITARI!$F416,0))</f>
        <v>0</v>
      </c>
      <c r="J412" s="487" t="n">
        <f aca="false">IF($E412="",0,IFERROR(DITARI!$G416,0))</f>
        <v>0</v>
      </c>
      <c r="K412" s="484" t="str">
        <f aca="false">IF($E412="","",IFERROR(VLOOKUP($E412,PLANI_LLOGARIVE!$A:$I,9,FALSE()),""))</f>
        <v/>
      </c>
      <c r="L412" s="487" t="str">
        <f aca="false">IF($E412="","",$I412-$J412)</f>
        <v/>
      </c>
      <c r="M412" s="484" t="str">
        <f aca="false">IF($E412="","",IF($I412&gt;0,"DEBIT",IF($J412&gt;0,"KREDIT","ZERO")))</f>
        <v/>
      </c>
      <c r="N412" s="484" t="str">
        <f aca="false">IF($E412="","",TEXT($B412,"yyyymmdd")&amp;"-"&amp;TEXT(ROW(),"0000"))</f>
        <v/>
      </c>
      <c r="O412" s="101" t="str">
        <f aca="false">IF($E412="","",$E412&amp;"")</f>
        <v/>
      </c>
      <c r="P412" s="101" t="str">
        <f aca="false">IF(AND($O412&lt;&gt;"",$I412&lt;&gt;0),COUNTIFS($O$2:O412,$O412,$I$2:I412,"&gt;0"),"")</f>
        <v/>
      </c>
      <c r="Q412" s="101" t="str">
        <f aca="false">IF(AND($O412&lt;&gt;"",$J412&lt;&gt;0),COUNTIFS($O$2:O412,$O412,$J$2:J412,"&gt;0"),"")</f>
        <v/>
      </c>
      <c r="R412" s="101" t="str">
        <f aca="false">IF($P412="","",$O412&amp;"|"&amp;$P412)</f>
        <v/>
      </c>
      <c r="S412" s="101" t="str">
        <f aca="false">IF($Q412="","",$O412&amp;"|"&amp;$Q412)</f>
        <v/>
      </c>
      <c r="T412" s="101" t="str">
        <f aca="false">IF($O412="","",COUNTIF($O$2:O412,$O412))</f>
        <v/>
      </c>
      <c r="U412" s="101" t="str">
        <f aca="false">IF($O412="","",$O412&amp;"|"&amp;$T412)</f>
        <v/>
      </c>
      <c r="V412" s="488" t="n">
        <f aca="false">IF(OR(LEFT($D412,5)="MB-CL",LEFT($D412,6)="MB-RES"),0,$I412)</f>
        <v>0</v>
      </c>
      <c r="W412" s="488" t="n">
        <f aca="false">IF(OR(LEFT($D412,5)="MB-CL",LEFT($D412,6)="MB-RES"),0,$J412)</f>
        <v>0</v>
      </c>
      <c r="X412" s="101" t="str">
        <f aca="false">IF($E412="","",LEFT($E412,1))</f>
        <v/>
      </c>
      <c r="Y412" s="101" t="str">
        <f aca="false">IF($E412="","",LEFT($E412,2))</f>
        <v/>
      </c>
      <c r="Z412" s="101" t="str">
        <f aca="false">IF($E412="","",LEFT($E412,3))</f>
        <v/>
      </c>
      <c r="AA412" s="101" t="str">
        <f aca="false">IF($E412="","",LEFT($E412,4))</f>
        <v/>
      </c>
    </row>
    <row r="413" customFormat="false" ht="15" hidden="false" customHeight="true" outlineLevel="0" collapsed="false">
      <c r="A413" s="484" t="str">
        <f aca="false">IF(DITARI!$D417="","",ROW()-1)</f>
        <v/>
      </c>
      <c r="B413" s="485" t="str">
        <f aca="false">IF(DITARI!$D417="","",DITARI!$A417)</f>
        <v/>
      </c>
      <c r="C413" s="484" t="str">
        <f aca="false">IF(DITARI!$D417="","",DITARI!$B417)</f>
        <v/>
      </c>
      <c r="D413" s="484" t="str">
        <f aca="false">IF(DITARI!$D417="","",DITARI!$C417)</f>
        <v/>
      </c>
      <c r="E413" s="484" t="str">
        <f aca="false">IF(DITARI!$D417="","",TRIM(DITARI!$D417&amp;""))</f>
        <v/>
      </c>
      <c r="F413" s="484" t="str">
        <f aca="false">IF($E413="","",IFERROR(VLOOKUP($E413,PLANI_LLOGARIVE!$A:$I,2,FALSE()),DITARI!$E417))</f>
        <v/>
      </c>
      <c r="G413" s="484" t="str">
        <f aca="false">IF($E413="","",DITARI!$I417)</f>
        <v/>
      </c>
      <c r="H413" s="484" t="str">
        <f aca="false">IFERROR(IF($E413="","",DITARI!$H417),"")</f>
        <v/>
      </c>
      <c r="I413" s="487" t="n">
        <f aca="false">IF($E413="",0,IFERROR(DITARI!$F417,0))</f>
        <v>0</v>
      </c>
      <c r="J413" s="487" t="n">
        <f aca="false">IF($E413="",0,IFERROR(DITARI!$G417,0))</f>
        <v>0</v>
      </c>
      <c r="K413" s="484" t="str">
        <f aca="false">IF($E413="","",IFERROR(VLOOKUP($E413,PLANI_LLOGARIVE!$A:$I,9,FALSE()),""))</f>
        <v/>
      </c>
      <c r="L413" s="487" t="str">
        <f aca="false">IF($E413="","",$I413-$J413)</f>
        <v/>
      </c>
      <c r="M413" s="484" t="str">
        <f aca="false">IF($E413="","",IF($I413&gt;0,"DEBIT",IF($J413&gt;0,"KREDIT","ZERO")))</f>
        <v/>
      </c>
      <c r="N413" s="484" t="str">
        <f aca="false">IF($E413="","",TEXT($B413,"yyyymmdd")&amp;"-"&amp;TEXT(ROW(),"0000"))</f>
        <v/>
      </c>
      <c r="O413" s="101" t="str">
        <f aca="false">IF($E413="","",$E413&amp;"")</f>
        <v/>
      </c>
      <c r="P413" s="101" t="str">
        <f aca="false">IF(AND($O413&lt;&gt;"",$I413&lt;&gt;0),COUNTIFS($O$2:O413,$O413,$I$2:I413,"&gt;0"),"")</f>
        <v/>
      </c>
      <c r="Q413" s="101" t="str">
        <f aca="false">IF(AND($O413&lt;&gt;"",$J413&lt;&gt;0),COUNTIFS($O$2:O413,$O413,$J$2:J413,"&gt;0"),"")</f>
        <v/>
      </c>
      <c r="R413" s="101" t="str">
        <f aca="false">IF($P413="","",$O413&amp;"|"&amp;$P413)</f>
        <v/>
      </c>
      <c r="S413" s="101" t="str">
        <f aca="false">IF($Q413="","",$O413&amp;"|"&amp;$Q413)</f>
        <v/>
      </c>
      <c r="T413" s="101" t="str">
        <f aca="false">IF($O413="","",COUNTIF($O$2:O413,$O413))</f>
        <v/>
      </c>
      <c r="U413" s="101" t="str">
        <f aca="false">IF($O413="","",$O413&amp;"|"&amp;$T413)</f>
        <v/>
      </c>
      <c r="V413" s="488" t="n">
        <f aca="false">IF(OR(LEFT($D413,5)="MB-CL",LEFT($D413,6)="MB-RES"),0,$I413)</f>
        <v>0</v>
      </c>
      <c r="W413" s="488" t="n">
        <f aca="false">IF(OR(LEFT($D413,5)="MB-CL",LEFT($D413,6)="MB-RES"),0,$J413)</f>
        <v>0</v>
      </c>
      <c r="X413" s="101" t="str">
        <f aca="false">IF($E413="","",LEFT($E413,1))</f>
        <v/>
      </c>
      <c r="Y413" s="101" t="str">
        <f aca="false">IF($E413="","",LEFT($E413,2))</f>
        <v/>
      </c>
      <c r="Z413" s="101" t="str">
        <f aca="false">IF($E413="","",LEFT($E413,3))</f>
        <v/>
      </c>
      <c r="AA413" s="101" t="str">
        <f aca="false">IF($E413="","",LEFT($E413,4))</f>
        <v/>
      </c>
    </row>
    <row r="414" customFormat="false" ht="15" hidden="false" customHeight="true" outlineLevel="0" collapsed="false">
      <c r="A414" s="484" t="str">
        <f aca="false">IF(DITARI!$D418="","",ROW()-1)</f>
        <v/>
      </c>
      <c r="B414" s="485" t="str">
        <f aca="false">IF(DITARI!$D418="","",DITARI!$A418)</f>
        <v/>
      </c>
      <c r="C414" s="484" t="str">
        <f aca="false">IF(DITARI!$D418="","",DITARI!$B418)</f>
        <v/>
      </c>
      <c r="D414" s="484" t="str">
        <f aca="false">IF(DITARI!$D418="","",DITARI!$C418)</f>
        <v/>
      </c>
      <c r="E414" s="484" t="str">
        <f aca="false">IF(DITARI!$D418="","",TRIM(DITARI!$D418&amp;""))</f>
        <v/>
      </c>
      <c r="F414" s="484" t="str">
        <f aca="false">IF($E414="","",IFERROR(VLOOKUP($E414,PLANI_LLOGARIVE!$A:$I,2,FALSE()),DITARI!$E418))</f>
        <v/>
      </c>
      <c r="G414" s="484" t="str">
        <f aca="false">IF($E414="","",DITARI!$I418)</f>
        <v/>
      </c>
      <c r="H414" s="484" t="str">
        <f aca="false">IFERROR(IF($E414="","",DITARI!$H418),"")</f>
        <v/>
      </c>
      <c r="I414" s="487" t="n">
        <f aca="false">IF($E414="",0,IFERROR(DITARI!$F418,0))</f>
        <v>0</v>
      </c>
      <c r="J414" s="487" t="n">
        <f aca="false">IF($E414="",0,IFERROR(DITARI!$G418,0))</f>
        <v>0</v>
      </c>
      <c r="K414" s="484" t="str">
        <f aca="false">IF($E414="","",IFERROR(VLOOKUP($E414,PLANI_LLOGARIVE!$A:$I,9,FALSE()),""))</f>
        <v/>
      </c>
      <c r="L414" s="487" t="str">
        <f aca="false">IF($E414="","",$I414-$J414)</f>
        <v/>
      </c>
      <c r="M414" s="484" t="str">
        <f aca="false">IF($E414="","",IF($I414&gt;0,"DEBIT",IF($J414&gt;0,"KREDIT","ZERO")))</f>
        <v/>
      </c>
      <c r="N414" s="484" t="str">
        <f aca="false">IF($E414="","",TEXT($B414,"yyyymmdd")&amp;"-"&amp;TEXT(ROW(),"0000"))</f>
        <v/>
      </c>
      <c r="O414" s="101" t="str">
        <f aca="false">IF($E414="","",$E414&amp;"")</f>
        <v/>
      </c>
      <c r="P414" s="101" t="str">
        <f aca="false">IF(AND($O414&lt;&gt;"",$I414&lt;&gt;0),COUNTIFS($O$2:O414,$O414,$I$2:I414,"&gt;0"),"")</f>
        <v/>
      </c>
      <c r="Q414" s="101" t="str">
        <f aca="false">IF(AND($O414&lt;&gt;"",$J414&lt;&gt;0),COUNTIFS($O$2:O414,$O414,$J$2:J414,"&gt;0"),"")</f>
        <v/>
      </c>
      <c r="R414" s="101" t="str">
        <f aca="false">IF($P414="","",$O414&amp;"|"&amp;$P414)</f>
        <v/>
      </c>
      <c r="S414" s="101" t="str">
        <f aca="false">IF($Q414="","",$O414&amp;"|"&amp;$Q414)</f>
        <v/>
      </c>
      <c r="T414" s="101" t="str">
        <f aca="false">IF($O414="","",COUNTIF($O$2:O414,$O414))</f>
        <v/>
      </c>
      <c r="U414" s="101" t="str">
        <f aca="false">IF($O414="","",$O414&amp;"|"&amp;$T414)</f>
        <v/>
      </c>
      <c r="V414" s="488" t="n">
        <f aca="false">IF(OR(LEFT($D414,5)="MB-CL",LEFT($D414,6)="MB-RES"),0,$I414)</f>
        <v>0</v>
      </c>
      <c r="W414" s="488" t="n">
        <f aca="false">IF(OR(LEFT($D414,5)="MB-CL",LEFT($D414,6)="MB-RES"),0,$J414)</f>
        <v>0</v>
      </c>
      <c r="X414" s="101" t="str">
        <f aca="false">IF($E414="","",LEFT($E414,1))</f>
        <v/>
      </c>
      <c r="Y414" s="101" t="str">
        <f aca="false">IF($E414="","",LEFT($E414,2))</f>
        <v/>
      </c>
      <c r="Z414" s="101" t="str">
        <f aca="false">IF($E414="","",LEFT($E414,3))</f>
        <v/>
      </c>
      <c r="AA414" s="101" t="str">
        <f aca="false">IF($E414="","",LEFT($E414,4))</f>
        <v/>
      </c>
    </row>
    <row r="415" customFormat="false" ht="15" hidden="false" customHeight="true" outlineLevel="0" collapsed="false">
      <c r="A415" s="484" t="str">
        <f aca="false">IF(DITARI!$D419="","",ROW()-1)</f>
        <v/>
      </c>
      <c r="B415" s="485" t="str">
        <f aca="false">IF(DITARI!$D419="","",DITARI!$A419)</f>
        <v/>
      </c>
      <c r="C415" s="484" t="str">
        <f aca="false">IF(DITARI!$D419="","",DITARI!$B419)</f>
        <v/>
      </c>
      <c r="D415" s="484" t="str">
        <f aca="false">IF(DITARI!$D419="","",DITARI!$C419)</f>
        <v/>
      </c>
      <c r="E415" s="484" t="str">
        <f aca="false">IF(DITARI!$D419="","",TRIM(DITARI!$D419&amp;""))</f>
        <v/>
      </c>
      <c r="F415" s="484" t="str">
        <f aca="false">IF($E415="","",IFERROR(VLOOKUP($E415,PLANI_LLOGARIVE!$A:$I,2,FALSE()),DITARI!$E419))</f>
        <v/>
      </c>
      <c r="G415" s="484" t="str">
        <f aca="false">IF($E415="","",DITARI!$I419)</f>
        <v/>
      </c>
      <c r="H415" s="484" t="str">
        <f aca="false">IFERROR(IF($E415="","",DITARI!$H419),"")</f>
        <v/>
      </c>
      <c r="I415" s="487" t="n">
        <f aca="false">IF($E415="",0,IFERROR(DITARI!$F419,0))</f>
        <v>0</v>
      </c>
      <c r="J415" s="487" t="n">
        <f aca="false">IF($E415="",0,IFERROR(DITARI!$G419,0))</f>
        <v>0</v>
      </c>
      <c r="K415" s="484" t="str">
        <f aca="false">IF($E415="","",IFERROR(VLOOKUP($E415,PLANI_LLOGARIVE!$A:$I,9,FALSE()),""))</f>
        <v/>
      </c>
      <c r="L415" s="487" t="str">
        <f aca="false">IF($E415="","",$I415-$J415)</f>
        <v/>
      </c>
      <c r="M415" s="484" t="str">
        <f aca="false">IF($E415="","",IF($I415&gt;0,"DEBIT",IF($J415&gt;0,"KREDIT","ZERO")))</f>
        <v/>
      </c>
      <c r="N415" s="484" t="str">
        <f aca="false">IF($E415="","",TEXT($B415,"yyyymmdd")&amp;"-"&amp;TEXT(ROW(),"0000"))</f>
        <v/>
      </c>
      <c r="O415" s="101" t="str">
        <f aca="false">IF($E415="","",$E415&amp;"")</f>
        <v/>
      </c>
      <c r="P415" s="101" t="str">
        <f aca="false">IF(AND($O415&lt;&gt;"",$I415&lt;&gt;0),COUNTIFS($O$2:O415,$O415,$I$2:I415,"&gt;0"),"")</f>
        <v/>
      </c>
      <c r="Q415" s="101" t="str">
        <f aca="false">IF(AND($O415&lt;&gt;"",$J415&lt;&gt;0),COUNTIFS($O$2:O415,$O415,$J$2:J415,"&gt;0"),"")</f>
        <v/>
      </c>
      <c r="R415" s="101" t="str">
        <f aca="false">IF($P415="","",$O415&amp;"|"&amp;$P415)</f>
        <v/>
      </c>
      <c r="S415" s="101" t="str">
        <f aca="false">IF($Q415="","",$O415&amp;"|"&amp;$Q415)</f>
        <v/>
      </c>
      <c r="T415" s="101" t="str">
        <f aca="false">IF($O415="","",COUNTIF($O$2:O415,$O415))</f>
        <v/>
      </c>
      <c r="U415" s="101" t="str">
        <f aca="false">IF($O415="","",$O415&amp;"|"&amp;$T415)</f>
        <v/>
      </c>
      <c r="V415" s="488" t="n">
        <f aca="false">IF(OR(LEFT($D415,5)="MB-CL",LEFT($D415,6)="MB-RES"),0,$I415)</f>
        <v>0</v>
      </c>
      <c r="W415" s="488" t="n">
        <f aca="false">IF(OR(LEFT($D415,5)="MB-CL",LEFT($D415,6)="MB-RES"),0,$J415)</f>
        <v>0</v>
      </c>
      <c r="X415" s="101" t="str">
        <f aca="false">IF($E415="","",LEFT($E415,1))</f>
        <v/>
      </c>
      <c r="Y415" s="101" t="str">
        <f aca="false">IF($E415="","",LEFT($E415,2))</f>
        <v/>
      </c>
      <c r="Z415" s="101" t="str">
        <f aca="false">IF($E415="","",LEFT($E415,3))</f>
        <v/>
      </c>
      <c r="AA415" s="101" t="str">
        <f aca="false">IF($E415="","",LEFT($E415,4))</f>
        <v/>
      </c>
    </row>
    <row r="416" customFormat="false" ht="15" hidden="false" customHeight="true" outlineLevel="0" collapsed="false">
      <c r="A416" s="484" t="str">
        <f aca="false">IF(DITARI!$D420="","",ROW()-1)</f>
        <v/>
      </c>
      <c r="B416" s="485" t="str">
        <f aca="false">IF(DITARI!$D420="","",DITARI!$A420)</f>
        <v/>
      </c>
      <c r="C416" s="484" t="str">
        <f aca="false">IF(DITARI!$D420="","",DITARI!$B420)</f>
        <v/>
      </c>
      <c r="D416" s="484" t="str">
        <f aca="false">IF(DITARI!$D420="","",DITARI!$C420)</f>
        <v/>
      </c>
      <c r="E416" s="484" t="str">
        <f aca="false">IF(DITARI!$D420="","",TRIM(DITARI!$D420&amp;""))</f>
        <v/>
      </c>
      <c r="F416" s="484" t="str">
        <f aca="false">IF($E416="","",IFERROR(VLOOKUP($E416,PLANI_LLOGARIVE!$A:$I,2,FALSE()),DITARI!$E420))</f>
        <v/>
      </c>
      <c r="G416" s="484" t="str">
        <f aca="false">IF($E416="","",DITARI!$I420)</f>
        <v/>
      </c>
      <c r="H416" s="484" t="str">
        <f aca="false">IFERROR(IF($E416="","",DITARI!$H420),"")</f>
        <v/>
      </c>
      <c r="I416" s="487" t="n">
        <f aca="false">IF($E416="",0,IFERROR(DITARI!$F420,0))</f>
        <v>0</v>
      </c>
      <c r="J416" s="487" t="n">
        <f aca="false">IF($E416="",0,IFERROR(DITARI!$G420,0))</f>
        <v>0</v>
      </c>
      <c r="K416" s="484" t="str">
        <f aca="false">IF($E416="","",IFERROR(VLOOKUP($E416,PLANI_LLOGARIVE!$A:$I,9,FALSE()),""))</f>
        <v/>
      </c>
      <c r="L416" s="487" t="str">
        <f aca="false">IF($E416="","",$I416-$J416)</f>
        <v/>
      </c>
      <c r="M416" s="484" t="str">
        <f aca="false">IF($E416="","",IF($I416&gt;0,"DEBIT",IF($J416&gt;0,"KREDIT","ZERO")))</f>
        <v/>
      </c>
      <c r="N416" s="484" t="str">
        <f aca="false">IF($E416="","",TEXT($B416,"yyyymmdd")&amp;"-"&amp;TEXT(ROW(),"0000"))</f>
        <v/>
      </c>
      <c r="O416" s="101" t="str">
        <f aca="false">IF($E416="","",$E416&amp;"")</f>
        <v/>
      </c>
      <c r="P416" s="101" t="str">
        <f aca="false">IF(AND($O416&lt;&gt;"",$I416&lt;&gt;0),COUNTIFS($O$2:O416,$O416,$I$2:I416,"&gt;0"),"")</f>
        <v/>
      </c>
      <c r="Q416" s="101" t="str">
        <f aca="false">IF(AND($O416&lt;&gt;"",$J416&lt;&gt;0),COUNTIFS($O$2:O416,$O416,$J$2:J416,"&gt;0"),"")</f>
        <v/>
      </c>
      <c r="R416" s="101" t="str">
        <f aca="false">IF($P416="","",$O416&amp;"|"&amp;$P416)</f>
        <v/>
      </c>
      <c r="S416" s="101" t="str">
        <f aca="false">IF($Q416="","",$O416&amp;"|"&amp;$Q416)</f>
        <v/>
      </c>
      <c r="T416" s="101" t="str">
        <f aca="false">IF($O416="","",COUNTIF($O$2:O416,$O416))</f>
        <v/>
      </c>
      <c r="U416" s="101" t="str">
        <f aca="false">IF($O416="","",$O416&amp;"|"&amp;$T416)</f>
        <v/>
      </c>
      <c r="V416" s="488" t="n">
        <f aca="false">IF(OR(LEFT($D416,5)="MB-CL",LEFT($D416,6)="MB-RES"),0,$I416)</f>
        <v>0</v>
      </c>
      <c r="W416" s="488" t="n">
        <f aca="false">IF(OR(LEFT($D416,5)="MB-CL",LEFT($D416,6)="MB-RES"),0,$J416)</f>
        <v>0</v>
      </c>
      <c r="X416" s="101" t="str">
        <f aca="false">IF($E416="","",LEFT($E416,1))</f>
        <v/>
      </c>
      <c r="Y416" s="101" t="str">
        <f aca="false">IF($E416="","",LEFT($E416,2))</f>
        <v/>
      </c>
      <c r="Z416" s="101" t="str">
        <f aca="false">IF($E416="","",LEFT($E416,3))</f>
        <v/>
      </c>
      <c r="AA416" s="101" t="str">
        <f aca="false">IF($E416="","",LEFT($E416,4))</f>
        <v/>
      </c>
    </row>
    <row r="417" customFormat="false" ht="15" hidden="false" customHeight="true" outlineLevel="0" collapsed="false">
      <c r="A417" s="484" t="str">
        <f aca="false">IF(DITARI!$D421="","",ROW()-1)</f>
        <v/>
      </c>
      <c r="B417" s="485" t="str">
        <f aca="false">IF(DITARI!$D421="","",DITARI!$A421)</f>
        <v/>
      </c>
      <c r="C417" s="484" t="str">
        <f aca="false">IF(DITARI!$D421="","",DITARI!$B421)</f>
        <v/>
      </c>
      <c r="D417" s="484" t="str">
        <f aca="false">IF(DITARI!$D421="","",DITARI!$C421)</f>
        <v/>
      </c>
      <c r="E417" s="484" t="str">
        <f aca="false">IF(DITARI!$D421="","",TRIM(DITARI!$D421&amp;""))</f>
        <v/>
      </c>
      <c r="F417" s="484" t="str">
        <f aca="false">IF($E417="","",IFERROR(VLOOKUP($E417,PLANI_LLOGARIVE!$A:$I,2,FALSE()),DITARI!$E421))</f>
        <v/>
      </c>
      <c r="G417" s="484" t="str">
        <f aca="false">IF($E417="","",DITARI!$I421)</f>
        <v/>
      </c>
      <c r="H417" s="484" t="str">
        <f aca="false">IFERROR(IF($E417="","",DITARI!$H421),"")</f>
        <v/>
      </c>
      <c r="I417" s="487" t="n">
        <f aca="false">IF($E417="",0,IFERROR(DITARI!$F421,0))</f>
        <v>0</v>
      </c>
      <c r="J417" s="487" t="n">
        <f aca="false">IF($E417="",0,IFERROR(DITARI!$G421,0))</f>
        <v>0</v>
      </c>
      <c r="K417" s="484" t="str">
        <f aca="false">IF($E417="","",IFERROR(VLOOKUP($E417,PLANI_LLOGARIVE!$A:$I,9,FALSE()),""))</f>
        <v/>
      </c>
      <c r="L417" s="487" t="str">
        <f aca="false">IF($E417="","",$I417-$J417)</f>
        <v/>
      </c>
      <c r="M417" s="484" t="str">
        <f aca="false">IF($E417="","",IF($I417&gt;0,"DEBIT",IF($J417&gt;0,"KREDIT","ZERO")))</f>
        <v/>
      </c>
      <c r="N417" s="484" t="str">
        <f aca="false">IF($E417="","",TEXT($B417,"yyyymmdd")&amp;"-"&amp;TEXT(ROW(),"0000"))</f>
        <v/>
      </c>
      <c r="O417" s="101" t="str">
        <f aca="false">IF($E417="","",$E417&amp;"")</f>
        <v/>
      </c>
      <c r="P417" s="101" t="str">
        <f aca="false">IF(AND($O417&lt;&gt;"",$I417&lt;&gt;0),COUNTIFS($O$2:O417,$O417,$I$2:I417,"&gt;0"),"")</f>
        <v/>
      </c>
      <c r="Q417" s="101" t="str">
        <f aca="false">IF(AND($O417&lt;&gt;"",$J417&lt;&gt;0),COUNTIFS($O$2:O417,$O417,$J$2:J417,"&gt;0"),"")</f>
        <v/>
      </c>
      <c r="R417" s="101" t="str">
        <f aca="false">IF($P417="","",$O417&amp;"|"&amp;$P417)</f>
        <v/>
      </c>
      <c r="S417" s="101" t="str">
        <f aca="false">IF($Q417="","",$O417&amp;"|"&amp;$Q417)</f>
        <v/>
      </c>
      <c r="T417" s="101" t="str">
        <f aca="false">IF($O417="","",COUNTIF($O$2:O417,$O417))</f>
        <v/>
      </c>
      <c r="U417" s="101" t="str">
        <f aca="false">IF($O417="","",$O417&amp;"|"&amp;$T417)</f>
        <v/>
      </c>
      <c r="V417" s="488" t="n">
        <f aca="false">IF(OR(LEFT($D417,5)="MB-CL",LEFT($D417,6)="MB-RES"),0,$I417)</f>
        <v>0</v>
      </c>
      <c r="W417" s="488" t="n">
        <f aca="false">IF(OR(LEFT($D417,5)="MB-CL",LEFT($D417,6)="MB-RES"),0,$J417)</f>
        <v>0</v>
      </c>
      <c r="X417" s="101" t="str">
        <f aca="false">IF($E417="","",LEFT($E417,1))</f>
        <v/>
      </c>
      <c r="Y417" s="101" t="str">
        <f aca="false">IF($E417="","",LEFT($E417,2))</f>
        <v/>
      </c>
      <c r="Z417" s="101" t="str">
        <f aca="false">IF($E417="","",LEFT($E417,3))</f>
        <v/>
      </c>
      <c r="AA417" s="101" t="str">
        <f aca="false">IF($E417="","",LEFT($E417,4))</f>
        <v/>
      </c>
    </row>
    <row r="418" customFormat="false" ht="15" hidden="false" customHeight="true" outlineLevel="0" collapsed="false">
      <c r="A418" s="484" t="str">
        <f aca="false">IF(DITARI!$D422="","",ROW()-1)</f>
        <v/>
      </c>
      <c r="B418" s="485" t="str">
        <f aca="false">IF(DITARI!$D422="","",DITARI!$A422)</f>
        <v/>
      </c>
      <c r="C418" s="484" t="str">
        <f aca="false">IF(DITARI!$D422="","",DITARI!$B422)</f>
        <v/>
      </c>
      <c r="D418" s="484" t="str">
        <f aca="false">IF(DITARI!$D422="","",DITARI!$C422)</f>
        <v/>
      </c>
      <c r="E418" s="484" t="str">
        <f aca="false">IF(DITARI!$D422="","",TRIM(DITARI!$D422&amp;""))</f>
        <v/>
      </c>
      <c r="F418" s="484" t="str">
        <f aca="false">IF($E418="","",IFERROR(VLOOKUP($E418,PLANI_LLOGARIVE!$A:$I,2,FALSE()),DITARI!$E422))</f>
        <v/>
      </c>
      <c r="G418" s="484" t="str">
        <f aca="false">IF($E418="","",DITARI!$I422)</f>
        <v/>
      </c>
      <c r="H418" s="484" t="str">
        <f aca="false">IFERROR(IF($E418="","",DITARI!$H422),"")</f>
        <v/>
      </c>
      <c r="I418" s="487" t="n">
        <f aca="false">IF($E418="",0,IFERROR(DITARI!$F422,0))</f>
        <v>0</v>
      </c>
      <c r="J418" s="487" t="n">
        <f aca="false">IF($E418="",0,IFERROR(DITARI!$G422,0))</f>
        <v>0</v>
      </c>
      <c r="K418" s="484" t="str">
        <f aca="false">IF($E418="","",IFERROR(VLOOKUP($E418,PLANI_LLOGARIVE!$A:$I,9,FALSE()),""))</f>
        <v/>
      </c>
      <c r="L418" s="487" t="str">
        <f aca="false">IF($E418="","",$I418-$J418)</f>
        <v/>
      </c>
      <c r="M418" s="484" t="str">
        <f aca="false">IF($E418="","",IF($I418&gt;0,"DEBIT",IF($J418&gt;0,"KREDIT","ZERO")))</f>
        <v/>
      </c>
      <c r="N418" s="484" t="str">
        <f aca="false">IF($E418="","",TEXT($B418,"yyyymmdd")&amp;"-"&amp;TEXT(ROW(),"0000"))</f>
        <v/>
      </c>
      <c r="O418" s="101" t="str">
        <f aca="false">IF($E418="","",$E418&amp;"")</f>
        <v/>
      </c>
      <c r="P418" s="101" t="str">
        <f aca="false">IF(AND($O418&lt;&gt;"",$I418&lt;&gt;0),COUNTIFS($O$2:O418,$O418,$I$2:I418,"&gt;0"),"")</f>
        <v/>
      </c>
      <c r="Q418" s="101" t="str">
        <f aca="false">IF(AND($O418&lt;&gt;"",$J418&lt;&gt;0),COUNTIFS($O$2:O418,$O418,$J$2:J418,"&gt;0"),"")</f>
        <v/>
      </c>
      <c r="R418" s="101" t="str">
        <f aca="false">IF($P418="","",$O418&amp;"|"&amp;$P418)</f>
        <v/>
      </c>
      <c r="S418" s="101" t="str">
        <f aca="false">IF($Q418="","",$O418&amp;"|"&amp;$Q418)</f>
        <v/>
      </c>
      <c r="T418" s="101" t="str">
        <f aca="false">IF($O418="","",COUNTIF($O$2:O418,$O418))</f>
        <v/>
      </c>
      <c r="U418" s="101" t="str">
        <f aca="false">IF($O418="","",$O418&amp;"|"&amp;$T418)</f>
        <v/>
      </c>
      <c r="V418" s="488" t="n">
        <f aca="false">IF(OR(LEFT($D418,5)="MB-CL",LEFT($D418,6)="MB-RES"),0,$I418)</f>
        <v>0</v>
      </c>
      <c r="W418" s="488" t="n">
        <f aca="false">IF(OR(LEFT($D418,5)="MB-CL",LEFT($D418,6)="MB-RES"),0,$J418)</f>
        <v>0</v>
      </c>
      <c r="X418" s="101" t="str">
        <f aca="false">IF($E418="","",LEFT($E418,1))</f>
        <v/>
      </c>
      <c r="Y418" s="101" t="str">
        <f aca="false">IF($E418="","",LEFT($E418,2))</f>
        <v/>
      </c>
      <c r="Z418" s="101" t="str">
        <f aca="false">IF($E418="","",LEFT($E418,3))</f>
        <v/>
      </c>
      <c r="AA418" s="101" t="str">
        <f aca="false">IF($E418="","",LEFT($E418,4))</f>
        <v/>
      </c>
    </row>
    <row r="419" customFormat="false" ht="15" hidden="false" customHeight="true" outlineLevel="0" collapsed="false">
      <c r="A419" s="484" t="str">
        <f aca="false">IF(DITARI!$D423="","",ROW()-1)</f>
        <v/>
      </c>
      <c r="B419" s="485" t="str">
        <f aca="false">IF(DITARI!$D423="","",DITARI!$A423)</f>
        <v/>
      </c>
      <c r="C419" s="484" t="str">
        <f aca="false">IF(DITARI!$D423="","",DITARI!$B423)</f>
        <v/>
      </c>
      <c r="D419" s="484" t="str">
        <f aca="false">IF(DITARI!$D423="","",DITARI!$C423)</f>
        <v/>
      </c>
      <c r="E419" s="484" t="str">
        <f aca="false">IF(DITARI!$D423="","",TRIM(DITARI!$D423&amp;""))</f>
        <v/>
      </c>
      <c r="F419" s="484" t="str">
        <f aca="false">IF($E419="","",IFERROR(VLOOKUP($E419,PLANI_LLOGARIVE!$A:$I,2,FALSE()),DITARI!$E423))</f>
        <v/>
      </c>
      <c r="G419" s="484" t="str">
        <f aca="false">IF($E419="","",DITARI!$I423)</f>
        <v/>
      </c>
      <c r="H419" s="484" t="str">
        <f aca="false">IFERROR(IF($E419="","",DITARI!$H423),"")</f>
        <v/>
      </c>
      <c r="I419" s="487" t="n">
        <f aca="false">IF($E419="",0,IFERROR(DITARI!$F423,0))</f>
        <v>0</v>
      </c>
      <c r="J419" s="487" t="n">
        <f aca="false">IF($E419="",0,IFERROR(DITARI!$G423,0))</f>
        <v>0</v>
      </c>
      <c r="K419" s="484" t="str">
        <f aca="false">IF($E419="","",IFERROR(VLOOKUP($E419,PLANI_LLOGARIVE!$A:$I,9,FALSE()),""))</f>
        <v/>
      </c>
      <c r="L419" s="487" t="str">
        <f aca="false">IF($E419="","",$I419-$J419)</f>
        <v/>
      </c>
      <c r="M419" s="484" t="str">
        <f aca="false">IF($E419="","",IF($I419&gt;0,"DEBIT",IF($J419&gt;0,"KREDIT","ZERO")))</f>
        <v/>
      </c>
      <c r="N419" s="484" t="str">
        <f aca="false">IF($E419="","",TEXT($B419,"yyyymmdd")&amp;"-"&amp;TEXT(ROW(),"0000"))</f>
        <v/>
      </c>
      <c r="O419" s="101" t="str">
        <f aca="false">IF($E419="","",$E419&amp;"")</f>
        <v/>
      </c>
      <c r="P419" s="101" t="str">
        <f aca="false">IF(AND($O419&lt;&gt;"",$I419&lt;&gt;0),COUNTIFS($O$2:O419,$O419,$I$2:I419,"&gt;0"),"")</f>
        <v/>
      </c>
      <c r="Q419" s="101" t="str">
        <f aca="false">IF(AND($O419&lt;&gt;"",$J419&lt;&gt;0),COUNTIFS($O$2:O419,$O419,$J$2:J419,"&gt;0"),"")</f>
        <v/>
      </c>
      <c r="R419" s="101" t="str">
        <f aca="false">IF($P419="","",$O419&amp;"|"&amp;$P419)</f>
        <v/>
      </c>
      <c r="S419" s="101" t="str">
        <f aca="false">IF($Q419="","",$O419&amp;"|"&amp;$Q419)</f>
        <v/>
      </c>
      <c r="T419" s="101" t="str">
        <f aca="false">IF($O419="","",COUNTIF($O$2:O419,$O419))</f>
        <v/>
      </c>
      <c r="U419" s="101" t="str">
        <f aca="false">IF($O419="","",$O419&amp;"|"&amp;$T419)</f>
        <v/>
      </c>
      <c r="V419" s="488" t="n">
        <f aca="false">IF(OR(LEFT($D419,5)="MB-CL",LEFT($D419,6)="MB-RES"),0,$I419)</f>
        <v>0</v>
      </c>
      <c r="W419" s="488" t="n">
        <f aca="false">IF(OR(LEFT($D419,5)="MB-CL",LEFT($D419,6)="MB-RES"),0,$J419)</f>
        <v>0</v>
      </c>
      <c r="X419" s="101" t="str">
        <f aca="false">IF($E419="","",LEFT($E419,1))</f>
        <v/>
      </c>
      <c r="Y419" s="101" t="str">
        <f aca="false">IF($E419="","",LEFT($E419,2))</f>
        <v/>
      </c>
      <c r="Z419" s="101" t="str">
        <f aca="false">IF($E419="","",LEFT($E419,3))</f>
        <v/>
      </c>
      <c r="AA419" s="101" t="str">
        <f aca="false">IF($E419="","",LEFT($E419,4))</f>
        <v/>
      </c>
    </row>
    <row r="420" customFormat="false" ht="15" hidden="false" customHeight="true" outlineLevel="0" collapsed="false">
      <c r="A420" s="484" t="str">
        <f aca="false">IF(DITARI!$D424="","",ROW()-1)</f>
        <v/>
      </c>
      <c r="B420" s="485" t="str">
        <f aca="false">IF(DITARI!$D424="","",DITARI!$A424)</f>
        <v/>
      </c>
      <c r="C420" s="484" t="str">
        <f aca="false">IF(DITARI!$D424="","",DITARI!$B424)</f>
        <v/>
      </c>
      <c r="D420" s="484" t="str">
        <f aca="false">IF(DITARI!$D424="","",DITARI!$C424)</f>
        <v/>
      </c>
      <c r="E420" s="484" t="str">
        <f aca="false">IF(DITARI!$D424="","",TRIM(DITARI!$D424&amp;""))</f>
        <v/>
      </c>
      <c r="F420" s="484" t="str">
        <f aca="false">IF($E420="","",IFERROR(VLOOKUP($E420,PLANI_LLOGARIVE!$A:$I,2,FALSE()),DITARI!$E424))</f>
        <v/>
      </c>
      <c r="G420" s="484" t="str">
        <f aca="false">IF($E420="","",DITARI!$I424)</f>
        <v/>
      </c>
      <c r="H420" s="484" t="str">
        <f aca="false">IFERROR(IF($E420="","",DITARI!$H424),"")</f>
        <v/>
      </c>
      <c r="I420" s="487" t="n">
        <f aca="false">IF($E420="",0,IFERROR(DITARI!$F424,0))</f>
        <v>0</v>
      </c>
      <c r="J420" s="487" t="n">
        <f aca="false">IF($E420="",0,IFERROR(DITARI!$G424,0))</f>
        <v>0</v>
      </c>
      <c r="K420" s="484" t="str">
        <f aca="false">IF($E420="","",IFERROR(VLOOKUP($E420,PLANI_LLOGARIVE!$A:$I,9,FALSE()),""))</f>
        <v/>
      </c>
      <c r="L420" s="487" t="str">
        <f aca="false">IF($E420="","",$I420-$J420)</f>
        <v/>
      </c>
      <c r="M420" s="484" t="str">
        <f aca="false">IF($E420="","",IF($I420&gt;0,"DEBIT",IF($J420&gt;0,"KREDIT","ZERO")))</f>
        <v/>
      </c>
      <c r="N420" s="484" t="str">
        <f aca="false">IF($E420="","",TEXT($B420,"yyyymmdd")&amp;"-"&amp;TEXT(ROW(),"0000"))</f>
        <v/>
      </c>
      <c r="O420" s="101" t="str">
        <f aca="false">IF($E420="","",$E420&amp;"")</f>
        <v/>
      </c>
      <c r="P420" s="101" t="str">
        <f aca="false">IF(AND($O420&lt;&gt;"",$I420&lt;&gt;0),COUNTIFS($O$2:O420,$O420,$I$2:I420,"&gt;0"),"")</f>
        <v/>
      </c>
      <c r="Q420" s="101" t="str">
        <f aca="false">IF(AND($O420&lt;&gt;"",$J420&lt;&gt;0),COUNTIFS($O$2:O420,$O420,$J$2:J420,"&gt;0"),"")</f>
        <v/>
      </c>
      <c r="R420" s="101" t="str">
        <f aca="false">IF($P420="","",$O420&amp;"|"&amp;$P420)</f>
        <v/>
      </c>
      <c r="S420" s="101" t="str">
        <f aca="false">IF($Q420="","",$O420&amp;"|"&amp;$Q420)</f>
        <v/>
      </c>
      <c r="T420" s="101" t="str">
        <f aca="false">IF($O420="","",COUNTIF($O$2:O420,$O420))</f>
        <v/>
      </c>
      <c r="U420" s="101" t="str">
        <f aca="false">IF($O420="","",$O420&amp;"|"&amp;$T420)</f>
        <v/>
      </c>
      <c r="V420" s="488" t="n">
        <f aca="false">IF(OR(LEFT($D420,5)="MB-CL",LEFT($D420,6)="MB-RES"),0,$I420)</f>
        <v>0</v>
      </c>
      <c r="W420" s="488" t="n">
        <f aca="false">IF(OR(LEFT($D420,5)="MB-CL",LEFT($D420,6)="MB-RES"),0,$J420)</f>
        <v>0</v>
      </c>
      <c r="X420" s="101" t="str">
        <f aca="false">IF($E420="","",LEFT($E420,1))</f>
        <v/>
      </c>
      <c r="Y420" s="101" t="str">
        <f aca="false">IF($E420="","",LEFT($E420,2))</f>
        <v/>
      </c>
      <c r="Z420" s="101" t="str">
        <f aca="false">IF($E420="","",LEFT($E420,3))</f>
        <v/>
      </c>
      <c r="AA420" s="101" t="str">
        <f aca="false">IF($E420="","",LEFT($E420,4))</f>
        <v/>
      </c>
    </row>
    <row r="421" customFormat="false" ht="15" hidden="false" customHeight="true" outlineLevel="0" collapsed="false">
      <c r="A421" s="484" t="str">
        <f aca="false">IF(DITARI!$D425="","",ROW()-1)</f>
        <v/>
      </c>
      <c r="B421" s="485" t="str">
        <f aca="false">IF(DITARI!$D425="","",DITARI!$A425)</f>
        <v/>
      </c>
      <c r="C421" s="484" t="str">
        <f aca="false">IF(DITARI!$D425="","",DITARI!$B425)</f>
        <v/>
      </c>
      <c r="D421" s="484" t="str">
        <f aca="false">IF(DITARI!$D425="","",DITARI!$C425)</f>
        <v/>
      </c>
      <c r="E421" s="484" t="str">
        <f aca="false">IF(DITARI!$D425="","",TRIM(DITARI!$D425&amp;""))</f>
        <v/>
      </c>
      <c r="F421" s="484" t="str">
        <f aca="false">IF($E421="","",IFERROR(VLOOKUP($E421,PLANI_LLOGARIVE!$A:$I,2,FALSE()),DITARI!$E425))</f>
        <v/>
      </c>
      <c r="G421" s="484" t="str">
        <f aca="false">IF($E421="","",DITARI!$I425)</f>
        <v/>
      </c>
      <c r="H421" s="484" t="str">
        <f aca="false">IFERROR(IF($E421="","",DITARI!$H425),"")</f>
        <v/>
      </c>
      <c r="I421" s="487" t="n">
        <f aca="false">IF($E421="",0,IFERROR(DITARI!$F425,0))</f>
        <v>0</v>
      </c>
      <c r="J421" s="487" t="n">
        <f aca="false">IF($E421="",0,IFERROR(DITARI!$G425,0))</f>
        <v>0</v>
      </c>
      <c r="K421" s="484" t="str">
        <f aca="false">IF($E421="","",IFERROR(VLOOKUP($E421,PLANI_LLOGARIVE!$A:$I,9,FALSE()),""))</f>
        <v/>
      </c>
      <c r="L421" s="487" t="str">
        <f aca="false">IF($E421="","",$I421-$J421)</f>
        <v/>
      </c>
      <c r="M421" s="484" t="str">
        <f aca="false">IF($E421="","",IF($I421&gt;0,"DEBIT",IF($J421&gt;0,"KREDIT","ZERO")))</f>
        <v/>
      </c>
      <c r="N421" s="484" t="str">
        <f aca="false">IF($E421="","",TEXT($B421,"yyyymmdd")&amp;"-"&amp;TEXT(ROW(),"0000"))</f>
        <v/>
      </c>
      <c r="O421" s="101" t="str">
        <f aca="false">IF($E421="","",$E421&amp;"")</f>
        <v/>
      </c>
      <c r="P421" s="101" t="str">
        <f aca="false">IF(AND($O421&lt;&gt;"",$I421&lt;&gt;0),COUNTIFS($O$2:O421,$O421,$I$2:I421,"&gt;0"),"")</f>
        <v/>
      </c>
      <c r="Q421" s="101" t="str">
        <f aca="false">IF(AND($O421&lt;&gt;"",$J421&lt;&gt;0),COUNTIFS($O$2:O421,$O421,$J$2:J421,"&gt;0"),"")</f>
        <v/>
      </c>
      <c r="R421" s="101" t="str">
        <f aca="false">IF($P421="","",$O421&amp;"|"&amp;$P421)</f>
        <v/>
      </c>
      <c r="S421" s="101" t="str">
        <f aca="false">IF($Q421="","",$O421&amp;"|"&amp;$Q421)</f>
        <v/>
      </c>
      <c r="T421" s="101" t="str">
        <f aca="false">IF($O421="","",COUNTIF($O$2:O421,$O421))</f>
        <v/>
      </c>
      <c r="U421" s="101" t="str">
        <f aca="false">IF($O421="","",$O421&amp;"|"&amp;$T421)</f>
        <v/>
      </c>
      <c r="V421" s="488" t="n">
        <f aca="false">IF(OR(LEFT($D421,5)="MB-CL",LEFT($D421,6)="MB-RES"),0,$I421)</f>
        <v>0</v>
      </c>
      <c r="W421" s="488" t="n">
        <f aca="false">IF(OR(LEFT($D421,5)="MB-CL",LEFT($D421,6)="MB-RES"),0,$J421)</f>
        <v>0</v>
      </c>
      <c r="X421" s="101" t="str">
        <f aca="false">IF($E421="","",LEFT($E421,1))</f>
        <v/>
      </c>
      <c r="Y421" s="101" t="str">
        <f aca="false">IF($E421="","",LEFT($E421,2))</f>
        <v/>
      </c>
      <c r="Z421" s="101" t="str">
        <f aca="false">IF($E421="","",LEFT($E421,3))</f>
        <v/>
      </c>
      <c r="AA421" s="101" t="str">
        <f aca="false">IF($E421="","",LEFT($E421,4))</f>
        <v/>
      </c>
    </row>
    <row r="422" customFormat="false" ht="15" hidden="false" customHeight="true" outlineLevel="0" collapsed="false">
      <c r="A422" s="484" t="str">
        <f aca="false">IF(DITARI!$D426="","",ROW()-1)</f>
        <v/>
      </c>
      <c r="B422" s="485" t="str">
        <f aca="false">IF(DITARI!$D426="","",DITARI!$A426)</f>
        <v/>
      </c>
      <c r="C422" s="484" t="str">
        <f aca="false">IF(DITARI!$D426="","",DITARI!$B426)</f>
        <v/>
      </c>
      <c r="D422" s="484" t="str">
        <f aca="false">IF(DITARI!$D426="","",DITARI!$C426)</f>
        <v/>
      </c>
      <c r="E422" s="484" t="str">
        <f aca="false">IF(DITARI!$D426="","",TRIM(DITARI!$D426&amp;""))</f>
        <v/>
      </c>
      <c r="F422" s="484" t="str">
        <f aca="false">IF($E422="","",IFERROR(VLOOKUP($E422,PLANI_LLOGARIVE!$A:$I,2,FALSE()),DITARI!$E426))</f>
        <v/>
      </c>
      <c r="G422" s="484" t="str">
        <f aca="false">IF($E422="","",DITARI!$I426)</f>
        <v/>
      </c>
      <c r="H422" s="484" t="str">
        <f aca="false">IFERROR(IF($E422="","",DITARI!$H426),"")</f>
        <v/>
      </c>
      <c r="I422" s="487" t="n">
        <f aca="false">IF($E422="",0,IFERROR(DITARI!$F426,0))</f>
        <v>0</v>
      </c>
      <c r="J422" s="487" t="n">
        <f aca="false">IF($E422="",0,IFERROR(DITARI!$G426,0))</f>
        <v>0</v>
      </c>
      <c r="K422" s="484" t="str">
        <f aca="false">IF($E422="","",IFERROR(VLOOKUP($E422,PLANI_LLOGARIVE!$A:$I,9,FALSE()),""))</f>
        <v/>
      </c>
      <c r="L422" s="487" t="str">
        <f aca="false">IF($E422="","",$I422-$J422)</f>
        <v/>
      </c>
      <c r="M422" s="484" t="str">
        <f aca="false">IF($E422="","",IF($I422&gt;0,"DEBIT",IF($J422&gt;0,"KREDIT","ZERO")))</f>
        <v/>
      </c>
      <c r="N422" s="484" t="str">
        <f aca="false">IF($E422="","",TEXT($B422,"yyyymmdd")&amp;"-"&amp;TEXT(ROW(),"0000"))</f>
        <v/>
      </c>
      <c r="O422" s="101" t="str">
        <f aca="false">IF($E422="","",$E422&amp;"")</f>
        <v/>
      </c>
      <c r="P422" s="101" t="str">
        <f aca="false">IF(AND($O422&lt;&gt;"",$I422&lt;&gt;0),COUNTIFS($O$2:O422,$O422,$I$2:I422,"&gt;0"),"")</f>
        <v/>
      </c>
      <c r="Q422" s="101" t="str">
        <f aca="false">IF(AND($O422&lt;&gt;"",$J422&lt;&gt;0),COUNTIFS($O$2:O422,$O422,$J$2:J422,"&gt;0"),"")</f>
        <v/>
      </c>
      <c r="R422" s="101" t="str">
        <f aca="false">IF($P422="","",$O422&amp;"|"&amp;$P422)</f>
        <v/>
      </c>
      <c r="S422" s="101" t="str">
        <f aca="false">IF($Q422="","",$O422&amp;"|"&amp;$Q422)</f>
        <v/>
      </c>
      <c r="T422" s="101" t="str">
        <f aca="false">IF($O422="","",COUNTIF($O$2:O422,$O422))</f>
        <v/>
      </c>
      <c r="U422" s="101" t="str">
        <f aca="false">IF($O422="","",$O422&amp;"|"&amp;$T422)</f>
        <v/>
      </c>
      <c r="V422" s="488" t="n">
        <f aca="false">IF(OR(LEFT($D422,5)="MB-CL",LEFT($D422,6)="MB-RES"),0,$I422)</f>
        <v>0</v>
      </c>
      <c r="W422" s="488" t="n">
        <f aca="false">IF(OR(LEFT($D422,5)="MB-CL",LEFT($D422,6)="MB-RES"),0,$J422)</f>
        <v>0</v>
      </c>
      <c r="X422" s="101" t="str">
        <f aca="false">IF($E422="","",LEFT($E422,1))</f>
        <v/>
      </c>
      <c r="Y422" s="101" t="str">
        <f aca="false">IF($E422="","",LEFT($E422,2))</f>
        <v/>
      </c>
      <c r="Z422" s="101" t="str">
        <f aca="false">IF($E422="","",LEFT($E422,3))</f>
        <v/>
      </c>
      <c r="AA422" s="101" t="str">
        <f aca="false">IF($E422="","",LEFT($E422,4))</f>
        <v/>
      </c>
    </row>
    <row r="423" customFormat="false" ht="15" hidden="false" customHeight="true" outlineLevel="0" collapsed="false">
      <c r="A423" s="484" t="str">
        <f aca="false">IF(DITARI!$D427="","",ROW()-1)</f>
        <v/>
      </c>
      <c r="B423" s="485" t="str">
        <f aca="false">IF(DITARI!$D427="","",DITARI!$A427)</f>
        <v/>
      </c>
      <c r="C423" s="484" t="str">
        <f aca="false">IF(DITARI!$D427="","",DITARI!$B427)</f>
        <v/>
      </c>
      <c r="D423" s="484" t="str">
        <f aca="false">IF(DITARI!$D427="","",DITARI!$C427)</f>
        <v/>
      </c>
      <c r="E423" s="484" t="str">
        <f aca="false">IF(DITARI!$D427="","",TRIM(DITARI!$D427&amp;""))</f>
        <v/>
      </c>
      <c r="F423" s="484" t="str">
        <f aca="false">IF($E423="","",IFERROR(VLOOKUP($E423,PLANI_LLOGARIVE!$A:$I,2,FALSE()),DITARI!$E427))</f>
        <v/>
      </c>
      <c r="G423" s="484" t="str">
        <f aca="false">IF($E423="","",DITARI!$I427)</f>
        <v/>
      </c>
      <c r="H423" s="484" t="str">
        <f aca="false">IFERROR(IF($E423="","",DITARI!$H427),"")</f>
        <v/>
      </c>
      <c r="I423" s="487" t="n">
        <f aca="false">IF($E423="",0,IFERROR(DITARI!$F427,0))</f>
        <v>0</v>
      </c>
      <c r="J423" s="487" t="n">
        <f aca="false">IF($E423="",0,IFERROR(DITARI!$G427,0))</f>
        <v>0</v>
      </c>
      <c r="K423" s="484" t="str">
        <f aca="false">IF($E423="","",IFERROR(VLOOKUP($E423,PLANI_LLOGARIVE!$A:$I,9,FALSE()),""))</f>
        <v/>
      </c>
      <c r="L423" s="487" t="str">
        <f aca="false">IF($E423="","",$I423-$J423)</f>
        <v/>
      </c>
      <c r="M423" s="484" t="str">
        <f aca="false">IF($E423="","",IF($I423&gt;0,"DEBIT",IF($J423&gt;0,"KREDIT","ZERO")))</f>
        <v/>
      </c>
      <c r="N423" s="484" t="str">
        <f aca="false">IF($E423="","",TEXT($B423,"yyyymmdd")&amp;"-"&amp;TEXT(ROW(),"0000"))</f>
        <v/>
      </c>
      <c r="O423" s="101" t="str">
        <f aca="false">IF($E423="","",$E423&amp;"")</f>
        <v/>
      </c>
      <c r="P423" s="101" t="str">
        <f aca="false">IF(AND($O423&lt;&gt;"",$I423&lt;&gt;0),COUNTIFS($O$2:O423,$O423,$I$2:I423,"&gt;0"),"")</f>
        <v/>
      </c>
      <c r="Q423" s="101" t="str">
        <f aca="false">IF(AND($O423&lt;&gt;"",$J423&lt;&gt;0),COUNTIFS($O$2:O423,$O423,$J$2:J423,"&gt;0"),"")</f>
        <v/>
      </c>
      <c r="R423" s="101" t="str">
        <f aca="false">IF($P423="","",$O423&amp;"|"&amp;$P423)</f>
        <v/>
      </c>
      <c r="S423" s="101" t="str">
        <f aca="false">IF($Q423="","",$O423&amp;"|"&amp;$Q423)</f>
        <v/>
      </c>
      <c r="T423" s="101" t="str">
        <f aca="false">IF($O423="","",COUNTIF($O$2:O423,$O423))</f>
        <v/>
      </c>
      <c r="U423" s="101" t="str">
        <f aca="false">IF($O423="","",$O423&amp;"|"&amp;$T423)</f>
        <v/>
      </c>
      <c r="V423" s="488" t="n">
        <f aca="false">IF(OR(LEFT($D423,5)="MB-CL",LEFT($D423,6)="MB-RES"),0,$I423)</f>
        <v>0</v>
      </c>
      <c r="W423" s="488" t="n">
        <f aca="false">IF(OR(LEFT($D423,5)="MB-CL",LEFT($D423,6)="MB-RES"),0,$J423)</f>
        <v>0</v>
      </c>
      <c r="X423" s="101" t="str">
        <f aca="false">IF($E423="","",LEFT($E423,1))</f>
        <v/>
      </c>
      <c r="Y423" s="101" t="str">
        <f aca="false">IF($E423="","",LEFT($E423,2))</f>
        <v/>
      </c>
      <c r="Z423" s="101" t="str">
        <f aca="false">IF($E423="","",LEFT($E423,3))</f>
        <v/>
      </c>
      <c r="AA423" s="101" t="str">
        <f aca="false">IF($E423="","",LEFT($E423,4))</f>
        <v/>
      </c>
    </row>
    <row r="424" customFormat="false" ht="15" hidden="false" customHeight="true" outlineLevel="0" collapsed="false">
      <c r="A424" s="484" t="str">
        <f aca="false">IF(DITARI!$D428="","",ROW()-1)</f>
        <v/>
      </c>
      <c r="B424" s="485" t="str">
        <f aca="false">IF(DITARI!$D428="","",DITARI!$A428)</f>
        <v/>
      </c>
      <c r="C424" s="484" t="str">
        <f aca="false">IF(DITARI!$D428="","",DITARI!$B428)</f>
        <v/>
      </c>
      <c r="D424" s="484" t="str">
        <f aca="false">IF(DITARI!$D428="","",DITARI!$C428)</f>
        <v/>
      </c>
      <c r="E424" s="484" t="str">
        <f aca="false">IF(DITARI!$D428="","",TRIM(DITARI!$D428&amp;""))</f>
        <v/>
      </c>
      <c r="F424" s="484" t="str">
        <f aca="false">IF($E424="","",IFERROR(VLOOKUP($E424,PLANI_LLOGARIVE!$A:$I,2,FALSE()),DITARI!$E428))</f>
        <v/>
      </c>
      <c r="G424" s="484" t="str">
        <f aca="false">IF($E424="","",DITARI!$I428)</f>
        <v/>
      </c>
      <c r="H424" s="484" t="str">
        <f aca="false">IFERROR(IF($E424="","",DITARI!$H428),"")</f>
        <v/>
      </c>
      <c r="I424" s="487" t="n">
        <f aca="false">IF($E424="",0,IFERROR(DITARI!$F428,0))</f>
        <v>0</v>
      </c>
      <c r="J424" s="487" t="n">
        <f aca="false">IF($E424="",0,IFERROR(DITARI!$G428,0))</f>
        <v>0</v>
      </c>
      <c r="K424" s="484" t="str">
        <f aca="false">IF($E424="","",IFERROR(VLOOKUP($E424,PLANI_LLOGARIVE!$A:$I,9,FALSE()),""))</f>
        <v/>
      </c>
      <c r="L424" s="487" t="str">
        <f aca="false">IF($E424="","",$I424-$J424)</f>
        <v/>
      </c>
      <c r="M424" s="484" t="str">
        <f aca="false">IF($E424="","",IF($I424&gt;0,"DEBIT",IF($J424&gt;0,"KREDIT","ZERO")))</f>
        <v/>
      </c>
      <c r="N424" s="484" t="str">
        <f aca="false">IF($E424="","",TEXT($B424,"yyyymmdd")&amp;"-"&amp;TEXT(ROW(),"0000"))</f>
        <v/>
      </c>
      <c r="O424" s="101" t="str">
        <f aca="false">IF($E424="","",$E424&amp;"")</f>
        <v/>
      </c>
      <c r="P424" s="101" t="str">
        <f aca="false">IF(AND($O424&lt;&gt;"",$I424&lt;&gt;0),COUNTIFS($O$2:O424,$O424,$I$2:I424,"&gt;0"),"")</f>
        <v/>
      </c>
      <c r="Q424" s="101" t="str">
        <f aca="false">IF(AND($O424&lt;&gt;"",$J424&lt;&gt;0),COUNTIFS($O$2:O424,$O424,$J$2:J424,"&gt;0"),"")</f>
        <v/>
      </c>
      <c r="R424" s="101" t="str">
        <f aca="false">IF($P424="","",$O424&amp;"|"&amp;$P424)</f>
        <v/>
      </c>
      <c r="S424" s="101" t="str">
        <f aca="false">IF($Q424="","",$O424&amp;"|"&amp;$Q424)</f>
        <v/>
      </c>
      <c r="T424" s="101" t="str">
        <f aca="false">IF($O424="","",COUNTIF($O$2:O424,$O424))</f>
        <v/>
      </c>
      <c r="U424" s="101" t="str">
        <f aca="false">IF($O424="","",$O424&amp;"|"&amp;$T424)</f>
        <v/>
      </c>
      <c r="V424" s="488" t="n">
        <f aca="false">IF(OR(LEFT($D424,5)="MB-CL",LEFT($D424,6)="MB-RES"),0,$I424)</f>
        <v>0</v>
      </c>
      <c r="W424" s="488" t="n">
        <f aca="false">IF(OR(LEFT($D424,5)="MB-CL",LEFT($D424,6)="MB-RES"),0,$J424)</f>
        <v>0</v>
      </c>
      <c r="X424" s="101" t="str">
        <f aca="false">IF($E424="","",LEFT($E424,1))</f>
        <v/>
      </c>
      <c r="Y424" s="101" t="str">
        <f aca="false">IF($E424="","",LEFT($E424,2))</f>
        <v/>
      </c>
      <c r="Z424" s="101" t="str">
        <f aca="false">IF($E424="","",LEFT($E424,3))</f>
        <v/>
      </c>
      <c r="AA424" s="101" t="str">
        <f aca="false">IF($E424="","",LEFT($E424,4))</f>
        <v/>
      </c>
    </row>
    <row r="425" customFormat="false" ht="15" hidden="false" customHeight="true" outlineLevel="0" collapsed="false">
      <c r="A425" s="484" t="str">
        <f aca="false">IF(DITARI!$D429="","",ROW()-1)</f>
        <v/>
      </c>
      <c r="B425" s="485" t="str">
        <f aca="false">IF(DITARI!$D429="","",DITARI!$A429)</f>
        <v/>
      </c>
      <c r="C425" s="484" t="str">
        <f aca="false">IF(DITARI!$D429="","",DITARI!$B429)</f>
        <v/>
      </c>
      <c r="D425" s="484" t="str">
        <f aca="false">IF(DITARI!$D429="","",DITARI!$C429)</f>
        <v/>
      </c>
      <c r="E425" s="484" t="str">
        <f aca="false">IF(DITARI!$D429="","",TRIM(DITARI!$D429&amp;""))</f>
        <v/>
      </c>
      <c r="F425" s="484" t="str">
        <f aca="false">IF($E425="","",IFERROR(VLOOKUP($E425,PLANI_LLOGARIVE!$A:$I,2,FALSE()),DITARI!$E429))</f>
        <v/>
      </c>
      <c r="G425" s="484" t="str">
        <f aca="false">IF($E425="","",DITARI!$I429)</f>
        <v/>
      </c>
      <c r="H425" s="484" t="str">
        <f aca="false">IFERROR(IF($E425="","",DITARI!$H429),"")</f>
        <v/>
      </c>
      <c r="I425" s="487" t="n">
        <f aca="false">IF($E425="",0,IFERROR(DITARI!$F429,0))</f>
        <v>0</v>
      </c>
      <c r="J425" s="487" t="n">
        <f aca="false">IF($E425="",0,IFERROR(DITARI!$G429,0))</f>
        <v>0</v>
      </c>
      <c r="K425" s="484" t="str">
        <f aca="false">IF($E425="","",IFERROR(VLOOKUP($E425,PLANI_LLOGARIVE!$A:$I,9,FALSE()),""))</f>
        <v/>
      </c>
      <c r="L425" s="487" t="str">
        <f aca="false">IF($E425="","",$I425-$J425)</f>
        <v/>
      </c>
      <c r="M425" s="484" t="str">
        <f aca="false">IF($E425="","",IF($I425&gt;0,"DEBIT",IF($J425&gt;0,"KREDIT","ZERO")))</f>
        <v/>
      </c>
      <c r="N425" s="484" t="str">
        <f aca="false">IF($E425="","",TEXT($B425,"yyyymmdd")&amp;"-"&amp;TEXT(ROW(),"0000"))</f>
        <v/>
      </c>
      <c r="O425" s="101" t="str">
        <f aca="false">IF($E425="","",$E425&amp;"")</f>
        <v/>
      </c>
      <c r="P425" s="101" t="str">
        <f aca="false">IF(AND($O425&lt;&gt;"",$I425&lt;&gt;0),COUNTIFS($O$2:O425,$O425,$I$2:I425,"&gt;0"),"")</f>
        <v/>
      </c>
      <c r="Q425" s="101" t="str">
        <f aca="false">IF(AND($O425&lt;&gt;"",$J425&lt;&gt;0),COUNTIFS($O$2:O425,$O425,$J$2:J425,"&gt;0"),"")</f>
        <v/>
      </c>
      <c r="R425" s="101" t="str">
        <f aca="false">IF($P425="","",$O425&amp;"|"&amp;$P425)</f>
        <v/>
      </c>
      <c r="S425" s="101" t="str">
        <f aca="false">IF($Q425="","",$O425&amp;"|"&amp;$Q425)</f>
        <v/>
      </c>
      <c r="T425" s="101" t="str">
        <f aca="false">IF($O425="","",COUNTIF($O$2:O425,$O425))</f>
        <v/>
      </c>
      <c r="U425" s="101" t="str">
        <f aca="false">IF($O425="","",$O425&amp;"|"&amp;$T425)</f>
        <v/>
      </c>
      <c r="V425" s="488" t="n">
        <f aca="false">IF(OR(LEFT($D425,5)="MB-CL",LEFT($D425,6)="MB-RES"),0,$I425)</f>
        <v>0</v>
      </c>
      <c r="W425" s="488" t="n">
        <f aca="false">IF(OR(LEFT($D425,5)="MB-CL",LEFT($D425,6)="MB-RES"),0,$J425)</f>
        <v>0</v>
      </c>
      <c r="X425" s="101" t="str">
        <f aca="false">IF($E425="","",LEFT($E425,1))</f>
        <v/>
      </c>
      <c r="Y425" s="101" t="str">
        <f aca="false">IF($E425="","",LEFT($E425,2))</f>
        <v/>
      </c>
      <c r="Z425" s="101" t="str">
        <f aca="false">IF($E425="","",LEFT($E425,3))</f>
        <v/>
      </c>
      <c r="AA425" s="101" t="str">
        <f aca="false">IF($E425="","",LEFT($E425,4))</f>
        <v/>
      </c>
    </row>
    <row r="426" customFormat="false" ht="15" hidden="false" customHeight="true" outlineLevel="0" collapsed="false">
      <c r="A426" s="484" t="str">
        <f aca="false">IF(DITARI!$D430="","",ROW()-1)</f>
        <v/>
      </c>
      <c r="B426" s="485" t="str">
        <f aca="false">IF(DITARI!$D430="","",DITARI!$A430)</f>
        <v/>
      </c>
      <c r="C426" s="484" t="str">
        <f aca="false">IF(DITARI!$D430="","",DITARI!$B430)</f>
        <v/>
      </c>
      <c r="D426" s="484" t="str">
        <f aca="false">IF(DITARI!$D430="","",DITARI!$C430)</f>
        <v/>
      </c>
      <c r="E426" s="484" t="str">
        <f aca="false">IF(DITARI!$D430="","",TRIM(DITARI!$D430&amp;""))</f>
        <v/>
      </c>
      <c r="F426" s="484" t="str">
        <f aca="false">IF($E426="","",IFERROR(VLOOKUP($E426,PLANI_LLOGARIVE!$A:$I,2,FALSE()),DITARI!$E430))</f>
        <v/>
      </c>
      <c r="G426" s="484" t="str">
        <f aca="false">IF($E426="","",DITARI!$I430)</f>
        <v/>
      </c>
      <c r="H426" s="484" t="str">
        <f aca="false">IFERROR(IF($E426="","",DITARI!$H430),"")</f>
        <v/>
      </c>
      <c r="I426" s="487" t="n">
        <f aca="false">IF($E426="",0,IFERROR(DITARI!$F430,0))</f>
        <v>0</v>
      </c>
      <c r="J426" s="487" t="n">
        <f aca="false">IF($E426="",0,IFERROR(DITARI!$G430,0))</f>
        <v>0</v>
      </c>
      <c r="K426" s="484" t="str">
        <f aca="false">IF($E426="","",IFERROR(VLOOKUP($E426,PLANI_LLOGARIVE!$A:$I,9,FALSE()),""))</f>
        <v/>
      </c>
      <c r="L426" s="487" t="str">
        <f aca="false">IF($E426="","",$I426-$J426)</f>
        <v/>
      </c>
      <c r="M426" s="484" t="str">
        <f aca="false">IF($E426="","",IF($I426&gt;0,"DEBIT",IF($J426&gt;0,"KREDIT","ZERO")))</f>
        <v/>
      </c>
      <c r="N426" s="484" t="str">
        <f aca="false">IF($E426="","",TEXT($B426,"yyyymmdd")&amp;"-"&amp;TEXT(ROW(),"0000"))</f>
        <v/>
      </c>
      <c r="O426" s="101" t="str">
        <f aca="false">IF($E426="","",$E426&amp;"")</f>
        <v/>
      </c>
      <c r="P426" s="101" t="str">
        <f aca="false">IF(AND($O426&lt;&gt;"",$I426&lt;&gt;0),COUNTIFS($O$2:O426,$O426,$I$2:I426,"&gt;0"),"")</f>
        <v/>
      </c>
      <c r="Q426" s="101" t="str">
        <f aca="false">IF(AND($O426&lt;&gt;"",$J426&lt;&gt;0),COUNTIFS($O$2:O426,$O426,$J$2:J426,"&gt;0"),"")</f>
        <v/>
      </c>
      <c r="R426" s="101" t="str">
        <f aca="false">IF($P426="","",$O426&amp;"|"&amp;$P426)</f>
        <v/>
      </c>
      <c r="S426" s="101" t="str">
        <f aca="false">IF($Q426="","",$O426&amp;"|"&amp;$Q426)</f>
        <v/>
      </c>
      <c r="T426" s="101" t="str">
        <f aca="false">IF($O426="","",COUNTIF($O$2:O426,$O426))</f>
        <v/>
      </c>
      <c r="U426" s="101" t="str">
        <f aca="false">IF($O426="","",$O426&amp;"|"&amp;$T426)</f>
        <v/>
      </c>
      <c r="V426" s="488" t="n">
        <f aca="false">IF(OR(LEFT($D426,5)="MB-CL",LEFT($D426,6)="MB-RES"),0,$I426)</f>
        <v>0</v>
      </c>
      <c r="W426" s="488" t="n">
        <f aca="false">IF(OR(LEFT($D426,5)="MB-CL",LEFT($D426,6)="MB-RES"),0,$J426)</f>
        <v>0</v>
      </c>
      <c r="X426" s="101" t="str">
        <f aca="false">IF($E426="","",LEFT($E426,1))</f>
        <v/>
      </c>
      <c r="Y426" s="101" t="str">
        <f aca="false">IF($E426="","",LEFT($E426,2))</f>
        <v/>
      </c>
      <c r="Z426" s="101" t="str">
        <f aca="false">IF($E426="","",LEFT($E426,3))</f>
        <v/>
      </c>
      <c r="AA426" s="101" t="str">
        <f aca="false">IF($E426="","",LEFT($E426,4))</f>
        <v/>
      </c>
    </row>
    <row r="427" customFormat="false" ht="15" hidden="false" customHeight="true" outlineLevel="0" collapsed="false">
      <c r="A427" s="484" t="str">
        <f aca="false">IF(DITARI!$D431="","",ROW()-1)</f>
        <v/>
      </c>
      <c r="B427" s="485" t="str">
        <f aca="false">IF(DITARI!$D431="","",DITARI!$A431)</f>
        <v/>
      </c>
      <c r="C427" s="484" t="str">
        <f aca="false">IF(DITARI!$D431="","",DITARI!$B431)</f>
        <v/>
      </c>
      <c r="D427" s="484" t="str">
        <f aca="false">IF(DITARI!$D431="","",DITARI!$C431)</f>
        <v/>
      </c>
      <c r="E427" s="484" t="str">
        <f aca="false">IF(DITARI!$D431="","",TRIM(DITARI!$D431&amp;""))</f>
        <v/>
      </c>
      <c r="F427" s="484" t="str">
        <f aca="false">IF($E427="","",IFERROR(VLOOKUP($E427,PLANI_LLOGARIVE!$A:$I,2,FALSE()),DITARI!$E431))</f>
        <v/>
      </c>
      <c r="G427" s="484" t="str">
        <f aca="false">IF($E427="","",DITARI!$I431)</f>
        <v/>
      </c>
      <c r="H427" s="484" t="str">
        <f aca="false">IFERROR(IF($E427="","",DITARI!$H431),"")</f>
        <v/>
      </c>
      <c r="I427" s="487" t="n">
        <f aca="false">IF($E427="",0,IFERROR(DITARI!$F431,0))</f>
        <v>0</v>
      </c>
      <c r="J427" s="487" t="n">
        <f aca="false">IF($E427="",0,IFERROR(DITARI!$G431,0))</f>
        <v>0</v>
      </c>
      <c r="K427" s="484" t="str">
        <f aca="false">IF($E427="","",IFERROR(VLOOKUP($E427,PLANI_LLOGARIVE!$A:$I,9,FALSE()),""))</f>
        <v/>
      </c>
      <c r="L427" s="487" t="str">
        <f aca="false">IF($E427="","",$I427-$J427)</f>
        <v/>
      </c>
      <c r="M427" s="484" t="str">
        <f aca="false">IF($E427="","",IF($I427&gt;0,"DEBIT",IF($J427&gt;0,"KREDIT","ZERO")))</f>
        <v/>
      </c>
      <c r="N427" s="484" t="str">
        <f aca="false">IF($E427="","",TEXT($B427,"yyyymmdd")&amp;"-"&amp;TEXT(ROW(),"0000"))</f>
        <v/>
      </c>
      <c r="O427" s="101" t="str">
        <f aca="false">IF($E427="","",$E427&amp;"")</f>
        <v/>
      </c>
      <c r="P427" s="101" t="str">
        <f aca="false">IF(AND($O427&lt;&gt;"",$I427&lt;&gt;0),COUNTIFS($O$2:O427,$O427,$I$2:I427,"&gt;0"),"")</f>
        <v/>
      </c>
      <c r="Q427" s="101" t="str">
        <f aca="false">IF(AND($O427&lt;&gt;"",$J427&lt;&gt;0),COUNTIFS($O$2:O427,$O427,$J$2:J427,"&gt;0"),"")</f>
        <v/>
      </c>
      <c r="R427" s="101" t="str">
        <f aca="false">IF($P427="","",$O427&amp;"|"&amp;$P427)</f>
        <v/>
      </c>
      <c r="S427" s="101" t="str">
        <f aca="false">IF($Q427="","",$O427&amp;"|"&amp;$Q427)</f>
        <v/>
      </c>
      <c r="T427" s="101" t="str">
        <f aca="false">IF($O427="","",COUNTIF($O$2:O427,$O427))</f>
        <v/>
      </c>
      <c r="U427" s="101" t="str">
        <f aca="false">IF($O427="","",$O427&amp;"|"&amp;$T427)</f>
        <v/>
      </c>
      <c r="V427" s="488" t="n">
        <f aca="false">IF(OR(LEFT($D427,5)="MB-CL",LEFT($D427,6)="MB-RES"),0,$I427)</f>
        <v>0</v>
      </c>
      <c r="W427" s="488" t="n">
        <f aca="false">IF(OR(LEFT($D427,5)="MB-CL",LEFT($D427,6)="MB-RES"),0,$J427)</f>
        <v>0</v>
      </c>
      <c r="X427" s="101" t="str">
        <f aca="false">IF($E427="","",LEFT($E427,1))</f>
        <v/>
      </c>
      <c r="Y427" s="101" t="str">
        <f aca="false">IF($E427="","",LEFT($E427,2))</f>
        <v/>
      </c>
      <c r="Z427" s="101" t="str">
        <f aca="false">IF($E427="","",LEFT($E427,3))</f>
        <v/>
      </c>
      <c r="AA427" s="101" t="str">
        <f aca="false">IF($E427="","",LEFT($E427,4))</f>
        <v/>
      </c>
    </row>
    <row r="428" customFormat="false" ht="15" hidden="false" customHeight="true" outlineLevel="0" collapsed="false">
      <c r="A428" s="484" t="str">
        <f aca="false">IF(DITARI!$D432="","",ROW()-1)</f>
        <v/>
      </c>
      <c r="B428" s="485" t="str">
        <f aca="false">IF(DITARI!$D432="","",DITARI!$A432)</f>
        <v/>
      </c>
      <c r="C428" s="484" t="str">
        <f aca="false">IF(DITARI!$D432="","",DITARI!$B432)</f>
        <v/>
      </c>
      <c r="D428" s="484" t="str">
        <f aca="false">IF(DITARI!$D432="","",DITARI!$C432)</f>
        <v/>
      </c>
      <c r="E428" s="484" t="str">
        <f aca="false">IF(DITARI!$D432="","",TRIM(DITARI!$D432&amp;""))</f>
        <v/>
      </c>
      <c r="F428" s="484" t="str">
        <f aca="false">IF($E428="","",IFERROR(VLOOKUP($E428,PLANI_LLOGARIVE!$A:$I,2,FALSE()),DITARI!$E432))</f>
        <v/>
      </c>
      <c r="G428" s="484" t="str">
        <f aca="false">IF($E428="","",DITARI!$I432)</f>
        <v/>
      </c>
      <c r="H428" s="484" t="str">
        <f aca="false">IFERROR(IF($E428="","",DITARI!$H432),"")</f>
        <v/>
      </c>
      <c r="I428" s="487" t="n">
        <f aca="false">IF($E428="",0,IFERROR(DITARI!$F432,0))</f>
        <v>0</v>
      </c>
      <c r="J428" s="487" t="n">
        <f aca="false">IF($E428="",0,IFERROR(DITARI!$G432,0))</f>
        <v>0</v>
      </c>
      <c r="K428" s="484" t="str">
        <f aca="false">IF($E428="","",IFERROR(VLOOKUP($E428,PLANI_LLOGARIVE!$A:$I,9,FALSE()),""))</f>
        <v/>
      </c>
      <c r="L428" s="487" t="str">
        <f aca="false">IF($E428="","",$I428-$J428)</f>
        <v/>
      </c>
      <c r="M428" s="484" t="str">
        <f aca="false">IF($E428="","",IF($I428&gt;0,"DEBIT",IF($J428&gt;0,"KREDIT","ZERO")))</f>
        <v/>
      </c>
      <c r="N428" s="484" t="str">
        <f aca="false">IF($E428="","",TEXT($B428,"yyyymmdd")&amp;"-"&amp;TEXT(ROW(),"0000"))</f>
        <v/>
      </c>
      <c r="O428" s="101" t="str">
        <f aca="false">IF($E428="","",$E428&amp;"")</f>
        <v/>
      </c>
      <c r="P428" s="101" t="str">
        <f aca="false">IF(AND($O428&lt;&gt;"",$I428&lt;&gt;0),COUNTIFS($O$2:O428,$O428,$I$2:I428,"&gt;0"),"")</f>
        <v/>
      </c>
      <c r="Q428" s="101" t="str">
        <f aca="false">IF(AND($O428&lt;&gt;"",$J428&lt;&gt;0),COUNTIFS($O$2:O428,$O428,$J$2:J428,"&gt;0"),"")</f>
        <v/>
      </c>
      <c r="R428" s="101" t="str">
        <f aca="false">IF($P428="","",$O428&amp;"|"&amp;$P428)</f>
        <v/>
      </c>
      <c r="S428" s="101" t="str">
        <f aca="false">IF($Q428="","",$O428&amp;"|"&amp;$Q428)</f>
        <v/>
      </c>
      <c r="T428" s="101" t="str">
        <f aca="false">IF($O428="","",COUNTIF($O$2:O428,$O428))</f>
        <v/>
      </c>
      <c r="U428" s="101" t="str">
        <f aca="false">IF($O428="","",$O428&amp;"|"&amp;$T428)</f>
        <v/>
      </c>
      <c r="V428" s="488" t="n">
        <f aca="false">IF(OR(LEFT($D428,5)="MB-CL",LEFT($D428,6)="MB-RES"),0,$I428)</f>
        <v>0</v>
      </c>
      <c r="W428" s="488" t="n">
        <f aca="false">IF(OR(LEFT($D428,5)="MB-CL",LEFT($D428,6)="MB-RES"),0,$J428)</f>
        <v>0</v>
      </c>
      <c r="X428" s="101" t="str">
        <f aca="false">IF($E428="","",LEFT($E428,1))</f>
        <v/>
      </c>
      <c r="Y428" s="101" t="str">
        <f aca="false">IF($E428="","",LEFT($E428,2))</f>
        <v/>
      </c>
      <c r="Z428" s="101" t="str">
        <f aca="false">IF($E428="","",LEFT($E428,3))</f>
        <v/>
      </c>
      <c r="AA428" s="101" t="str">
        <f aca="false">IF($E428="","",LEFT($E428,4))</f>
        <v/>
      </c>
    </row>
    <row r="429" customFormat="false" ht="15" hidden="false" customHeight="true" outlineLevel="0" collapsed="false">
      <c r="A429" s="484" t="str">
        <f aca="false">IF(DITARI!$D433="","",ROW()-1)</f>
        <v/>
      </c>
      <c r="B429" s="485" t="str">
        <f aca="false">IF(DITARI!$D433="","",DITARI!$A433)</f>
        <v/>
      </c>
      <c r="C429" s="484" t="str">
        <f aca="false">IF(DITARI!$D433="","",DITARI!$B433)</f>
        <v/>
      </c>
      <c r="D429" s="484" t="str">
        <f aca="false">IF(DITARI!$D433="","",DITARI!$C433)</f>
        <v/>
      </c>
      <c r="E429" s="484" t="str">
        <f aca="false">IF(DITARI!$D433="","",TRIM(DITARI!$D433&amp;""))</f>
        <v/>
      </c>
      <c r="F429" s="484" t="str">
        <f aca="false">IF($E429="","",IFERROR(VLOOKUP($E429,PLANI_LLOGARIVE!$A:$I,2,FALSE()),DITARI!$E433))</f>
        <v/>
      </c>
      <c r="G429" s="484" t="str">
        <f aca="false">IF($E429="","",DITARI!$I433)</f>
        <v/>
      </c>
      <c r="H429" s="484" t="str">
        <f aca="false">IFERROR(IF($E429="","",DITARI!$H433),"")</f>
        <v/>
      </c>
      <c r="I429" s="487" t="n">
        <f aca="false">IF($E429="",0,IFERROR(DITARI!$F433,0))</f>
        <v>0</v>
      </c>
      <c r="J429" s="487" t="n">
        <f aca="false">IF($E429="",0,IFERROR(DITARI!$G433,0))</f>
        <v>0</v>
      </c>
      <c r="K429" s="484" t="str">
        <f aca="false">IF($E429="","",IFERROR(VLOOKUP($E429,PLANI_LLOGARIVE!$A:$I,9,FALSE()),""))</f>
        <v/>
      </c>
      <c r="L429" s="487" t="str">
        <f aca="false">IF($E429="","",$I429-$J429)</f>
        <v/>
      </c>
      <c r="M429" s="484" t="str">
        <f aca="false">IF($E429="","",IF($I429&gt;0,"DEBIT",IF($J429&gt;0,"KREDIT","ZERO")))</f>
        <v/>
      </c>
      <c r="N429" s="484" t="str">
        <f aca="false">IF($E429="","",TEXT($B429,"yyyymmdd")&amp;"-"&amp;TEXT(ROW(),"0000"))</f>
        <v/>
      </c>
      <c r="O429" s="101" t="str">
        <f aca="false">IF($E429="","",$E429&amp;"")</f>
        <v/>
      </c>
      <c r="P429" s="101" t="str">
        <f aca="false">IF(AND($O429&lt;&gt;"",$I429&lt;&gt;0),COUNTIFS($O$2:O429,$O429,$I$2:I429,"&gt;0"),"")</f>
        <v/>
      </c>
      <c r="Q429" s="101" t="str">
        <f aca="false">IF(AND($O429&lt;&gt;"",$J429&lt;&gt;0),COUNTIFS($O$2:O429,$O429,$J$2:J429,"&gt;0"),"")</f>
        <v/>
      </c>
      <c r="R429" s="101" t="str">
        <f aca="false">IF($P429="","",$O429&amp;"|"&amp;$P429)</f>
        <v/>
      </c>
      <c r="S429" s="101" t="str">
        <f aca="false">IF($Q429="","",$O429&amp;"|"&amp;$Q429)</f>
        <v/>
      </c>
      <c r="T429" s="101" t="str">
        <f aca="false">IF($O429="","",COUNTIF($O$2:O429,$O429))</f>
        <v/>
      </c>
      <c r="U429" s="101" t="str">
        <f aca="false">IF($O429="","",$O429&amp;"|"&amp;$T429)</f>
        <v/>
      </c>
      <c r="V429" s="488" t="n">
        <f aca="false">IF(OR(LEFT($D429,5)="MB-CL",LEFT($D429,6)="MB-RES"),0,$I429)</f>
        <v>0</v>
      </c>
      <c r="W429" s="488" t="n">
        <f aca="false">IF(OR(LEFT($D429,5)="MB-CL",LEFT($D429,6)="MB-RES"),0,$J429)</f>
        <v>0</v>
      </c>
      <c r="X429" s="101" t="str">
        <f aca="false">IF($E429="","",LEFT($E429,1))</f>
        <v/>
      </c>
      <c r="Y429" s="101" t="str">
        <f aca="false">IF($E429="","",LEFT($E429,2))</f>
        <v/>
      </c>
      <c r="Z429" s="101" t="str">
        <f aca="false">IF($E429="","",LEFT($E429,3))</f>
        <v/>
      </c>
      <c r="AA429" s="101" t="str">
        <f aca="false">IF($E429="","",LEFT($E429,4))</f>
        <v/>
      </c>
    </row>
    <row r="430" customFormat="false" ht="15" hidden="false" customHeight="true" outlineLevel="0" collapsed="false">
      <c r="A430" s="484" t="str">
        <f aca="false">IF(DITARI!$D434="","",ROW()-1)</f>
        <v/>
      </c>
      <c r="B430" s="485" t="str">
        <f aca="false">IF(DITARI!$D434="","",DITARI!$A434)</f>
        <v/>
      </c>
      <c r="C430" s="484" t="str">
        <f aca="false">IF(DITARI!$D434="","",DITARI!$B434)</f>
        <v/>
      </c>
      <c r="D430" s="484" t="str">
        <f aca="false">IF(DITARI!$D434="","",DITARI!$C434)</f>
        <v/>
      </c>
      <c r="E430" s="484" t="str">
        <f aca="false">IF(DITARI!$D434="","",TRIM(DITARI!$D434&amp;""))</f>
        <v/>
      </c>
      <c r="F430" s="484" t="str">
        <f aca="false">IF($E430="","",IFERROR(VLOOKUP($E430,PLANI_LLOGARIVE!$A:$I,2,FALSE()),DITARI!$E434))</f>
        <v/>
      </c>
      <c r="G430" s="484" t="str">
        <f aca="false">IF($E430="","",DITARI!$I434)</f>
        <v/>
      </c>
      <c r="H430" s="484" t="str">
        <f aca="false">IFERROR(IF($E430="","",DITARI!$H434),"")</f>
        <v/>
      </c>
      <c r="I430" s="487" t="n">
        <f aca="false">IF($E430="",0,IFERROR(DITARI!$F434,0))</f>
        <v>0</v>
      </c>
      <c r="J430" s="487" t="n">
        <f aca="false">IF($E430="",0,IFERROR(DITARI!$G434,0))</f>
        <v>0</v>
      </c>
      <c r="K430" s="484" t="str">
        <f aca="false">IF($E430="","",IFERROR(VLOOKUP($E430,PLANI_LLOGARIVE!$A:$I,9,FALSE()),""))</f>
        <v/>
      </c>
      <c r="L430" s="487" t="str">
        <f aca="false">IF($E430="","",$I430-$J430)</f>
        <v/>
      </c>
      <c r="M430" s="484" t="str">
        <f aca="false">IF($E430="","",IF($I430&gt;0,"DEBIT",IF($J430&gt;0,"KREDIT","ZERO")))</f>
        <v/>
      </c>
      <c r="N430" s="484" t="str">
        <f aca="false">IF($E430="","",TEXT($B430,"yyyymmdd")&amp;"-"&amp;TEXT(ROW(),"0000"))</f>
        <v/>
      </c>
      <c r="O430" s="101" t="str">
        <f aca="false">IF($E430="","",$E430&amp;"")</f>
        <v/>
      </c>
      <c r="P430" s="101" t="str">
        <f aca="false">IF(AND($O430&lt;&gt;"",$I430&lt;&gt;0),COUNTIFS($O$2:O430,$O430,$I$2:I430,"&gt;0"),"")</f>
        <v/>
      </c>
      <c r="Q430" s="101" t="str">
        <f aca="false">IF(AND($O430&lt;&gt;"",$J430&lt;&gt;0),COUNTIFS($O$2:O430,$O430,$J$2:J430,"&gt;0"),"")</f>
        <v/>
      </c>
      <c r="R430" s="101" t="str">
        <f aca="false">IF($P430="","",$O430&amp;"|"&amp;$P430)</f>
        <v/>
      </c>
      <c r="S430" s="101" t="str">
        <f aca="false">IF($Q430="","",$O430&amp;"|"&amp;$Q430)</f>
        <v/>
      </c>
      <c r="T430" s="101" t="str">
        <f aca="false">IF($O430="","",COUNTIF($O$2:O430,$O430))</f>
        <v/>
      </c>
      <c r="U430" s="101" t="str">
        <f aca="false">IF($O430="","",$O430&amp;"|"&amp;$T430)</f>
        <v/>
      </c>
      <c r="V430" s="488" t="n">
        <f aca="false">IF(OR(LEFT($D430,5)="MB-CL",LEFT($D430,6)="MB-RES"),0,$I430)</f>
        <v>0</v>
      </c>
      <c r="W430" s="488" t="n">
        <f aca="false">IF(OR(LEFT($D430,5)="MB-CL",LEFT($D430,6)="MB-RES"),0,$J430)</f>
        <v>0</v>
      </c>
      <c r="X430" s="101" t="str">
        <f aca="false">IF($E430="","",LEFT($E430,1))</f>
        <v/>
      </c>
      <c r="Y430" s="101" t="str">
        <f aca="false">IF($E430="","",LEFT($E430,2))</f>
        <v/>
      </c>
      <c r="Z430" s="101" t="str">
        <f aca="false">IF($E430="","",LEFT($E430,3))</f>
        <v/>
      </c>
      <c r="AA430" s="101" t="str">
        <f aca="false">IF($E430="","",LEFT($E430,4))</f>
        <v/>
      </c>
    </row>
    <row r="431" customFormat="false" ht="15" hidden="false" customHeight="true" outlineLevel="0" collapsed="false">
      <c r="A431" s="484" t="str">
        <f aca="false">IF(DITARI!$D435="","",ROW()-1)</f>
        <v/>
      </c>
      <c r="B431" s="485" t="str">
        <f aca="false">IF(DITARI!$D435="","",DITARI!$A435)</f>
        <v/>
      </c>
      <c r="C431" s="484" t="str">
        <f aca="false">IF(DITARI!$D435="","",DITARI!$B435)</f>
        <v/>
      </c>
      <c r="D431" s="484" t="str">
        <f aca="false">IF(DITARI!$D435="","",DITARI!$C435)</f>
        <v/>
      </c>
      <c r="E431" s="484" t="str">
        <f aca="false">IF(DITARI!$D435="","",TRIM(DITARI!$D435&amp;""))</f>
        <v/>
      </c>
      <c r="F431" s="484" t="str">
        <f aca="false">IF($E431="","",IFERROR(VLOOKUP($E431,PLANI_LLOGARIVE!$A:$I,2,FALSE()),DITARI!$E435))</f>
        <v/>
      </c>
      <c r="G431" s="484" t="str">
        <f aca="false">IF($E431="","",DITARI!$I435)</f>
        <v/>
      </c>
      <c r="H431" s="484" t="str">
        <f aca="false">IFERROR(IF($E431="","",DITARI!$H435),"")</f>
        <v/>
      </c>
      <c r="I431" s="487" t="n">
        <f aca="false">IF($E431="",0,IFERROR(DITARI!$F435,0))</f>
        <v>0</v>
      </c>
      <c r="J431" s="487" t="n">
        <f aca="false">IF($E431="",0,IFERROR(DITARI!$G435,0))</f>
        <v>0</v>
      </c>
      <c r="K431" s="484" t="str">
        <f aca="false">IF($E431="","",IFERROR(VLOOKUP($E431,PLANI_LLOGARIVE!$A:$I,9,FALSE()),""))</f>
        <v/>
      </c>
      <c r="L431" s="487" t="str">
        <f aca="false">IF($E431="","",$I431-$J431)</f>
        <v/>
      </c>
      <c r="M431" s="484" t="str">
        <f aca="false">IF($E431="","",IF($I431&gt;0,"DEBIT",IF($J431&gt;0,"KREDIT","ZERO")))</f>
        <v/>
      </c>
      <c r="N431" s="484" t="str">
        <f aca="false">IF($E431="","",TEXT($B431,"yyyymmdd")&amp;"-"&amp;TEXT(ROW(),"0000"))</f>
        <v/>
      </c>
      <c r="O431" s="101" t="str">
        <f aca="false">IF($E431="","",$E431&amp;"")</f>
        <v/>
      </c>
      <c r="P431" s="101" t="str">
        <f aca="false">IF(AND($O431&lt;&gt;"",$I431&lt;&gt;0),COUNTIFS($O$2:O431,$O431,$I$2:I431,"&gt;0"),"")</f>
        <v/>
      </c>
      <c r="Q431" s="101" t="str">
        <f aca="false">IF(AND($O431&lt;&gt;"",$J431&lt;&gt;0),COUNTIFS($O$2:O431,$O431,$J$2:J431,"&gt;0"),"")</f>
        <v/>
      </c>
      <c r="R431" s="101" t="str">
        <f aca="false">IF($P431="","",$O431&amp;"|"&amp;$P431)</f>
        <v/>
      </c>
      <c r="S431" s="101" t="str">
        <f aca="false">IF($Q431="","",$O431&amp;"|"&amp;$Q431)</f>
        <v/>
      </c>
      <c r="T431" s="101" t="str">
        <f aca="false">IF($O431="","",COUNTIF($O$2:O431,$O431))</f>
        <v/>
      </c>
      <c r="U431" s="101" t="str">
        <f aca="false">IF($O431="","",$O431&amp;"|"&amp;$T431)</f>
        <v/>
      </c>
      <c r="V431" s="488" t="n">
        <f aca="false">IF(OR(LEFT($D431,5)="MB-CL",LEFT($D431,6)="MB-RES"),0,$I431)</f>
        <v>0</v>
      </c>
      <c r="W431" s="488" t="n">
        <f aca="false">IF(OR(LEFT($D431,5)="MB-CL",LEFT($D431,6)="MB-RES"),0,$J431)</f>
        <v>0</v>
      </c>
      <c r="X431" s="101" t="str">
        <f aca="false">IF($E431="","",LEFT($E431,1))</f>
        <v/>
      </c>
      <c r="Y431" s="101" t="str">
        <f aca="false">IF($E431="","",LEFT($E431,2))</f>
        <v/>
      </c>
      <c r="Z431" s="101" t="str">
        <f aca="false">IF($E431="","",LEFT($E431,3))</f>
        <v/>
      </c>
      <c r="AA431" s="101" t="str">
        <f aca="false">IF($E431="","",LEFT($E431,4))</f>
        <v/>
      </c>
    </row>
    <row r="432" customFormat="false" ht="15" hidden="false" customHeight="true" outlineLevel="0" collapsed="false">
      <c r="A432" s="484" t="str">
        <f aca="false">IF(DITARI!$D436="","",ROW()-1)</f>
        <v/>
      </c>
      <c r="B432" s="485" t="str">
        <f aca="false">IF(DITARI!$D436="","",DITARI!$A436)</f>
        <v/>
      </c>
      <c r="C432" s="484" t="str">
        <f aca="false">IF(DITARI!$D436="","",DITARI!$B436)</f>
        <v/>
      </c>
      <c r="D432" s="484" t="str">
        <f aca="false">IF(DITARI!$D436="","",DITARI!$C436)</f>
        <v/>
      </c>
      <c r="E432" s="484" t="str">
        <f aca="false">IF(DITARI!$D436="","",TRIM(DITARI!$D436&amp;""))</f>
        <v/>
      </c>
      <c r="F432" s="484" t="str">
        <f aca="false">IF($E432="","",IFERROR(VLOOKUP($E432,PLANI_LLOGARIVE!$A:$I,2,FALSE()),DITARI!$E436))</f>
        <v/>
      </c>
      <c r="G432" s="484" t="str">
        <f aca="false">IF($E432="","",DITARI!$I436)</f>
        <v/>
      </c>
      <c r="H432" s="484" t="str">
        <f aca="false">IFERROR(IF($E432="","",DITARI!$H436),"")</f>
        <v/>
      </c>
      <c r="I432" s="487" t="n">
        <f aca="false">IF($E432="",0,IFERROR(DITARI!$F436,0))</f>
        <v>0</v>
      </c>
      <c r="J432" s="487" t="n">
        <f aca="false">IF($E432="",0,IFERROR(DITARI!$G436,0))</f>
        <v>0</v>
      </c>
      <c r="K432" s="484" t="str">
        <f aca="false">IF($E432="","",IFERROR(VLOOKUP($E432,PLANI_LLOGARIVE!$A:$I,9,FALSE()),""))</f>
        <v/>
      </c>
      <c r="L432" s="487" t="str">
        <f aca="false">IF($E432="","",$I432-$J432)</f>
        <v/>
      </c>
      <c r="M432" s="484" t="str">
        <f aca="false">IF($E432="","",IF($I432&gt;0,"DEBIT",IF($J432&gt;0,"KREDIT","ZERO")))</f>
        <v/>
      </c>
      <c r="N432" s="484" t="str">
        <f aca="false">IF($E432="","",TEXT($B432,"yyyymmdd")&amp;"-"&amp;TEXT(ROW(),"0000"))</f>
        <v/>
      </c>
      <c r="O432" s="101" t="str">
        <f aca="false">IF($E432="","",$E432&amp;"")</f>
        <v/>
      </c>
      <c r="P432" s="101" t="str">
        <f aca="false">IF(AND($O432&lt;&gt;"",$I432&lt;&gt;0),COUNTIFS($O$2:O432,$O432,$I$2:I432,"&gt;0"),"")</f>
        <v/>
      </c>
      <c r="Q432" s="101" t="str">
        <f aca="false">IF(AND($O432&lt;&gt;"",$J432&lt;&gt;0),COUNTIFS($O$2:O432,$O432,$J$2:J432,"&gt;0"),"")</f>
        <v/>
      </c>
      <c r="R432" s="101" t="str">
        <f aca="false">IF($P432="","",$O432&amp;"|"&amp;$P432)</f>
        <v/>
      </c>
      <c r="S432" s="101" t="str">
        <f aca="false">IF($Q432="","",$O432&amp;"|"&amp;$Q432)</f>
        <v/>
      </c>
      <c r="T432" s="101" t="str">
        <f aca="false">IF($O432="","",COUNTIF($O$2:O432,$O432))</f>
        <v/>
      </c>
      <c r="U432" s="101" t="str">
        <f aca="false">IF($O432="","",$O432&amp;"|"&amp;$T432)</f>
        <v/>
      </c>
      <c r="V432" s="488" t="n">
        <f aca="false">IF(OR(LEFT($D432,5)="MB-CL",LEFT($D432,6)="MB-RES"),0,$I432)</f>
        <v>0</v>
      </c>
      <c r="W432" s="488" t="n">
        <f aca="false">IF(OR(LEFT($D432,5)="MB-CL",LEFT($D432,6)="MB-RES"),0,$J432)</f>
        <v>0</v>
      </c>
      <c r="X432" s="101" t="str">
        <f aca="false">IF($E432="","",LEFT($E432,1))</f>
        <v/>
      </c>
      <c r="Y432" s="101" t="str">
        <f aca="false">IF($E432="","",LEFT($E432,2))</f>
        <v/>
      </c>
      <c r="Z432" s="101" t="str">
        <f aca="false">IF($E432="","",LEFT($E432,3))</f>
        <v/>
      </c>
      <c r="AA432" s="101" t="str">
        <f aca="false">IF($E432="","",LEFT($E432,4))</f>
        <v/>
      </c>
    </row>
    <row r="433" customFormat="false" ht="15" hidden="false" customHeight="true" outlineLevel="0" collapsed="false">
      <c r="A433" s="484" t="str">
        <f aca="false">IF(DITARI!$D437="","",ROW()-1)</f>
        <v/>
      </c>
      <c r="B433" s="485" t="str">
        <f aca="false">IF(DITARI!$D437="","",DITARI!$A437)</f>
        <v/>
      </c>
      <c r="C433" s="484" t="str">
        <f aca="false">IF(DITARI!$D437="","",DITARI!$B437)</f>
        <v/>
      </c>
      <c r="D433" s="484" t="str">
        <f aca="false">IF(DITARI!$D437="","",DITARI!$C437)</f>
        <v/>
      </c>
      <c r="E433" s="484" t="str">
        <f aca="false">IF(DITARI!$D437="","",TRIM(DITARI!$D437&amp;""))</f>
        <v/>
      </c>
      <c r="F433" s="484" t="str">
        <f aca="false">IF($E433="","",IFERROR(VLOOKUP($E433,PLANI_LLOGARIVE!$A:$I,2,FALSE()),DITARI!$E437))</f>
        <v/>
      </c>
      <c r="G433" s="484" t="str">
        <f aca="false">IF($E433="","",DITARI!$I437)</f>
        <v/>
      </c>
      <c r="H433" s="484" t="str">
        <f aca="false">IFERROR(IF($E433="","",DITARI!$H437),"")</f>
        <v/>
      </c>
      <c r="I433" s="487" t="n">
        <f aca="false">IF($E433="",0,IFERROR(DITARI!$F437,0))</f>
        <v>0</v>
      </c>
      <c r="J433" s="487" t="n">
        <f aca="false">IF($E433="",0,IFERROR(DITARI!$G437,0))</f>
        <v>0</v>
      </c>
      <c r="K433" s="484" t="str">
        <f aca="false">IF($E433="","",IFERROR(VLOOKUP($E433,PLANI_LLOGARIVE!$A:$I,9,FALSE()),""))</f>
        <v/>
      </c>
      <c r="L433" s="487" t="str">
        <f aca="false">IF($E433="","",$I433-$J433)</f>
        <v/>
      </c>
      <c r="M433" s="484" t="str">
        <f aca="false">IF($E433="","",IF($I433&gt;0,"DEBIT",IF($J433&gt;0,"KREDIT","ZERO")))</f>
        <v/>
      </c>
      <c r="N433" s="484" t="str">
        <f aca="false">IF($E433="","",TEXT($B433,"yyyymmdd")&amp;"-"&amp;TEXT(ROW(),"0000"))</f>
        <v/>
      </c>
      <c r="O433" s="101" t="str">
        <f aca="false">IF($E433="","",$E433&amp;"")</f>
        <v/>
      </c>
      <c r="P433" s="101" t="str">
        <f aca="false">IF(AND($O433&lt;&gt;"",$I433&lt;&gt;0),COUNTIFS($O$2:O433,$O433,$I$2:I433,"&gt;0"),"")</f>
        <v/>
      </c>
      <c r="Q433" s="101" t="str">
        <f aca="false">IF(AND($O433&lt;&gt;"",$J433&lt;&gt;0),COUNTIFS($O$2:O433,$O433,$J$2:J433,"&gt;0"),"")</f>
        <v/>
      </c>
      <c r="R433" s="101" t="str">
        <f aca="false">IF($P433="","",$O433&amp;"|"&amp;$P433)</f>
        <v/>
      </c>
      <c r="S433" s="101" t="str">
        <f aca="false">IF($Q433="","",$O433&amp;"|"&amp;$Q433)</f>
        <v/>
      </c>
      <c r="T433" s="101" t="str">
        <f aca="false">IF($O433="","",COUNTIF($O$2:O433,$O433))</f>
        <v/>
      </c>
      <c r="U433" s="101" t="str">
        <f aca="false">IF($O433="","",$O433&amp;"|"&amp;$T433)</f>
        <v/>
      </c>
      <c r="V433" s="488" t="n">
        <f aca="false">IF(OR(LEFT($D433,5)="MB-CL",LEFT($D433,6)="MB-RES"),0,$I433)</f>
        <v>0</v>
      </c>
      <c r="W433" s="488" t="n">
        <f aca="false">IF(OR(LEFT($D433,5)="MB-CL",LEFT($D433,6)="MB-RES"),0,$J433)</f>
        <v>0</v>
      </c>
      <c r="X433" s="101" t="str">
        <f aca="false">IF($E433="","",LEFT($E433,1))</f>
        <v/>
      </c>
      <c r="Y433" s="101" t="str">
        <f aca="false">IF($E433="","",LEFT($E433,2))</f>
        <v/>
      </c>
      <c r="Z433" s="101" t="str">
        <f aca="false">IF($E433="","",LEFT($E433,3))</f>
        <v/>
      </c>
      <c r="AA433" s="101" t="str">
        <f aca="false">IF($E433="","",LEFT($E433,4))</f>
        <v/>
      </c>
    </row>
    <row r="434" customFormat="false" ht="15" hidden="false" customHeight="true" outlineLevel="0" collapsed="false">
      <c r="A434" s="484" t="str">
        <f aca="false">IF(DITARI!$D438="","",ROW()-1)</f>
        <v/>
      </c>
      <c r="B434" s="485" t="str">
        <f aca="false">IF(DITARI!$D438="","",DITARI!$A438)</f>
        <v/>
      </c>
      <c r="C434" s="484" t="str">
        <f aca="false">IF(DITARI!$D438="","",DITARI!$B438)</f>
        <v/>
      </c>
      <c r="D434" s="484" t="str">
        <f aca="false">IF(DITARI!$D438="","",DITARI!$C438)</f>
        <v/>
      </c>
      <c r="E434" s="484" t="str">
        <f aca="false">IF(DITARI!$D438="","",TRIM(DITARI!$D438&amp;""))</f>
        <v/>
      </c>
      <c r="F434" s="484" t="str">
        <f aca="false">IF($E434="","",IFERROR(VLOOKUP($E434,PLANI_LLOGARIVE!$A:$I,2,FALSE()),DITARI!$E438))</f>
        <v/>
      </c>
      <c r="G434" s="484" t="str">
        <f aca="false">IF($E434="","",DITARI!$I438)</f>
        <v/>
      </c>
      <c r="H434" s="484" t="str">
        <f aca="false">IFERROR(IF($E434="","",DITARI!$H438),"")</f>
        <v/>
      </c>
      <c r="I434" s="487" t="n">
        <f aca="false">IF($E434="",0,IFERROR(DITARI!$F438,0))</f>
        <v>0</v>
      </c>
      <c r="J434" s="487" t="n">
        <f aca="false">IF($E434="",0,IFERROR(DITARI!$G438,0))</f>
        <v>0</v>
      </c>
      <c r="K434" s="484" t="str">
        <f aca="false">IF($E434="","",IFERROR(VLOOKUP($E434,PLANI_LLOGARIVE!$A:$I,9,FALSE()),""))</f>
        <v/>
      </c>
      <c r="L434" s="487" t="str">
        <f aca="false">IF($E434="","",$I434-$J434)</f>
        <v/>
      </c>
      <c r="M434" s="484" t="str">
        <f aca="false">IF($E434="","",IF($I434&gt;0,"DEBIT",IF($J434&gt;0,"KREDIT","ZERO")))</f>
        <v/>
      </c>
      <c r="N434" s="484" t="str">
        <f aca="false">IF($E434="","",TEXT($B434,"yyyymmdd")&amp;"-"&amp;TEXT(ROW(),"0000"))</f>
        <v/>
      </c>
      <c r="O434" s="101" t="str">
        <f aca="false">IF($E434="","",$E434&amp;"")</f>
        <v/>
      </c>
      <c r="P434" s="101" t="str">
        <f aca="false">IF(AND($O434&lt;&gt;"",$I434&lt;&gt;0),COUNTIFS($O$2:O434,$O434,$I$2:I434,"&gt;0"),"")</f>
        <v/>
      </c>
      <c r="Q434" s="101" t="str">
        <f aca="false">IF(AND($O434&lt;&gt;"",$J434&lt;&gt;0),COUNTIFS($O$2:O434,$O434,$J$2:J434,"&gt;0"),"")</f>
        <v/>
      </c>
      <c r="R434" s="101" t="str">
        <f aca="false">IF($P434="","",$O434&amp;"|"&amp;$P434)</f>
        <v/>
      </c>
      <c r="S434" s="101" t="str">
        <f aca="false">IF($Q434="","",$O434&amp;"|"&amp;$Q434)</f>
        <v/>
      </c>
      <c r="T434" s="101" t="str">
        <f aca="false">IF($O434="","",COUNTIF($O$2:O434,$O434))</f>
        <v/>
      </c>
      <c r="U434" s="101" t="str">
        <f aca="false">IF($O434="","",$O434&amp;"|"&amp;$T434)</f>
        <v/>
      </c>
      <c r="V434" s="488" t="n">
        <f aca="false">IF(OR(LEFT($D434,5)="MB-CL",LEFT($D434,6)="MB-RES"),0,$I434)</f>
        <v>0</v>
      </c>
      <c r="W434" s="488" t="n">
        <f aca="false">IF(OR(LEFT($D434,5)="MB-CL",LEFT($D434,6)="MB-RES"),0,$J434)</f>
        <v>0</v>
      </c>
      <c r="X434" s="101" t="str">
        <f aca="false">IF($E434="","",LEFT($E434,1))</f>
        <v/>
      </c>
      <c r="Y434" s="101" t="str">
        <f aca="false">IF($E434="","",LEFT($E434,2))</f>
        <v/>
      </c>
      <c r="Z434" s="101" t="str">
        <f aca="false">IF($E434="","",LEFT($E434,3))</f>
        <v/>
      </c>
      <c r="AA434" s="101" t="str">
        <f aca="false">IF($E434="","",LEFT($E434,4))</f>
        <v/>
      </c>
    </row>
    <row r="435" customFormat="false" ht="15" hidden="false" customHeight="true" outlineLevel="0" collapsed="false">
      <c r="A435" s="484" t="str">
        <f aca="false">IF(DITARI!$D439="","",ROW()-1)</f>
        <v/>
      </c>
      <c r="B435" s="485" t="str">
        <f aca="false">IF(DITARI!$D439="","",DITARI!$A439)</f>
        <v/>
      </c>
      <c r="C435" s="484" t="str">
        <f aca="false">IF(DITARI!$D439="","",DITARI!$B439)</f>
        <v/>
      </c>
      <c r="D435" s="484" t="str">
        <f aca="false">IF(DITARI!$D439="","",DITARI!$C439)</f>
        <v/>
      </c>
      <c r="E435" s="484" t="str">
        <f aca="false">IF(DITARI!$D439="","",TRIM(DITARI!$D439&amp;""))</f>
        <v/>
      </c>
      <c r="F435" s="484" t="str">
        <f aca="false">IF($E435="","",IFERROR(VLOOKUP($E435,PLANI_LLOGARIVE!$A:$I,2,FALSE()),DITARI!$E439))</f>
        <v/>
      </c>
      <c r="G435" s="484" t="str">
        <f aca="false">IF($E435="","",DITARI!$I439)</f>
        <v/>
      </c>
      <c r="H435" s="484" t="str">
        <f aca="false">IFERROR(IF($E435="","",DITARI!$H439),"")</f>
        <v/>
      </c>
      <c r="I435" s="487" t="n">
        <f aca="false">IF($E435="",0,IFERROR(DITARI!$F439,0))</f>
        <v>0</v>
      </c>
      <c r="J435" s="487" t="n">
        <f aca="false">IF($E435="",0,IFERROR(DITARI!$G439,0))</f>
        <v>0</v>
      </c>
      <c r="K435" s="484" t="str">
        <f aca="false">IF($E435="","",IFERROR(VLOOKUP($E435,PLANI_LLOGARIVE!$A:$I,9,FALSE()),""))</f>
        <v/>
      </c>
      <c r="L435" s="487" t="str">
        <f aca="false">IF($E435="","",$I435-$J435)</f>
        <v/>
      </c>
      <c r="M435" s="484" t="str">
        <f aca="false">IF($E435="","",IF($I435&gt;0,"DEBIT",IF($J435&gt;0,"KREDIT","ZERO")))</f>
        <v/>
      </c>
      <c r="N435" s="484" t="str">
        <f aca="false">IF($E435="","",TEXT($B435,"yyyymmdd")&amp;"-"&amp;TEXT(ROW(),"0000"))</f>
        <v/>
      </c>
      <c r="O435" s="101" t="str">
        <f aca="false">IF($E435="","",$E435&amp;"")</f>
        <v/>
      </c>
      <c r="P435" s="101" t="str">
        <f aca="false">IF(AND($O435&lt;&gt;"",$I435&lt;&gt;0),COUNTIFS($O$2:O435,$O435,$I$2:I435,"&gt;0"),"")</f>
        <v/>
      </c>
      <c r="Q435" s="101" t="str">
        <f aca="false">IF(AND($O435&lt;&gt;"",$J435&lt;&gt;0),COUNTIFS($O$2:O435,$O435,$J$2:J435,"&gt;0"),"")</f>
        <v/>
      </c>
      <c r="R435" s="101" t="str">
        <f aca="false">IF($P435="","",$O435&amp;"|"&amp;$P435)</f>
        <v/>
      </c>
      <c r="S435" s="101" t="str">
        <f aca="false">IF($Q435="","",$O435&amp;"|"&amp;$Q435)</f>
        <v/>
      </c>
      <c r="T435" s="101" t="str">
        <f aca="false">IF($O435="","",COUNTIF($O$2:O435,$O435))</f>
        <v/>
      </c>
      <c r="U435" s="101" t="str">
        <f aca="false">IF($O435="","",$O435&amp;"|"&amp;$T435)</f>
        <v/>
      </c>
      <c r="V435" s="488" t="n">
        <f aca="false">IF(OR(LEFT($D435,5)="MB-CL",LEFT($D435,6)="MB-RES"),0,$I435)</f>
        <v>0</v>
      </c>
      <c r="W435" s="488" t="n">
        <f aca="false">IF(OR(LEFT($D435,5)="MB-CL",LEFT($D435,6)="MB-RES"),0,$J435)</f>
        <v>0</v>
      </c>
      <c r="X435" s="101" t="str">
        <f aca="false">IF($E435="","",LEFT($E435,1))</f>
        <v/>
      </c>
      <c r="Y435" s="101" t="str">
        <f aca="false">IF($E435="","",LEFT($E435,2))</f>
        <v/>
      </c>
      <c r="Z435" s="101" t="str">
        <f aca="false">IF($E435="","",LEFT($E435,3))</f>
        <v/>
      </c>
      <c r="AA435" s="101" t="str">
        <f aca="false">IF($E435="","",LEFT($E435,4))</f>
        <v/>
      </c>
    </row>
    <row r="436" customFormat="false" ht="15" hidden="false" customHeight="true" outlineLevel="0" collapsed="false">
      <c r="A436" s="484" t="str">
        <f aca="false">IF(DITARI!$D440="","",ROW()-1)</f>
        <v/>
      </c>
      <c r="B436" s="485" t="str">
        <f aca="false">IF(DITARI!$D440="","",DITARI!$A440)</f>
        <v/>
      </c>
      <c r="C436" s="484" t="str">
        <f aca="false">IF(DITARI!$D440="","",DITARI!$B440)</f>
        <v/>
      </c>
      <c r="D436" s="484" t="str">
        <f aca="false">IF(DITARI!$D440="","",DITARI!$C440)</f>
        <v/>
      </c>
      <c r="E436" s="484" t="str">
        <f aca="false">IF(DITARI!$D440="","",TRIM(DITARI!$D440&amp;""))</f>
        <v/>
      </c>
      <c r="F436" s="484" t="str">
        <f aca="false">IF($E436="","",IFERROR(VLOOKUP($E436,PLANI_LLOGARIVE!$A:$I,2,FALSE()),DITARI!$E440))</f>
        <v/>
      </c>
      <c r="G436" s="484" t="str">
        <f aca="false">IF($E436="","",DITARI!$I440)</f>
        <v/>
      </c>
      <c r="H436" s="484" t="str">
        <f aca="false">IFERROR(IF($E436="","",DITARI!$H440),"")</f>
        <v/>
      </c>
      <c r="I436" s="487" t="n">
        <f aca="false">IF($E436="",0,IFERROR(DITARI!$F440,0))</f>
        <v>0</v>
      </c>
      <c r="J436" s="487" t="n">
        <f aca="false">IF($E436="",0,IFERROR(DITARI!$G440,0))</f>
        <v>0</v>
      </c>
      <c r="K436" s="484" t="str">
        <f aca="false">IF($E436="","",IFERROR(VLOOKUP($E436,PLANI_LLOGARIVE!$A:$I,9,FALSE()),""))</f>
        <v/>
      </c>
      <c r="L436" s="487" t="str">
        <f aca="false">IF($E436="","",$I436-$J436)</f>
        <v/>
      </c>
      <c r="M436" s="484" t="str">
        <f aca="false">IF($E436="","",IF($I436&gt;0,"DEBIT",IF($J436&gt;0,"KREDIT","ZERO")))</f>
        <v/>
      </c>
      <c r="N436" s="484" t="str">
        <f aca="false">IF($E436="","",TEXT($B436,"yyyymmdd")&amp;"-"&amp;TEXT(ROW(),"0000"))</f>
        <v/>
      </c>
      <c r="O436" s="101" t="str">
        <f aca="false">IF($E436="","",$E436&amp;"")</f>
        <v/>
      </c>
      <c r="P436" s="101" t="str">
        <f aca="false">IF(AND($O436&lt;&gt;"",$I436&lt;&gt;0),COUNTIFS($O$2:O436,$O436,$I$2:I436,"&gt;0"),"")</f>
        <v/>
      </c>
      <c r="Q436" s="101" t="str">
        <f aca="false">IF(AND($O436&lt;&gt;"",$J436&lt;&gt;0),COUNTIFS($O$2:O436,$O436,$J$2:J436,"&gt;0"),"")</f>
        <v/>
      </c>
      <c r="R436" s="101" t="str">
        <f aca="false">IF($P436="","",$O436&amp;"|"&amp;$P436)</f>
        <v/>
      </c>
      <c r="S436" s="101" t="str">
        <f aca="false">IF($Q436="","",$O436&amp;"|"&amp;$Q436)</f>
        <v/>
      </c>
      <c r="T436" s="101" t="str">
        <f aca="false">IF($O436="","",COUNTIF($O$2:O436,$O436))</f>
        <v/>
      </c>
      <c r="U436" s="101" t="str">
        <f aca="false">IF($O436="","",$O436&amp;"|"&amp;$T436)</f>
        <v/>
      </c>
      <c r="V436" s="488" t="n">
        <f aca="false">IF(OR(LEFT($D436,5)="MB-CL",LEFT($D436,6)="MB-RES"),0,$I436)</f>
        <v>0</v>
      </c>
      <c r="W436" s="488" t="n">
        <f aca="false">IF(OR(LEFT($D436,5)="MB-CL",LEFT($D436,6)="MB-RES"),0,$J436)</f>
        <v>0</v>
      </c>
      <c r="X436" s="101" t="str">
        <f aca="false">IF($E436="","",LEFT($E436,1))</f>
        <v/>
      </c>
      <c r="Y436" s="101" t="str">
        <f aca="false">IF($E436="","",LEFT($E436,2))</f>
        <v/>
      </c>
      <c r="Z436" s="101" t="str">
        <f aca="false">IF($E436="","",LEFT($E436,3))</f>
        <v/>
      </c>
      <c r="AA436" s="101" t="str">
        <f aca="false">IF($E436="","",LEFT($E436,4))</f>
        <v/>
      </c>
    </row>
    <row r="437" customFormat="false" ht="15" hidden="false" customHeight="true" outlineLevel="0" collapsed="false">
      <c r="A437" s="484" t="str">
        <f aca="false">IF(DITARI!$D441="","",ROW()-1)</f>
        <v/>
      </c>
      <c r="B437" s="485" t="str">
        <f aca="false">IF(DITARI!$D441="","",DITARI!$A441)</f>
        <v/>
      </c>
      <c r="C437" s="484" t="str">
        <f aca="false">IF(DITARI!$D441="","",DITARI!$B441)</f>
        <v/>
      </c>
      <c r="D437" s="484" t="str">
        <f aca="false">IF(DITARI!$D441="","",DITARI!$C441)</f>
        <v/>
      </c>
      <c r="E437" s="484" t="str">
        <f aca="false">IF(DITARI!$D441="","",TRIM(DITARI!$D441&amp;""))</f>
        <v/>
      </c>
      <c r="F437" s="484" t="str">
        <f aca="false">IF($E437="","",IFERROR(VLOOKUP($E437,PLANI_LLOGARIVE!$A:$I,2,FALSE()),DITARI!$E441))</f>
        <v/>
      </c>
      <c r="G437" s="484" t="str">
        <f aca="false">IF($E437="","",DITARI!$I441)</f>
        <v/>
      </c>
      <c r="H437" s="484" t="str">
        <f aca="false">IFERROR(IF($E437="","",DITARI!$H441),"")</f>
        <v/>
      </c>
      <c r="I437" s="487" t="n">
        <f aca="false">IF($E437="",0,IFERROR(DITARI!$F441,0))</f>
        <v>0</v>
      </c>
      <c r="J437" s="487" t="n">
        <f aca="false">IF($E437="",0,IFERROR(DITARI!$G441,0))</f>
        <v>0</v>
      </c>
      <c r="K437" s="484" t="str">
        <f aca="false">IF($E437="","",IFERROR(VLOOKUP($E437,PLANI_LLOGARIVE!$A:$I,9,FALSE()),""))</f>
        <v/>
      </c>
      <c r="L437" s="487" t="str">
        <f aca="false">IF($E437="","",$I437-$J437)</f>
        <v/>
      </c>
      <c r="M437" s="484" t="str">
        <f aca="false">IF($E437="","",IF($I437&gt;0,"DEBIT",IF($J437&gt;0,"KREDIT","ZERO")))</f>
        <v/>
      </c>
      <c r="N437" s="484" t="str">
        <f aca="false">IF($E437="","",TEXT($B437,"yyyymmdd")&amp;"-"&amp;TEXT(ROW(),"0000"))</f>
        <v/>
      </c>
      <c r="O437" s="101" t="str">
        <f aca="false">IF($E437="","",$E437&amp;"")</f>
        <v/>
      </c>
      <c r="P437" s="101" t="str">
        <f aca="false">IF(AND($O437&lt;&gt;"",$I437&lt;&gt;0),COUNTIFS($O$2:O437,$O437,$I$2:I437,"&gt;0"),"")</f>
        <v/>
      </c>
      <c r="Q437" s="101" t="str">
        <f aca="false">IF(AND($O437&lt;&gt;"",$J437&lt;&gt;0),COUNTIFS($O$2:O437,$O437,$J$2:J437,"&gt;0"),"")</f>
        <v/>
      </c>
      <c r="R437" s="101" t="str">
        <f aca="false">IF($P437="","",$O437&amp;"|"&amp;$P437)</f>
        <v/>
      </c>
      <c r="S437" s="101" t="str">
        <f aca="false">IF($Q437="","",$O437&amp;"|"&amp;$Q437)</f>
        <v/>
      </c>
      <c r="T437" s="101" t="str">
        <f aca="false">IF($O437="","",COUNTIF($O$2:O437,$O437))</f>
        <v/>
      </c>
      <c r="U437" s="101" t="str">
        <f aca="false">IF($O437="","",$O437&amp;"|"&amp;$T437)</f>
        <v/>
      </c>
      <c r="V437" s="488" t="n">
        <f aca="false">IF(OR(LEFT($D437,5)="MB-CL",LEFT($D437,6)="MB-RES"),0,$I437)</f>
        <v>0</v>
      </c>
      <c r="W437" s="488" t="n">
        <f aca="false">IF(OR(LEFT($D437,5)="MB-CL",LEFT($D437,6)="MB-RES"),0,$J437)</f>
        <v>0</v>
      </c>
      <c r="X437" s="101" t="str">
        <f aca="false">IF($E437="","",LEFT($E437,1))</f>
        <v/>
      </c>
      <c r="Y437" s="101" t="str">
        <f aca="false">IF($E437="","",LEFT($E437,2))</f>
        <v/>
      </c>
      <c r="Z437" s="101" t="str">
        <f aca="false">IF($E437="","",LEFT($E437,3))</f>
        <v/>
      </c>
      <c r="AA437" s="101" t="str">
        <f aca="false">IF($E437="","",LEFT($E437,4))</f>
        <v/>
      </c>
    </row>
    <row r="438" customFormat="false" ht="15" hidden="false" customHeight="true" outlineLevel="0" collapsed="false">
      <c r="A438" s="484" t="str">
        <f aca="false">IF(DITARI!$D442="","",ROW()-1)</f>
        <v/>
      </c>
      <c r="B438" s="485" t="str">
        <f aca="false">IF(DITARI!$D442="","",DITARI!$A442)</f>
        <v/>
      </c>
      <c r="C438" s="484" t="str">
        <f aca="false">IF(DITARI!$D442="","",DITARI!$B442)</f>
        <v/>
      </c>
      <c r="D438" s="484" t="str">
        <f aca="false">IF(DITARI!$D442="","",DITARI!$C442)</f>
        <v/>
      </c>
      <c r="E438" s="484" t="str">
        <f aca="false">IF(DITARI!$D442="","",TRIM(DITARI!$D442&amp;""))</f>
        <v/>
      </c>
      <c r="F438" s="484" t="str">
        <f aca="false">IF($E438="","",IFERROR(VLOOKUP($E438,PLANI_LLOGARIVE!$A:$I,2,FALSE()),DITARI!$E442))</f>
        <v/>
      </c>
      <c r="G438" s="484" t="str">
        <f aca="false">IF($E438="","",DITARI!$I442)</f>
        <v/>
      </c>
      <c r="H438" s="484" t="str">
        <f aca="false">IFERROR(IF($E438="","",DITARI!$H442),"")</f>
        <v/>
      </c>
      <c r="I438" s="487" t="n">
        <f aca="false">IF($E438="",0,IFERROR(DITARI!$F442,0))</f>
        <v>0</v>
      </c>
      <c r="J438" s="487" t="n">
        <f aca="false">IF($E438="",0,IFERROR(DITARI!$G442,0))</f>
        <v>0</v>
      </c>
      <c r="K438" s="484" t="str">
        <f aca="false">IF($E438="","",IFERROR(VLOOKUP($E438,PLANI_LLOGARIVE!$A:$I,9,FALSE()),""))</f>
        <v/>
      </c>
      <c r="L438" s="487" t="str">
        <f aca="false">IF($E438="","",$I438-$J438)</f>
        <v/>
      </c>
      <c r="M438" s="484" t="str">
        <f aca="false">IF($E438="","",IF($I438&gt;0,"DEBIT",IF($J438&gt;0,"KREDIT","ZERO")))</f>
        <v/>
      </c>
      <c r="N438" s="484" t="str">
        <f aca="false">IF($E438="","",TEXT($B438,"yyyymmdd")&amp;"-"&amp;TEXT(ROW(),"0000"))</f>
        <v/>
      </c>
      <c r="O438" s="101" t="str">
        <f aca="false">IF($E438="","",$E438&amp;"")</f>
        <v/>
      </c>
      <c r="P438" s="101" t="str">
        <f aca="false">IF(AND($O438&lt;&gt;"",$I438&lt;&gt;0),COUNTIFS($O$2:O438,$O438,$I$2:I438,"&gt;0"),"")</f>
        <v/>
      </c>
      <c r="Q438" s="101" t="str">
        <f aca="false">IF(AND($O438&lt;&gt;"",$J438&lt;&gt;0),COUNTIFS($O$2:O438,$O438,$J$2:J438,"&gt;0"),"")</f>
        <v/>
      </c>
      <c r="R438" s="101" t="str">
        <f aca="false">IF($P438="","",$O438&amp;"|"&amp;$P438)</f>
        <v/>
      </c>
      <c r="S438" s="101" t="str">
        <f aca="false">IF($Q438="","",$O438&amp;"|"&amp;$Q438)</f>
        <v/>
      </c>
      <c r="T438" s="101" t="str">
        <f aca="false">IF($O438="","",COUNTIF($O$2:O438,$O438))</f>
        <v/>
      </c>
      <c r="U438" s="101" t="str">
        <f aca="false">IF($O438="","",$O438&amp;"|"&amp;$T438)</f>
        <v/>
      </c>
      <c r="V438" s="488" t="n">
        <f aca="false">IF(OR(LEFT($D438,5)="MB-CL",LEFT($D438,6)="MB-RES"),0,$I438)</f>
        <v>0</v>
      </c>
      <c r="W438" s="488" t="n">
        <f aca="false">IF(OR(LEFT($D438,5)="MB-CL",LEFT($D438,6)="MB-RES"),0,$J438)</f>
        <v>0</v>
      </c>
      <c r="X438" s="101" t="str">
        <f aca="false">IF($E438="","",LEFT($E438,1))</f>
        <v/>
      </c>
      <c r="Y438" s="101" t="str">
        <f aca="false">IF($E438="","",LEFT($E438,2))</f>
        <v/>
      </c>
      <c r="Z438" s="101" t="str">
        <f aca="false">IF($E438="","",LEFT($E438,3))</f>
        <v/>
      </c>
      <c r="AA438" s="101" t="str">
        <f aca="false">IF($E438="","",LEFT($E438,4))</f>
        <v/>
      </c>
    </row>
    <row r="439" customFormat="false" ht="15" hidden="false" customHeight="true" outlineLevel="0" collapsed="false">
      <c r="A439" s="484" t="str">
        <f aca="false">IF(DITARI!$D443="","",ROW()-1)</f>
        <v/>
      </c>
      <c r="B439" s="485" t="str">
        <f aca="false">IF(DITARI!$D443="","",DITARI!$A443)</f>
        <v/>
      </c>
      <c r="C439" s="484" t="str">
        <f aca="false">IF(DITARI!$D443="","",DITARI!$B443)</f>
        <v/>
      </c>
      <c r="D439" s="484" t="str">
        <f aca="false">IF(DITARI!$D443="","",DITARI!$C443)</f>
        <v/>
      </c>
      <c r="E439" s="484" t="str">
        <f aca="false">IF(DITARI!$D443="","",TRIM(DITARI!$D443&amp;""))</f>
        <v/>
      </c>
      <c r="F439" s="484" t="str">
        <f aca="false">IF($E439="","",IFERROR(VLOOKUP($E439,PLANI_LLOGARIVE!$A:$I,2,FALSE()),DITARI!$E443))</f>
        <v/>
      </c>
      <c r="G439" s="484" t="str">
        <f aca="false">IF($E439="","",DITARI!$I443)</f>
        <v/>
      </c>
      <c r="H439" s="484" t="str">
        <f aca="false">IFERROR(IF($E439="","",DITARI!$H443),"")</f>
        <v/>
      </c>
      <c r="I439" s="487" t="n">
        <f aca="false">IF($E439="",0,IFERROR(DITARI!$F443,0))</f>
        <v>0</v>
      </c>
      <c r="J439" s="487" t="n">
        <f aca="false">IF($E439="",0,IFERROR(DITARI!$G443,0))</f>
        <v>0</v>
      </c>
      <c r="K439" s="484" t="str">
        <f aca="false">IF($E439="","",IFERROR(VLOOKUP($E439,PLANI_LLOGARIVE!$A:$I,9,FALSE()),""))</f>
        <v/>
      </c>
      <c r="L439" s="487" t="str">
        <f aca="false">IF($E439="","",$I439-$J439)</f>
        <v/>
      </c>
      <c r="M439" s="484" t="str">
        <f aca="false">IF($E439="","",IF($I439&gt;0,"DEBIT",IF($J439&gt;0,"KREDIT","ZERO")))</f>
        <v/>
      </c>
      <c r="N439" s="484" t="str">
        <f aca="false">IF($E439="","",TEXT($B439,"yyyymmdd")&amp;"-"&amp;TEXT(ROW(),"0000"))</f>
        <v/>
      </c>
      <c r="O439" s="101" t="str">
        <f aca="false">IF($E439="","",$E439&amp;"")</f>
        <v/>
      </c>
      <c r="P439" s="101" t="str">
        <f aca="false">IF(AND($O439&lt;&gt;"",$I439&lt;&gt;0),COUNTIFS($O$2:O439,$O439,$I$2:I439,"&gt;0"),"")</f>
        <v/>
      </c>
      <c r="Q439" s="101" t="str">
        <f aca="false">IF(AND($O439&lt;&gt;"",$J439&lt;&gt;0),COUNTIFS($O$2:O439,$O439,$J$2:J439,"&gt;0"),"")</f>
        <v/>
      </c>
      <c r="R439" s="101" t="str">
        <f aca="false">IF($P439="","",$O439&amp;"|"&amp;$P439)</f>
        <v/>
      </c>
      <c r="S439" s="101" t="str">
        <f aca="false">IF($Q439="","",$O439&amp;"|"&amp;$Q439)</f>
        <v/>
      </c>
      <c r="T439" s="101" t="str">
        <f aca="false">IF($O439="","",COUNTIF($O$2:O439,$O439))</f>
        <v/>
      </c>
      <c r="U439" s="101" t="str">
        <f aca="false">IF($O439="","",$O439&amp;"|"&amp;$T439)</f>
        <v/>
      </c>
      <c r="V439" s="488" t="n">
        <f aca="false">IF(OR(LEFT($D439,5)="MB-CL",LEFT($D439,6)="MB-RES"),0,$I439)</f>
        <v>0</v>
      </c>
      <c r="W439" s="488" t="n">
        <f aca="false">IF(OR(LEFT($D439,5)="MB-CL",LEFT($D439,6)="MB-RES"),0,$J439)</f>
        <v>0</v>
      </c>
      <c r="X439" s="101" t="str">
        <f aca="false">IF($E439="","",LEFT($E439,1))</f>
        <v/>
      </c>
      <c r="Y439" s="101" t="str">
        <f aca="false">IF($E439="","",LEFT($E439,2))</f>
        <v/>
      </c>
      <c r="Z439" s="101" t="str">
        <f aca="false">IF($E439="","",LEFT($E439,3))</f>
        <v/>
      </c>
      <c r="AA439" s="101" t="str">
        <f aca="false">IF($E439="","",LEFT($E439,4))</f>
        <v/>
      </c>
    </row>
    <row r="440" customFormat="false" ht="15" hidden="false" customHeight="true" outlineLevel="0" collapsed="false">
      <c r="A440" s="484" t="str">
        <f aca="false">IF(DITARI!$D444="","",ROW()-1)</f>
        <v/>
      </c>
      <c r="B440" s="485" t="str">
        <f aca="false">IF(DITARI!$D444="","",DITARI!$A444)</f>
        <v/>
      </c>
      <c r="C440" s="484" t="str">
        <f aca="false">IF(DITARI!$D444="","",DITARI!$B444)</f>
        <v/>
      </c>
      <c r="D440" s="484" t="str">
        <f aca="false">IF(DITARI!$D444="","",DITARI!$C444)</f>
        <v/>
      </c>
      <c r="E440" s="484" t="str">
        <f aca="false">IF(DITARI!$D444="","",TRIM(DITARI!$D444&amp;""))</f>
        <v/>
      </c>
      <c r="F440" s="484" t="str">
        <f aca="false">IF($E440="","",IFERROR(VLOOKUP($E440,PLANI_LLOGARIVE!$A:$I,2,FALSE()),DITARI!$E444))</f>
        <v/>
      </c>
      <c r="G440" s="484" t="str">
        <f aca="false">IF($E440="","",DITARI!$I444)</f>
        <v/>
      </c>
      <c r="H440" s="484" t="str">
        <f aca="false">IFERROR(IF($E440="","",DITARI!$H444),"")</f>
        <v/>
      </c>
      <c r="I440" s="487" t="n">
        <f aca="false">IF($E440="",0,IFERROR(DITARI!$F444,0))</f>
        <v>0</v>
      </c>
      <c r="J440" s="487" t="n">
        <f aca="false">IF($E440="",0,IFERROR(DITARI!$G444,0))</f>
        <v>0</v>
      </c>
      <c r="K440" s="484" t="str">
        <f aca="false">IF($E440="","",IFERROR(VLOOKUP($E440,PLANI_LLOGARIVE!$A:$I,9,FALSE()),""))</f>
        <v/>
      </c>
      <c r="L440" s="487" t="str">
        <f aca="false">IF($E440="","",$I440-$J440)</f>
        <v/>
      </c>
      <c r="M440" s="484" t="str">
        <f aca="false">IF($E440="","",IF($I440&gt;0,"DEBIT",IF($J440&gt;0,"KREDIT","ZERO")))</f>
        <v/>
      </c>
      <c r="N440" s="484" t="str">
        <f aca="false">IF($E440="","",TEXT($B440,"yyyymmdd")&amp;"-"&amp;TEXT(ROW(),"0000"))</f>
        <v/>
      </c>
      <c r="O440" s="101" t="str">
        <f aca="false">IF($E440="","",$E440&amp;"")</f>
        <v/>
      </c>
      <c r="P440" s="101" t="str">
        <f aca="false">IF(AND($O440&lt;&gt;"",$I440&lt;&gt;0),COUNTIFS($O$2:O440,$O440,$I$2:I440,"&gt;0"),"")</f>
        <v/>
      </c>
      <c r="Q440" s="101" t="str">
        <f aca="false">IF(AND($O440&lt;&gt;"",$J440&lt;&gt;0),COUNTIFS($O$2:O440,$O440,$J$2:J440,"&gt;0"),"")</f>
        <v/>
      </c>
      <c r="R440" s="101" t="str">
        <f aca="false">IF($P440="","",$O440&amp;"|"&amp;$P440)</f>
        <v/>
      </c>
      <c r="S440" s="101" t="str">
        <f aca="false">IF($Q440="","",$O440&amp;"|"&amp;$Q440)</f>
        <v/>
      </c>
      <c r="T440" s="101" t="str">
        <f aca="false">IF($O440="","",COUNTIF($O$2:O440,$O440))</f>
        <v/>
      </c>
      <c r="U440" s="101" t="str">
        <f aca="false">IF($O440="","",$O440&amp;"|"&amp;$T440)</f>
        <v/>
      </c>
      <c r="V440" s="488" t="n">
        <f aca="false">IF(OR(LEFT($D440,5)="MB-CL",LEFT($D440,6)="MB-RES"),0,$I440)</f>
        <v>0</v>
      </c>
      <c r="W440" s="488" t="n">
        <f aca="false">IF(OR(LEFT($D440,5)="MB-CL",LEFT($D440,6)="MB-RES"),0,$J440)</f>
        <v>0</v>
      </c>
      <c r="X440" s="101" t="str">
        <f aca="false">IF($E440="","",LEFT($E440,1))</f>
        <v/>
      </c>
      <c r="Y440" s="101" t="str">
        <f aca="false">IF($E440="","",LEFT($E440,2))</f>
        <v/>
      </c>
      <c r="Z440" s="101" t="str">
        <f aca="false">IF($E440="","",LEFT($E440,3))</f>
        <v/>
      </c>
      <c r="AA440" s="101" t="str">
        <f aca="false">IF($E440="","",LEFT($E440,4))</f>
        <v/>
      </c>
    </row>
    <row r="441" customFormat="false" ht="15" hidden="false" customHeight="true" outlineLevel="0" collapsed="false">
      <c r="A441" s="484" t="str">
        <f aca="false">IF(DITARI!$D445="","",ROW()-1)</f>
        <v/>
      </c>
      <c r="B441" s="485" t="str">
        <f aca="false">IF(DITARI!$D445="","",DITARI!$A445)</f>
        <v/>
      </c>
      <c r="C441" s="484" t="str">
        <f aca="false">IF(DITARI!$D445="","",DITARI!$B445)</f>
        <v/>
      </c>
      <c r="D441" s="484" t="str">
        <f aca="false">IF(DITARI!$D445="","",DITARI!$C445)</f>
        <v/>
      </c>
      <c r="E441" s="484" t="str">
        <f aca="false">IF(DITARI!$D445="","",TRIM(DITARI!$D445&amp;""))</f>
        <v/>
      </c>
      <c r="F441" s="484" t="str">
        <f aca="false">IF($E441="","",IFERROR(VLOOKUP($E441,PLANI_LLOGARIVE!$A:$I,2,FALSE()),DITARI!$E445))</f>
        <v/>
      </c>
      <c r="G441" s="484" t="str">
        <f aca="false">IF($E441="","",DITARI!$I445)</f>
        <v/>
      </c>
      <c r="H441" s="484" t="str">
        <f aca="false">IFERROR(IF($E441="","",DITARI!$H445),"")</f>
        <v/>
      </c>
      <c r="I441" s="487" t="n">
        <f aca="false">IF($E441="",0,IFERROR(DITARI!$F445,0))</f>
        <v>0</v>
      </c>
      <c r="J441" s="487" t="n">
        <f aca="false">IF($E441="",0,IFERROR(DITARI!$G445,0))</f>
        <v>0</v>
      </c>
      <c r="K441" s="484" t="str">
        <f aca="false">IF($E441="","",IFERROR(VLOOKUP($E441,PLANI_LLOGARIVE!$A:$I,9,FALSE()),""))</f>
        <v/>
      </c>
      <c r="L441" s="487" t="str">
        <f aca="false">IF($E441="","",$I441-$J441)</f>
        <v/>
      </c>
      <c r="M441" s="484" t="str">
        <f aca="false">IF($E441="","",IF($I441&gt;0,"DEBIT",IF($J441&gt;0,"KREDIT","ZERO")))</f>
        <v/>
      </c>
      <c r="N441" s="484" t="str">
        <f aca="false">IF($E441="","",TEXT($B441,"yyyymmdd")&amp;"-"&amp;TEXT(ROW(),"0000"))</f>
        <v/>
      </c>
      <c r="O441" s="101" t="str">
        <f aca="false">IF($E441="","",$E441&amp;"")</f>
        <v/>
      </c>
      <c r="P441" s="101" t="str">
        <f aca="false">IF(AND($O441&lt;&gt;"",$I441&lt;&gt;0),COUNTIFS($O$2:O441,$O441,$I$2:I441,"&gt;0"),"")</f>
        <v/>
      </c>
      <c r="Q441" s="101" t="str">
        <f aca="false">IF(AND($O441&lt;&gt;"",$J441&lt;&gt;0),COUNTIFS($O$2:O441,$O441,$J$2:J441,"&gt;0"),"")</f>
        <v/>
      </c>
      <c r="R441" s="101" t="str">
        <f aca="false">IF($P441="","",$O441&amp;"|"&amp;$P441)</f>
        <v/>
      </c>
      <c r="S441" s="101" t="str">
        <f aca="false">IF($Q441="","",$O441&amp;"|"&amp;$Q441)</f>
        <v/>
      </c>
      <c r="T441" s="101" t="str">
        <f aca="false">IF($O441="","",COUNTIF($O$2:O441,$O441))</f>
        <v/>
      </c>
      <c r="U441" s="101" t="str">
        <f aca="false">IF($O441="","",$O441&amp;"|"&amp;$T441)</f>
        <v/>
      </c>
      <c r="V441" s="488" t="n">
        <f aca="false">IF(OR(LEFT($D441,5)="MB-CL",LEFT($D441,6)="MB-RES"),0,$I441)</f>
        <v>0</v>
      </c>
      <c r="W441" s="488" t="n">
        <f aca="false">IF(OR(LEFT($D441,5)="MB-CL",LEFT($D441,6)="MB-RES"),0,$J441)</f>
        <v>0</v>
      </c>
      <c r="X441" s="101" t="str">
        <f aca="false">IF($E441="","",LEFT($E441,1))</f>
        <v/>
      </c>
      <c r="Y441" s="101" t="str">
        <f aca="false">IF($E441="","",LEFT($E441,2))</f>
        <v/>
      </c>
      <c r="Z441" s="101" t="str">
        <f aca="false">IF($E441="","",LEFT($E441,3))</f>
        <v/>
      </c>
      <c r="AA441" s="101" t="str">
        <f aca="false">IF($E441="","",LEFT($E441,4))</f>
        <v/>
      </c>
    </row>
    <row r="442" customFormat="false" ht="15" hidden="false" customHeight="true" outlineLevel="0" collapsed="false">
      <c r="A442" s="484" t="str">
        <f aca="false">IF(DITARI!$D446="","",ROW()-1)</f>
        <v/>
      </c>
      <c r="B442" s="485" t="str">
        <f aca="false">IF(DITARI!$D446="","",DITARI!$A446)</f>
        <v/>
      </c>
      <c r="C442" s="484" t="str">
        <f aca="false">IF(DITARI!$D446="","",DITARI!$B446)</f>
        <v/>
      </c>
      <c r="D442" s="484" t="str">
        <f aca="false">IF(DITARI!$D446="","",DITARI!$C446)</f>
        <v/>
      </c>
      <c r="E442" s="484" t="str">
        <f aca="false">IF(DITARI!$D446="","",TRIM(DITARI!$D446&amp;""))</f>
        <v/>
      </c>
      <c r="F442" s="484" t="str">
        <f aca="false">IF($E442="","",IFERROR(VLOOKUP($E442,PLANI_LLOGARIVE!$A:$I,2,FALSE()),DITARI!$E446))</f>
        <v/>
      </c>
      <c r="G442" s="484" t="str">
        <f aca="false">IF($E442="","",DITARI!$I446)</f>
        <v/>
      </c>
      <c r="H442" s="484" t="str">
        <f aca="false">IFERROR(IF($E442="","",DITARI!$H446),"")</f>
        <v/>
      </c>
      <c r="I442" s="487" t="n">
        <f aca="false">IF($E442="",0,IFERROR(DITARI!$F446,0))</f>
        <v>0</v>
      </c>
      <c r="J442" s="487" t="n">
        <f aca="false">IF($E442="",0,IFERROR(DITARI!$G446,0))</f>
        <v>0</v>
      </c>
      <c r="K442" s="484" t="str">
        <f aca="false">IF($E442="","",IFERROR(VLOOKUP($E442,PLANI_LLOGARIVE!$A:$I,9,FALSE()),""))</f>
        <v/>
      </c>
      <c r="L442" s="487" t="str">
        <f aca="false">IF($E442="","",$I442-$J442)</f>
        <v/>
      </c>
      <c r="M442" s="484" t="str">
        <f aca="false">IF($E442="","",IF($I442&gt;0,"DEBIT",IF($J442&gt;0,"KREDIT","ZERO")))</f>
        <v/>
      </c>
      <c r="N442" s="484" t="str">
        <f aca="false">IF($E442="","",TEXT($B442,"yyyymmdd")&amp;"-"&amp;TEXT(ROW(),"0000"))</f>
        <v/>
      </c>
      <c r="O442" s="101" t="str">
        <f aca="false">IF($E442="","",$E442&amp;"")</f>
        <v/>
      </c>
      <c r="P442" s="101" t="str">
        <f aca="false">IF(AND($O442&lt;&gt;"",$I442&lt;&gt;0),COUNTIFS($O$2:O442,$O442,$I$2:I442,"&gt;0"),"")</f>
        <v/>
      </c>
      <c r="Q442" s="101" t="str">
        <f aca="false">IF(AND($O442&lt;&gt;"",$J442&lt;&gt;0),COUNTIFS($O$2:O442,$O442,$J$2:J442,"&gt;0"),"")</f>
        <v/>
      </c>
      <c r="R442" s="101" t="str">
        <f aca="false">IF($P442="","",$O442&amp;"|"&amp;$P442)</f>
        <v/>
      </c>
      <c r="S442" s="101" t="str">
        <f aca="false">IF($Q442="","",$O442&amp;"|"&amp;$Q442)</f>
        <v/>
      </c>
      <c r="T442" s="101" t="str">
        <f aca="false">IF($O442="","",COUNTIF($O$2:O442,$O442))</f>
        <v/>
      </c>
      <c r="U442" s="101" t="str">
        <f aca="false">IF($O442="","",$O442&amp;"|"&amp;$T442)</f>
        <v/>
      </c>
      <c r="V442" s="488" t="n">
        <f aca="false">IF(OR(LEFT($D442,5)="MB-CL",LEFT($D442,6)="MB-RES"),0,$I442)</f>
        <v>0</v>
      </c>
      <c r="W442" s="488" t="n">
        <f aca="false">IF(OR(LEFT($D442,5)="MB-CL",LEFT($D442,6)="MB-RES"),0,$J442)</f>
        <v>0</v>
      </c>
      <c r="X442" s="101" t="str">
        <f aca="false">IF($E442="","",LEFT($E442,1))</f>
        <v/>
      </c>
      <c r="Y442" s="101" t="str">
        <f aca="false">IF($E442="","",LEFT($E442,2))</f>
        <v/>
      </c>
      <c r="Z442" s="101" t="str">
        <f aca="false">IF($E442="","",LEFT($E442,3))</f>
        <v/>
      </c>
      <c r="AA442" s="101" t="str">
        <f aca="false">IF($E442="","",LEFT($E442,4))</f>
        <v/>
      </c>
    </row>
    <row r="443" customFormat="false" ht="15" hidden="false" customHeight="true" outlineLevel="0" collapsed="false">
      <c r="A443" s="484" t="str">
        <f aca="false">IF(DITARI!$D447="","",ROW()-1)</f>
        <v/>
      </c>
      <c r="B443" s="485" t="str">
        <f aca="false">IF(DITARI!$D447="","",DITARI!$A447)</f>
        <v/>
      </c>
      <c r="C443" s="484" t="str">
        <f aca="false">IF(DITARI!$D447="","",DITARI!$B447)</f>
        <v/>
      </c>
      <c r="D443" s="484" t="str">
        <f aca="false">IF(DITARI!$D447="","",DITARI!$C447)</f>
        <v/>
      </c>
      <c r="E443" s="484" t="str">
        <f aca="false">IF(DITARI!$D447="","",TRIM(DITARI!$D447&amp;""))</f>
        <v/>
      </c>
      <c r="F443" s="484" t="str">
        <f aca="false">IF($E443="","",IFERROR(VLOOKUP($E443,PLANI_LLOGARIVE!$A:$I,2,FALSE()),DITARI!$E447))</f>
        <v/>
      </c>
      <c r="G443" s="484" t="str">
        <f aca="false">IF($E443="","",DITARI!$I447)</f>
        <v/>
      </c>
      <c r="H443" s="484" t="str">
        <f aca="false">IFERROR(IF($E443="","",DITARI!$H447),"")</f>
        <v/>
      </c>
      <c r="I443" s="487" t="n">
        <f aca="false">IF($E443="",0,IFERROR(DITARI!$F447,0))</f>
        <v>0</v>
      </c>
      <c r="J443" s="487" t="n">
        <f aca="false">IF($E443="",0,IFERROR(DITARI!$G447,0))</f>
        <v>0</v>
      </c>
      <c r="K443" s="484" t="str">
        <f aca="false">IF($E443="","",IFERROR(VLOOKUP($E443,PLANI_LLOGARIVE!$A:$I,9,FALSE()),""))</f>
        <v/>
      </c>
      <c r="L443" s="487" t="str">
        <f aca="false">IF($E443="","",$I443-$J443)</f>
        <v/>
      </c>
      <c r="M443" s="484" t="str">
        <f aca="false">IF($E443="","",IF($I443&gt;0,"DEBIT",IF($J443&gt;0,"KREDIT","ZERO")))</f>
        <v/>
      </c>
      <c r="N443" s="484" t="str">
        <f aca="false">IF($E443="","",TEXT($B443,"yyyymmdd")&amp;"-"&amp;TEXT(ROW(),"0000"))</f>
        <v/>
      </c>
      <c r="O443" s="101" t="str">
        <f aca="false">IF($E443="","",$E443&amp;"")</f>
        <v/>
      </c>
      <c r="P443" s="101" t="str">
        <f aca="false">IF(AND($O443&lt;&gt;"",$I443&lt;&gt;0),COUNTIFS($O$2:O443,$O443,$I$2:I443,"&gt;0"),"")</f>
        <v/>
      </c>
      <c r="Q443" s="101" t="str">
        <f aca="false">IF(AND($O443&lt;&gt;"",$J443&lt;&gt;0),COUNTIFS($O$2:O443,$O443,$J$2:J443,"&gt;0"),"")</f>
        <v/>
      </c>
      <c r="R443" s="101" t="str">
        <f aca="false">IF($P443="","",$O443&amp;"|"&amp;$P443)</f>
        <v/>
      </c>
      <c r="S443" s="101" t="str">
        <f aca="false">IF($Q443="","",$O443&amp;"|"&amp;$Q443)</f>
        <v/>
      </c>
      <c r="T443" s="101" t="str">
        <f aca="false">IF($O443="","",COUNTIF($O$2:O443,$O443))</f>
        <v/>
      </c>
      <c r="U443" s="101" t="str">
        <f aca="false">IF($O443="","",$O443&amp;"|"&amp;$T443)</f>
        <v/>
      </c>
      <c r="V443" s="488" t="n">
        <f aca="false">IF(OR(LEFT($D443,5)="MB-CL",LEFT($D443,6)="MB-RES"),0,$I443)</f>
        <v>0</v>
      </c>
      <c r="W443" s="488" t="n">
        <f aca="false">IF(OR(LEFT($D443,5)="MB-CL",LEFT($D443,6)="MB-RES"),0,$J443)</f>
        <v>0</v>
      </c>
      <c r="X443" s="101" t="str">
        <f aca="false">IF($E443="","",LEFT($E443,1))</f>
        <v/>
      </c>
      <c r="Y443" s="101" t="str">
        <f aca="false">IF($E443="","",LEFT($E443,2))</f>
        <v/>
      </c>
      <c r="Z443" s="101" t="str">
        <f aca="false">IF($E443="","",LEFT($E443,3))</f>
        <v/>
      </c>
      <c r="AA443" s="101" t="str">
        <f aca="false">IF($E443="","",LEFT($E443,4))</f>
        <v/>
      </c>
    </row>
    <row r="444" customFormat="false" ht="15" hidden="false" customHeight="true" outlineLevel="0" collapsed="false">
      <c r="A444" s="484" t="str">
        <f aca="false">IF(DITARI!$D448="","",ROW()-1)</f>
        <v/>
      </c>
      <c r="B444" s="485" t="str">
        <f aca="false">IF(DITARI!$D448="","",DITARI!$A448)</f>
        <v/>
      </c>
      <c r="C444" s="484" t="str">
        <f aca="false">IF(DITARI!$D448="","",DITARI!$B448)</f>
        <v/>
      </c>
      <c r="D444" s="484" t="str">
        <f aca="false">IF(DITARI!$D448="","",DITARI!$C448)</f>
        <v/>
      </c>
      <c r="E444" s="484" t="str">
        <f aca="false">IF(DITARI!$D448="","",TRIM(DITARI!$D448&amp;""))</f>
        <v/>
      </c>
      <c r="F444" s="484" t="str">
        <f aca="false">IF($E444="","",IFERROR(VLOOKUP($E444,PLANI_LLOGARIVE!$A:$I,2,FALSE()),DITARI!$E448))</f>
        <v/>
      </c>
      <c r="G444" s="484" t="str">
        <f aca="false">IF($E444="","",DITARI!$I448)</f>
        <v/>
      </c>
      <c r="H444" s="484" t="str">
        <f aca="false">IFERROR(IF($E444="","",DITARI!$H448),"")</f>
        <v/>
      </c>
      <c r="I444" s="487" t="n">
        <f aca="false">IF($E444="",0,IFERROR(DITARI!$F448,0))</f>
        <v>0</v>
      </c>
      <c r="J444" s="487" t="n">
        <f aca="false">IF($E444="",0,IFERROR(DITARI!$G448,0))</f>
        <v>0</v>
      </c>
      <c r="K444" s="484" t="str">
        <f aca="false">IF($E444="","",IFERROR(VLOOKUP($E444,PLANI_LLOGARIVE!$A:$I,9,FALSE()),""))</f>
        <v/>
      </c>
      <c r="L444" s="487" t="str">
        <f aca="false">IF($E444="","",$I444-$J444)</f>
        <v/>
      </c>
      <c r="M444" s="484" t="str">
        <f aca="false">IF($E444="","",IF($I444&gt;0,"DEBIT",IF($J444&gt;0,"KREDIT","ZERO")))</f>
        <v/>
      </c>
      <c r="N444" s="484" t="str">
        <f aca="false">IF($E444="","",TEXT($B444,"yyyymmdd")&amp;"-"&amp;TEXT(ROW(),"0000"))</f>
        <v/>
      </c>
      <c r="O444" s="101" t="str">
        <f aca="false">IF($E444="","",$E444&amp;"")</f>
        <v/>
      </c>
      <c r="P444" s="101" t="str">
        <f aca="false">IF(AND($O444&lt;&gt;"",$I444&lt;&gt;0),COUNTIFS($O$2:O444,$O444,$I$2:I444,"&gt;0"),"")</f>
        <v/>
      </c>
      <c r="Q444" s="101" t="str">
        <f aca="false">IF(AND($O444&lt;&gt;"",$J444&lt;&gt;0),COUNTIFS($O$2:O444,$O444,$J$2:J444,"&gt;0"),"")</f>
        <v/>
      </c>
      <c r="R444" s="101" t="str">
        <f aca="false">IF($P444="","",$O444&amp;"|"&amp;$P444)</f>
        <v/>
      </c>
      <c r="S444" s="101" t="str">
        <f aca="false">IF($Q444="","",$O444&amp;"|"&amp;$Q444)</f>
        <v/>
      </c>
      <c r="T444" s="101" t="str">
        <f aca="false">IF($O444="","",COUNTIF($O$2:O444,$O444))</f>
        <v/>
      </c>
      <c r="U444" s="101" t="str">
        <f aca="false">IF($O444="","",$O444&amp;"|"&amp;$T444)</f>
        <v/>
      </c>
      <c r="V444" s="488" t="n">
        <f aca="false">IF(OR(LEFT($D444,5)="MB-CL",LEFT($D444,6)="MB-RES"),0,$I444)</f>
        <v>0</v>
      </c>
      <c r="W444" s="488" t="n">
        <f aca="false">IF(OR(LEFT($D444,5)="MB-CL",LEFT($D444,6)="MB-RES"),0,$J444)</f>
        <v>0</v>
      </c>
      <c r="X444" s="101" t="str">
        <f aca="false">IF($E444="","",LEFT($E444,1))</f>
        <v/>
      </c>
      <c r="Y444" s="101" t="str">
        <f aca="false">IF($E444="","",LEFT($E444,2))</f>
        <v/>
      </c>
      <c r="Z444" s="101" t="str">
        <f aca="false">IF($E444="","",LEFT($E444,3))</f>
        <v/>
      </c>
      <c r="AA444" s="101" t="str">
        <f aca="false">IF($E444="","",LEFT($E444,4))</f>
        <v/>
      </c>
    </row>
    <row r="445" customFormat="false" ht="15" hidden="false" customHeight="true" outlineLevel="0" collapsed="false">
      <c r="A445" s="484" t="str">
        <f aca="false">IF(DITARI!$D449="","",ROW()-1)</f>
        <v/>
      </c>
      <c r="B445" s="485" t="str">
        <f aca="false">IF(DITARI!$D449="","",DITARI!$A449)</f>
        <v/>
      </c>
      <c r="C445" s="484" t="str">
        <f aca="false">IF(DITARI!$D449="","",DITARI!$B449)</f>
        <v/>
      </c>
      <c r="D445" s="484" t="str">
        <f aca="false">IF(DITARI!$D449="","",DITARI!$C449)</f>
        <v/>
      </c>
      <c r="E445" s="484" t="str">
        <f aca="false">IF(DITARI!$D449="","",TRIM(DITARI!$D449&amp;""))</f>
        <v/>
      </c>
      <c r="F445" s="484" t="str">
        <f aca="false">IF($E445="","",IFERROR(VLOOKUP($E445,PLANI_LLOGARIVE!$A:$I,2,FALSE()),DITARI!$E449))</f>
        <v/>
      </c>
      <c r="G445" s="484" t="str">
        <f aca="false">IF($E445="","",DITARI!$I449)</f>
        <v/>
      </c>
      <c r="H445" s="484" t="str">
        <f aca="false">IFERROR(IF($E445="","",DITARI!$H449),"")</f>
        <v/>
      </c>
      <c r="I445" s="487" t="n">
        <f aca="false">IF($E445="",0,IFERROR(DITARI!$F449,0))</f>
        <v>0</v>
      </c>
      <c r="J445" s="487" t="n">
        <f aca="false">IF($E445="",0,IFERROR(DITARI!$G449,0))</f>
        <v>0</v>
      </c>
      <c r="K445" s="484" t="str">
        <f aca="false">IF($E445="","",IFERROR(VLOOKUP($E445,PLANI_LLOGARIVE!$A:$I,9,FALSE()),""))</f>
        <v/>
      </c>
      <c r="L445" s="487" t="str">
        <f aca="false">IF($E445="","",$I445-$J445)</f>
        <v/>
      </c>
      <c r="M445" s="484" t="str">
        <f aca="false">IF($E445="","",IF($I445&gt;0,"DEBIT",IF($J445&gt;0,"KREDIT","ZERO")))</f>
        <v/>
      </c>
      <c r="N445" s="484" t="str">
        <f aca="false">IF($E445="","",TEXT($B445,"yyyymmdd")&amp;"-"&amp;TEXT(ROW(),"0000"))</f>
        <v/>
      </c>
      <c r="O445" s="101" t="str">
        <f aca="false">IF($E445="","",$E445&amp;"")</f>
        <v/>
      </c>
      <c r="P445" s="101" t="str">
        <f aca="false">IF(AND($O445&lt;&gt;"",$I445&lt;&gt;0),COUNTIFS($O$2:O445,$O445,$I$2:I445,"&gt;0"),"")</f>
        <v/>
      </c>
      <c r="Q445" s="101" t="str">
        <f aca="false">IF(AND($O445&lt;&gt;"",$J445&lt;&gt;0),COUNTIFS($O$2:O445,$O445,$J$2:J445,"&gt;0"),"")</f>
        <v/>
      </c>
      <c r="R445" s="101" t="str">
        <f aca="false">IF($P445="","",$O445&amp;"|"&amp;$P445)</f>
        <v/>
      </c>
      <c r="S445" s="101" t="str">
        <f aca="false">IF($Q445="","",$O445&amp;"|"&amp;$Q445)</f>
        <v/>
      </c>
      <c r="T445" s="101" t="str">
        <f aca="false">IF($O445="","",COUNTIF($O$2:O445,$O445))</f>
        <v/>
      </c>
      <c r="U445" s="101" t="str">
        <f aca="false">IF($O445="","",$O445&amp;"|"&amp;$T445)</f>
        <v/>
      </c>
      <c r="V445" s="488" t="n">
        <f aca="false">IF(OR(LEFT($D445,5)="MB-CL",LEFT($D445,6)="MB-RES"),0,$I445)</f>
        <v>0</v>
      </c>
      <c r="W445" s="488" t="n">
        <f aca="false">IF(OR(LEFT($D445,5)="MB-CL",LEFT($D445,6)="MB-RES"),0,$J445)</f>
        <v>0</v>
      </c>
      <c r="X445" s="101" t="str">
        <f aca="false">IF($E445="","",LEFT($E445,1))</f>
        <v/>
      </c>
      <c r="Y445" s="101" t="str">
        <f aca="false">IF($E445="","",LEFT($E445,2))</f>
        <v/>
      </c>
      <c r="Z445" s="101" t="str">
        <f aca="false">IF($E445="","",LEFT($E445,3))</f>
        <v/>
      </c>
      <c r="AA445" s="101" t="str">
        <f aca="false">IF($E445="","",LEFT($E445,4))</f>
        <v/>
      </c>
    </row>
    <row r="446" customFormat="false" ht="15" hidden="false" customHeight="true" outlineLevel="0" collapsed="false">
      <c r="A446" s="484" t="str">
        <f aca="false">IF(DITARI!$D450="","",ROW()-1)</f>
        <v/>
      </c>
      <c r="B446" s="485" t="str">
        <f aca="false">IF(DITARI!$D450="","",DITARI!$A450)</f>
        <v/>
      </c>
      <c r="C446" s="484" t="str">
        <f aca="false">IF(DITARI!$D450="","",DITARI!$B450)</f>
        <v/>
      </c>
      <c r="D446" s="484" t="str">
        <f aca="false">IF(DITARI!$D450="","",DITARI!$C450)</f>
        <v/>
      </c>
      <c r="E446" s="484" t="str">
        <f aca="false">IF(DITARI!$D450="","",TRIM(DITARI!$D450&amp;""))</f>
        <v/>
      </c>
      <c r="F446" s="484" t="str">
        <f aca="false">IF($E446="","",IFERROR(VLOOKUP($E446,PLANI_LLOGARIVE!$A:$I,2,FALSE()),DITARI!$E450))</f>
        <v/>
      </c>
      <c r="G446" s="484" t="str">
        <f aca="false">IF($E446="","",DITARI!$I450)</f>
        <v/>
      </c>
      <c r="H446" s="484" t="str">
        <f aca="false">IFERROR(IF($E446="","",DITARI!$H450),"")</f>
        <v/>
      </c>
      <c r="I446" s="487" t="n">
        <f aca="false">IF($E446="",0,IFERROR(DITARI!$F450,0))</f>
        <v>0</v>
      </c>
      <c r="J446" s="487" t="n">
        <f aca="false">IF($E446="",0,IFERROR(DITARI!$G450,0))</f>
        <v>0</v>
      </c>
      <c r="K446" s="484" t="str">
        <f aca="false">IF($E446="","",IFERROR(VLOOKUP($E446,PLANI_LLOGARIVE!$A:$I,9,FALSE()),""))</f>
        <v/>
      </c>
      <c r="L446" s="487" t="str">
        <f aca="false">IF($E446="","",$I446-$J446)</f>
        <v/>
      </c>
      <c r="M446" s="484" t="str">
        <f aca="false">IF($E446="","",IF($I446&gt;0,"DEBIT",IF($J446&gt;0,"KREDIT","ZERO")))</f>
        <v/>
      </c>
      <c r="N446" s="484" t="str">
        <f aca="false">IF($E446="","",TEXT($B446,"yyyymmdd")&amp;"-"&amp;TEXT(ROW(),"0000"))</f>
        <v/>
      </c>
      <c r="O446" s="101" t="str">
        <f aca="false">IF($E446="","",$E446&amp;"")</f>
        <v/>
      </c>
      <c r="P446" s="101" t="str">
        <f aca="false">IF(AND($O446&lt;&gt;"",$I446&lt;&gt;0),COUNTIFS($O$2:O446,$O446,$I$2:I446,"&gt;0"),"")</f>
        <v/>
      </c>
      <c r="Q446" s="101" t="str">
        <f aca="false">IF(AND($O446&lt;&gt;"",$J446&lt;&gt;0),COUNTIFS($O$2:O446,$O446,$J$2:J446,"&gt;0"),"")</f>
        <v/>
      </c>
      <c r="R446" s="101" t="str">
        <f aca="false">IF($P446="","",$O446&amp;"|"&amp;$P446)</f>
        <v/>
      </c>
      <c r="S446" s="101" t="str">
        <f aca="false">IF($Q446="","",$O446&amp;"|"&amp;$Q446)</f>
        <v/>
      </c>
      <c r="T446" s="101" t="str">
        <f aca="false">IF($O446="","",COUNTIF($O$2:O446,$O446))</f>
        <v/>
      </c>
      <c r="U446" s="101" t="str">
        <f aca="false">IF($O446="","",$O446&amp;"|"&amp;$T446)</f>
        <v/>
      </c>
      <c r="V446" s="488" t="n">
        <f aca="false">IF(OR(LEFT($D446,5)="MB-CL",LEFT($D446,6)="MB-RES"),0,$I446)</f>
        <v>0</v>
      </c>
      <c r="W446" s="488" t="n">
        <f aca="false">IF(OR(LEFT($D446,5)="MB-CL",LEFT($D446,6)="MB-RES"),0,$J446)</f>
        <v>0</v>
      </c>
      <c r="X446" s="101" t="str">
        <f aca="false">IF($E446="","",LEFT($E446,1))</f>
        <v/>
      </c>
      <c r="Y446" s="101" t="str">
        <f aca="false">IF($E446="","",LEFT($E446,2))</f>
        <v/>
      </c>
      <c r="Z446" s="101" t="str">
        <f aca="false">IF($E446="","",LEFT($E446,3))</f>
        <v/>
      </c>
      <c r="AA446" s="101" t="str">
        <f aca="false">IF($E446="","",LEFT($E446,4))</f>
        <v/>
      </c>
    </row>
    <row r="447" customFormat="false" ht="15" hidden="false" customHeight="true" outlineLevel="0" collapsed="false">
      <c r="A447" s="484" t="str">
        <f aca="false">IF(DITARI!$D451="","",ROW()-1)</f>
        <v/>
      </c>
      <c r="B447" s="485" t="str">
        <f aca="false">IF(DITARI!$D451="","",DITARI!$A451)</f>
        <v/>
      </c>
      <c r="C447" s="484" t="str">
        <f aca="false">IF(DITARI!$D451="","",DITARI!$B451)</f>
        <v/>
      </c>
      <c r="D447" s="484" t="str">
        <f aca="false">IF(DITARI!$D451="","",DITARI!$C451)</f>
        <v/>
      </c>
      <c r="E447" s="484" t="str">
        <f aca="false">IF(DITARI!$D451="","",TRIM(DITARI!$D451&amp;""))</f>
        <v/>
      </c>
      <c r="F447" s="484" t="str">
        <f aca="false">IF($E447="","",IFERROR(VLOOKUP($E447,PLANI_LLOGARIVE!$A:$I,2,FALSE()),DITARI!$E451))</f>
        <v/>
      </c>
      <c r="G447" s="484" t="str">
        <f aca="false">IF($E447="","",DITARI!$I451)</f>
        <v/>
      </c>
      <c r="H447" s="484" t="str">
        <f aca="false">IFERROR(IF($E447="","",DITARI!$H451),"")</f>
        <v/>
      </c>
      <c r="I447" s="487" t="n">
        <f aca="false">IF($E447="",0,IFERROR(DITARI!$F451,0))</f>
        <v>0</v>
      </c>
      <c r="J447" s="487" t="n">
        <f aca="false">IF($E447="",0,IFERROR(DITARI!$G451,0))</f>
        <v>0</v>
      </c>
      <c r="K447" s="484" t="str">
        <f aca="false">IF($E447="","",IFERROR(VLOOKUP($E447,PLANI_LLOGARIVE!$A:$I,9,FALSE()),""))</f>
        <v/>
      </c>
      <c r="L447" s="487" t="str">
        <f aca="false">IF($E447="","",$I447-$J447)</f>
        <v/>
      </c>
      <c r="M447" s="484" t="str">
        <f aca="false">IF($E447="","",IF($I447&gt;0,"DEBIT",IF($J447&gt;0,"KREDIT","ZERO")))</f>
        <v/>
      </c>
      <c r="N447" s="484" t="str">
        <f aca="false">IF($E447="","",TEXT($B447,"yyyymmdd")&amp;"-"&amp;TEXT(ROW(),"0000"))</f>
        <v/>
      </c>
      <c r="O447" s="101" t="str">
        <f aca="false">IF($E447="","",$E447&amp;"")</f>
        <v/>
      </c>
      <c r="P447" s="101" t="str">
        <f aca="false">IF(AND($O447&lt;&gt;"",$I447&lt;&gt;0),COUNTIFS($O$2:O447,$O447,$I$2:I447,"&gt;0"),"")</f>
        <v/>
      </c>
      <c r="Q447" s="101" t="str">
        <f aca="false">IF(AND($O447&lt;&gt;"",$J447&lt;&gt;0),COUNTIFS($O$2:O447,$O447,$J$2:J447,"&gt;0"),"")</f>
        <v/>
      </c>
      <c r="R447" s="101" t="str">
        <f aca="false">IF($P447="","",$O447&amp;"|"&amp;$P447)</f>
        <v/>
      </c>
      <c r="S447" s="101" t="str">
        <f aca="false">IF($Q447="","",$O447&amp;"|"&amp;$Q447)</f>
        <v/>
      </c>
      <c r="T447" s="101" t="str">
        <f aca="false">IF($O447="","",COUNTIF($O$2:O447,$O447))</f>
        <v/>
      </c>
      <c r="U447" s="101" t="str">
        <f aca="false">IF($O447="","",$O447&amp;"|"&amp;$T447)</f>
        <v/>
      </c>
      <c r="V447" s="488" t="n">
        <f aca="false">IF(OR(LEFT($D447,5)="MB-CL",LEFT($D447,6)="MB-RES"),0,$I447)</f>
        <v>0</v>
      </c>
      <c r="W447" s="488" t="n">
        <f aca="false">IF(OR(LEFT($D447,5)="MB-CL",LEFT($D447,6)="MB-RES"),0,$J447)</f>
        <v>0</v>
      </c>
      <c r="X447" s="101" t="str">
        <f aca="false">IF($E447="","",LEFT($E447,1))</f>
        <v/>
      </c>
      <c r="Y447" s="101" t="str">
        <f aca="false">IF($E447="","",LEFT($E447,2))</f>
        <v/>
      </c>
      <c r="Z447" s="101" t="str">
        <f aca="false">IF($E447="","",LEFT($E447,3))</f>
        <v/>
      </c>
      <c r="AA447" s="101" t="str">
        <f aca="false">IF($E447="","",LEFT($E447,4))</f>
        <v/>
      </c>
    </row>
    <row r="448" customFormat="false" ht="15" hidden="false" customHeight="true" outlineLevel="0" collapsed="false">
      <c r="A448" s="484" t="str">
        <f aca="false">IF(DITARI!$D452="","",ROW()-1)</f>
        <v/>
      </c>
      <c r="B448" s="485" t="str">
        <f aca="false">IF(DITARI!$D452="","",DITARI!$A452)</f>
        <v/>
      </c>
      <c r="C448" s="484" t="str">
        <f aca="false">IF(DITARI!$D452="","",DITARI!$B452)</f>
        <v/>
      </c>
      <c r="D448" s="484" t="str">
        <f aca="false">IF(DITARI!$D452="","",DITARI!$C452)</f>
        <v/>
      </c>
      <c r="E448" s="484" t="str">
        <f aca="false">IF(DITARI!$D452="","",TRIM(DITARI!$D452&amp;""))</f>
        <v/>
      </c>
      <c r="F448" s="484" t="str">
        <f aca="false">IF($E448="","",IFERROR(VLOOKUP($E448,PLANI_LLOGARIVE!$A:$I,2,FALSE()),DITARI!$E452))</f>
        <v/>
      </c>
      <c r="G448" s="484" t="str">
        <f aca="false">IF($E448="","",DITARI!$I452)</f>
        <v/>
      </c>
      <c r="H448" s="484" t="str">
        <f aca="false">IFERROR(IF($E448="","",DITARI!$H452),"")</f>
        <v/>
      </c>
      <c r="I448" s="487" t="n">
        <f aca="false">IF($E448="",0,IFERROR(DITARI!$F452,0))</f>
        <v>0</v>
      </c>
      <c r="J448" s="487" t="n">
        <f aca="false">IF($E448="",0,IFERROR(DITARI!$G452,0))</f>
        <v>0</v>
      </c>
      <c r="K448" s="484" t="str">
        <f aca="false">IF($E448="","",IFERROR(VLOOKUP($E448,PLANI_LLOGARIVE!$A:$I,9,FALSE()),""))</f>
        <v/>
      </c>
      <c r="L448" s="487" t="str">
        <f aca="false">IF($E448="","",$I448-$J448)</f>
        <v/>
      </c>
      <c r="M448" s="484" t="str">
        <f aca="false">IF($E448="","",IF($I448&gt;0,"DEBIT",IF($J448&gt;0,"KREDIT","ZERO")))</f>
        <v/>
      </c>
      <c r="N448" s="484" t="str">
        <f aca="false">IF($E448="","",TEXT($B448,"yyyymmdd")&amp;"-"&amp;TEXT(ROW(),"0000"))</f>
        <v/>
      </c>
      <c r="O448" s="101" t="str">
        <f aca="false">IF($E448="","",$E448&amp;"")</f>
        <v/>
      </c>
      <c r="P448" s="101" t="str">
        <f aca="false">IF(AND($O448&lt;&gt;"",$I448&lt;&gt;0),COUNTIFS($O$2:O448,$O448,$I$2:I448,"&gt;0"),"")</f>
        <v/>
      </c>
      <c r="Q448" s="101" t="str">
        <f aca="false">IF(AND($O448&lt;&gt;"",$J448&lt;&gt;0),COUNTIFS($O$2:O448,$O448,$J$2:J448,"&gt;0"),"")</f>
        <v/>
      </c>
      <c r="R448" s="101" t="str">
        <f aca="false">IF($P448="","",$O448&amp;"|"&amp;$P448)</f>
        <v/>
      </c>
      <c r="S448" s="101" t="str">
        <f aca="false">IF($Q448="","",$O448&amp;"|"&amp;$Q448)</f>
        <v/>
      </c>
      <c r="T448" s="101" t="str">
        <f aca="false">IF($O448="","",COUNTIF($O$2:O448,$O448))</f>
        <v/>
      </c>
      <c r="U448" s="101" t="str">
        <f aca="false">IF($O448="","",$O448&amp;"|"&amp;$T448)</f>
        <v/>
      </c>
      <c r="V448" s="488" t="n">
        <f aca="false">IF(OR(LEFT($D448,5)="MB-CL",LEFT($D448,6)="MB-RES"),0,$I448)</f>
        <v>0</v>
      </c>
      <c r="W448" s="488" t="n">
        <f aca="false">IF(OR(LEFT($D448,5)="MB-CL",LEFT($D448,6)="MB-RES"),0,$J448)</f>
        <v>0</v>
      </c>
      <c r="X448" s="101" t="str">
        <f aca="false">IF($E448="","",LEFT($E448,1))</f>
        <v/>
      </c>
      <c r="Y448" s="101" t="str">
        <f aca="false">IF($E448="","",LEFT($E448,2))</f>
        <v/>
      </c>
      <c r="Z448" s="101" t="str">
        <f aca="false">IF($E448="","",LEFT($E448,3))</f>
        <v/>
      </c>
      <c r="AA448" s="101" t="str">
        <f aca="false">IF($E448="","",LEFT($E448,4))</f>
        <v/>
      </c>
    </row>
    <row r="449" customFormat="false" ht="15" hidden="false" customHeight="true" outlineLevel="0" collapsed="false">
      <c r="A449" s="484" t="str">
        <f aca="false">IF(DITARI!$D453="","",ROW()-1)</f>
        <v/>
      </c>
      <c r="B449" s="485" t="str">
        <f aca="false">IF(DITARI!$D453="","",DITARI!$A453)</f>
        <v/>
      </c>
      <c r="C449" s="484" t="str">
        <f aca="false">IF(DITARI!$D453="","",DITARI!$B453)</f>
        <v/>
      </c>
      <c r="D449" s="484" t="str">
        <f aca="false">IF(DITARI!$D453="","",DITARI!$C453)</f>
        <v/>
      </c>
      <c r="E449" s="484" t="str">
        <f aca="false">IF(DITARI!$D453="","",TRIM(DITARI!$D453&amp;""))</f>
        <v/>
      </c>
      <c r="F449" s="484" t="str">
        <f aca="false">IF($E449="","",IFERROR(VLOOKUP($E449,PLANI_LLOGARIVE!$A:$I,2,FALSE()),DITARI!$E453))</f>
        <v/>
      </c>
      <c r="G449" s="484" t="str">
        <f aca="false">IF($E449="","",DITARI!$I453)</f>
        <v/>
      </c>
      <c r="H449" s="484" t="str">
        <f aca="false">IFERROR(IF($E449="","",DITARI!$H453),"")</f>
        <v/>
      </c>
      <c r="I449" s="487" t="n">
        <f aca="false">IF($E449="",0,IFERROR(DITARI!$F453,0))</f>
        <v>0</v>
      </c>
      <c r="J449" s="487" t="n">
        <f aca="false">IF($E449="",0,IFERROR(DITARI!$G453,0))</f>
        <v>0</v>
      </c>
      <c r="K449" s="484" t="str">
        <f aca="false">IF($E449="","",IFERROR(VLOOKUP($E449,PLANI_LLOGARIVE!$A:$I,9,FALSE()),""))</f>
        <v/>
      </c>
      <c r="L449" s="487" t="str">
        <f aca="false">IF($E449="","",$I449-$J449)</f>
        <v/>
      </c>
      <c r="M449" s="484" t="str">
        <f aca="false">IF($E449="","",IF($I449&gt;0,"DEBIT",IF($J449&gt;0,"KREDIT","ZERO")))</f>
        <v/>
      </c>
      <c r="N449" s="484" t="str">
        <f aca="false">IF($E449="","",TEXT($B449,"yyyymmdd")&amp;"-"&amp;TEXT(ROW(),"0000"))</f>
        <v/>
      </c>
      <c r="O449" s="101" t="str">
        <f aca="false">IF($E449="","",$E449&amp;"")</f>
        <v/>
      </c>
      <c r="P449" s="101" t="str">
        <f aca="false">IF(AND($O449&lt;&gt;"",$I449&lt;&gt;0),COUNTIFS($O$2:O449,$O449,$I$2:I449,"&gt;0"),"")</f>
        <v/>
      </c>
      <c r="Q449" s="101" t="str">
        <f aca="false">IF(AND($O449&lt;&gt;"",$J449&lt;&gt;0),COUNTIFS($O$2:O449,$O449,$J$2:J449,"&gt;0"),"")</f>
        <v/>
      </c>
      <c r="R449" s="101" t="str">
        <f aca="false">IF($P449="","",$O449&amp;"|"&amp;$P449)</f>
        <v/>
      </c>
      <c r="S449" s="101" t="str">
        <f aca="false">IF($Q449="","",$O449&amp;"|"&amp;$Q449)</f>
        <v/>
      </c>
      <c r="T449" s="101" t="str">
        <f aca="false">IF($O449="","",COUNTIF($O$2:O449,$O449))</f>
        <v/>
      </c>
      <c r="U449" s="101" t="str">
        <f aca="false">IF($O449="","",$O449&amp;"|"&amp;$T449)</f>
        <v/>
      </c>
      <c r="V449" s="488" t="n">
        <f aca="false">IF(OR(LEFT($D449,5)="MB-CL",LEFT($D449,6)="MB-RES"),0,$I449)</f>
        <v>0</v>
      </c>
      <c r="W449" s="488" t="n">
        <f aca="false">IF(OR(LEFT($D449,5)="MB-CL",LEFT($D449,6)="MB-RES"),0,$J449)</f>
        <v>0</v>
      </c>
      <c r="X449" s="101" t="str">
        <f aca="false">IF($E449="","",LEFT($E449,1))</f>
        <v/>
      </c>
      <c r="Y449" s="101" t="str">
        <f aca="false">IF($E449="","",LEFT($E449,2))</f>
        <v/>
      </c>
      <c r="Z449" s="101" t="str">
        <f aca="false">IF($E449="","",LEFT($E449,3))</f>
        <v/>
      </c>
      <c r="AA449" s="101" t="str">
        <f aca="false">IF($E449="","",LEFT($E449,4))</f>
        <v/>
      </c>
    </row>
    <row r="450" customFormat="false" ht="15" hidden="false" customHeight="true" outlineLevel="0" collapsed="false">
      <c r="A450" s="484" t="str">
        <f aca="false">IF(DITARI!$D454="","",ROW()-1)</f>
        <v/>
      </c>
      <c r="B450" s="485" t="str">
        <f aca="false">IF(DITARI!$D454="","",DITARI!$A454)</f>
        <v/>
      </c>
      <c r="C450" s="484" t="str">
        <f aca="false">IF(DITARI!$D454="","",DITARI!$B454)</f>
        <v/>
      </c>
      <c r="D450" s="484" t="str">
        <f aca="false">IF(DITARI!$D454="","",DITARI!$C454)</f>
        <v/>
      </c>
      <c r="E450" s="484" t="str">
        <f aca="false">IF(DITARI!$D454="","",TRIM(DITARI!$D454&amp;""))</f>
        <v/>
      </c>
      <c r="F450" s="484" t="str">
        <f aca="false">IF($E450="","",IFERROR(VLOOKUP($E450,PLANI_LLOGARIVE!$A:$I,2,FALSE()),DITARI!$E454))</f>
        <v/>
      </c>
      <c r="G450" s="484" t="str">
        <f aca="false">IF($E450="","",DITARI!$I454)</f>
        <v/>
      </c>
      <c r="H450" s="484" t="str">
        <f aca="false">IFERROR(IF($E450="","",DITARI!$H454),"")</f>
        <v/>
      </c>
      <c r="I450" s="487" t="n">
        <f aca="false">IF($E450="",0,IFERROR(DITARI!$F454,0))</f>
        <v>0</v>
      </c>
      <c r="J450" s="487" t="n">
        <f aca="false">IF($E450="",0,IFERROR(DITARI!$G454,0))</f>
        <v>0</v>
      </c>
      <c r="K450" s="484" t="str">
        <f aca="false">IF($E450="","",IFERROR(VLOOKUP($E450,PLANI_LLOGARIVE!$A:$I,9,FALSE()),""))</f>
        <v/>
      </c>
      <c r="L450" s="487" t="str">
        <f aca="false">IF($E450="","",$I450-$J450)</f>
        <v/>
      </c>
      <c r="M450" s="484" t="str">
        <f aca="false">IF($E450="","",IF($I450&gt;0,"DEBIT",IF($J450&gt;0,"KREDIT","ZERO")))</f>
        <v/>
      </c>
      <c r="N450" s="484" t="str">
        <f aca="false">IF($E450="","",TEXT($B450,"yyyymmdd")&amp;"-"&amp;TEXT(ROW(),"0000"))</f>
        <v/>
      </c>
      <c r="O450" s="101" t="str">
        <f aca="false">IF($E450="","",$E450&amp;"")</f>
        <v/>
      </c>
      <c r="P450" s="101" t="str">
        <f aca="false">IF(AND($O450&lt;&gt;"",$I450&lt;&gt;0),COUNTIFS($O$2:O450,$O450,$I$2:I450,"&gt;0"),"")</f>
        <v/>
      </c>
      <c r="Q450" s="101" t="str">
        <f aca="false">IF(AND($O450&lt;&gt;"",$J450&lt;&gt;0),COUNTIFS($O$2:O450,$O450,$J$2:J450,"&gt;0"),"")</f>
        <v/>
      </c>
      <c r="R450" s="101" t="str">
        <f aca="false">IF($P450="","",$O450&amp;"|"&amp;$P450)</f>
        <v/>
      </c>
      <c r="S450" s="101" t="str">
        <f aca="false">IF($Q450="","",$O450&amp;"|"&amp;$Q450)</f>
        <v/>
      </c>
      <c r="T450" s="101" t="str">
        <f aca="false">IF($O450="","",COUNTIF($O$2:O450,$O450))</f>
        <v/>
      </c>
      <c r="U450" s="101" t="str">
        <f aca="false">IF($O450="","",$O450&amp;"|"&amp;$T450)</f>
        <v/>
      </c>
      <c r="V450" s="488" t="n">
        <f aca="false">IF(OR(LEFT($D450,5)="MB-CL",LEFT($D450,6)="MB-RES"),0,$I450)</f>
        <v>0</v>
      </c>
      <c r="W450" s="488" t="n">
        <f aca="false">IF(OR(LEFT($D450,5)="MB-CL",LEFT($D450,6)="MB-RES"),0,$J450)</f>
        <v>0</v>
      </c>
      <c r="X450" s="101" t="str">
        <f aca="false">IF($E450="","",LEFT($E450,1))</f>
        <v/>
      </c>
      <c r="Y450" s="101" t="str">
        <f aca="false">IF($E450="","",LEFT($E450,2))</f>
        <v/>
      </c>
      <c r="Z450" s="101" t="str">
        <f aca="false">IF($E450="","",LEFT($E450,3))</f>
        <v/>
      </c>
      <c r="AA450" s="101" t="str">
        <f aca="false">IF($E450="","",LEFT($E450,4))</f>
        <v/>
      </c>
    </row>
    <row r="451" customFormat="false" ht="15" hidden="false" customHeight="true" outlineLevel="0" collapsed="false">
      <c r="A451" s="484" t="str">
        <f aca="false">IF(DITARI!$D455="","",ROW()-1)</f>
        <v/>
      </c>
      <c r="B451" s="485" t="str">
        <f aca="false">IF(DITARI!$D455="","",DITARI!$A455)</f>
        <v/>
      </c>
      <c r="C451" s="484" t="str">
        <f aca="false">IF(DITARI!$D455="","",DITARI!$B455)</f>
        <v/>
      </c>
      <c r="D451" s="484" t="str">
        <f aca="false">IF(DITARI!$D455="","",DITARI!$C455)</f>
        <v/>
      </c>
      <c r="E451" s="484" t="str">
        <f aca="false">IF(DITARI!$D455="","",TRIM(DITARI!$D455&amp;""))</f>
        <v/>
      </c>
      <c r="F451" s="484" t="str">
        <f aca="false">IF($E451="","",IFERROR(VLOOKUP($E451,PLANI_LLOGARIVE!$A:$I,2,FALSE()),DITARI!$E455))</f>
        <v/>
      </c>
      <c r="G451" s="484" t="str">
        <f aca="false">IF($E451="","",DITARI!$I455)</f>
        <v/>
      </c>
      <c r="H451" s="484" t="str">
        <f aca="false">IFERROR(IF($E451="","",DITARI!$H455),"")</f>
        <v/>
      </c>
      <c r="I451" s="487" t="n">
        <f aca="false">IF($E451="",0,IFERROR(DITARI!$F455,0))</f>
        <v>0</v>
      </c>
      <c r="J451" s="487" t="n">
        <f aca="false">IF($E451="",0,IFERROR(DITARI!$G455,0))</f>
        <v>0</v>
      </c>
      <c r="K451" s="484" t="str">
        <f aca="false">IF($E451="","",IFERROR(VLOOKUP($E451,PLANI_LLOGARIVE!$A:$I,9,FALSE()),""))</f>
        <v/>
      </c>
      <c r="L451" s="487" t="str">
        <f aca="false">IF($E451="","",$I451-$J451)</f>
        <v/>
      </c>
      <c r="M451" s="484" t="str">
        <f aca="false">IF($E451="","",IF($I451&gt;0,"DEBIT",IF($J451&gt;0,"KREDIT","ZERO")))</f>
        <v/>
      </c>
      <c r="N451" s="484" t="str">
        <f aca="false">IF($E451="","",TEXT($B451,"yyyymmdd")&amp;"-"&amp;TEXT(ROW(),"0000"))</f>
        <v/>
      </c>
      <c r="O451" s="101" t="str">
        <f aca="false">IF($E451="","",$E451&amp;"")</f>
        <v/>
      </c>
      <c r="P451" s="101" t="str">
        <f aca="false">IF(AND($O451&lt;&gt;"",$I451&lt;&gt;0),COUNTIFS($O$2:O451,$O451,$I$2:I451,"&gt;0"),"")</f>
        <v/>
      </c>
      <c r="Q451" s="101" t="str">
        <f aca="false">IF(AND($O451&lt;&gt;"",$J451&lt;&gt;0),COUNTIFS($O$2:O451,$O451,$J$2:J451,"&gt;0"),"")</f>
        <v/>
      </c>
      <c r="R451" s="101" t="str">
        <f aca="false">IF($P451="","",$O451&amp;"|"&amp;$P451)</f>
        <v/>
      </c>
      <c r="S451" s="101" t="str">
        <f aca="false">IF($Q451="","",$O451&amp;"|"&amp;$Q451)</f>
        <v/>
      </c>
      <c r="T451" s="101" t="str">
        <f aca="false">IF($O451="","",COUNTIF($O$2:O451,$O451))</f>
        <v/>
      </c>
      <c r="U451" s="101" t="str">
        <f aca="false">IF($O451="","",$O451&amp;"|"&amp;$T451)</f>
        <v/>
      </c>
      <c r="V451" s="488" t="n">
        <f aca="false">IF(OR(LEFT($D451,5)="MB-CL",LEFT($D451,6)="MB-RES"),0,$I451)</f>
        <v>0</v>
      </c>
      <c r="W451" s="488" t="n">
        <f aca="false">IF(OR(LEFT($D451,5)="MB-CL",LEFT($D451,6)="MB-RES"),0,$J451)</f>
        <v>0</v>
      </c>
      <c r="X451" s="101" t="str">
        <f aca="false">IF($E451="","",LEFT($E451,1))</f>
        <v/>
      </c>
      <c r="Y451" s="101" t="str">
        <f aca="false">IF($E451="","",LEFT($E451,2))</f>
        <v/>
      </c>
      <c r="Z451" s="101" t="str">
        <f aca="false">IF($E451="","",LEFT($E451,3))</f>
        <v/>
      </c>
      <c r="AA451" s="101" t="str">
        <f aca="false">IF($E451="","",LEFT($E451,4))</f>
        <v/>
      </c>
    </row>
    <row r="452" customFormat="false" ht="15" hidden="false" customHeight="true" outlineLevel="0" collapsed="false">
      <c r="A452" s="484" t="str">
        <f aca="false">IF(DITARI!$D456="","",ROW()-1)</f>
        <v/>
      </c>
      <c r="B452" s="485" t="str">
        <f aca="false">IF(DITARI!$D456="","",DITARI!$A456)</f>
        <v/>
      </c>
      <c r="C452" s="484" t="str">
        <f aca="false">IF(DITARI!$D456="","",DITARI!$B456)</f>
        <v/>
      </c>
      <c r="D452" s="484" t="str">
        <f aca="false">IF(DITARI!$D456="","",DITARI!$C456)</f>
        <v/>
      </c>
      <c r="E452" s="484" t="str">
        <f aca="false">IF(DITARI!$D456="","",TRIM(DITARI!$D456&amp;""))</f>
        <v/>
      </c>
      <c r="F452" s="484" t="str">
        <f aca="false">IF($E452="","",IFERROR(VLOOKUP($E452,PLANI_LLOGARIVE!$A:$I,2,FALSE()),DITARI!$E456))</f>
        <v/>
      </c>
      <c r="G452" s="484" t="str">
        <f aca="false">IF($E452="","",DITARI!$I456)</f>
        <v/>
      </c>
      <c r="H452" s="484" t="str">
        <f aca="false">IFERROR(IF($E452="","",DITARI!$H456),"")</f>
        <v/>
      </c>
      <c r="I452" s="487" t="n">
        <f aca="false">IF($E452="",0,IFERROR(DITARI!$F456,0))</f>
        <v>0</v>
      </c>
      <c r="J452" s="487" t="n">
        <f aca="false">IF($E452="",0,IFERROR(DITARI!$G456,0))</f>
        <v>0</v>
      </c>
      <c r="K452" s="484" t="str">
        <f aca="false">IF($E452="","",IFERROR(VLOOKUP($E452,PLANI_LLOGARIVE!$A:$I,9,FALSE()),""))</f>
        <v/>
      </c>
      <c r="L452" s="487" t="str">
        <f aca="false">IF($E452="","",$I452-$J452)</f>
        <v/>
      </c>
      <c r="M452" s="484" t="str">
        <f aca="false">IF($E452="","",IF($I452&gt;0,"DEBIT",IF($J452&gt;0,"KREDIT","ZERO")))</f>
        <v/>
      </c>
      <c r="N452" s="484" t="str">
        <f aca="false">IF($E452="","",TEXT($B452,"yyyymmdd")&amp;"-"&amp;TEXT(ROW(),"0000"))</f>
        <v/>
      </c>
      <c r="O452" s="101" t="str">
        <f aca="false">IF($E452="","",$E452&amp;"")</f>
        <v/>
      </c>
      <c r="P452" s="101" t="str">
        <f aca="false">IF(AND($O452&lt;&gt;"",$I452&lt;&gt;0),COUNTIFS($O$2:O452,$O452,$I$2:I452,"&gt;0"),"")</f>
        <v/>
      </c>
      <c r="Q452" s="101" t="str">
        <f aca="false">IF(AND($O452&lt;&gt;"",$J452&lt;&gt;0),COUNTIFS($O$2:O452,$O452,$J$2:J452,"&gt;0"),"")</f>
        <v/>
      </c>
      <c r="R452" s="101" t="str">
        <f aca="false">IF($P452="","",$O452&amp;"|"&amp;$P452)</f>
        <v/>
      </c>
      <c r="S452" s="101" t="str">
        <f aca="false">IF($Q452="","",$O452&amp;"|"&amp;$Q452)</f>
        <v/>
      </c>
      <c r="T452" s="101" t="str">
        <f aca="false">IF($O452="","",COUNTIF($O$2:O452,$O452))</f>
        <v/>
      </c>
      <c r="U452" s="101" t="str">
        <f aca="false">IF($O452="","",$O452&amp;"|"&amp;$T452)</f>
        <v/>
      </c>
      <c r="V452" s="488" t="n">
        <f aca="false">IF(OR(LEFT($D452,5)="MB-CL",LEFT($D452,6)="MB-RES"),0,$I452)</f>
        <v>0</v>
      </c>
      <c r="W452" s="488" t="n">
        <f aca="false">IF(OR(LEFT($D452,5)="MB-CL",LEFT($D452,6)="MB-RES"),0,$J452)</f>
        <v>0</v>
      </c>
      <c r="X452" s="101" t="str">
        <f aca="false">IF($E452="","",LEFT($E452,1))</f>
        <v/>
      </c>
      <c r="Y452" s="101" t="str">
        <f aca="false">IF($E452="","",LEFT($E452,2))</f>
        <v/>
      </c>
      <c r="Z452" s="101" t="str">
        <f aca="false">IF($E452="","",LEFT($E452,3))</f>
        <v/>
      </c>
      <c r="AA452" s="101" t="str">
        <f aca="false">IF($E452="","",LEFT($E452,4))</f>
        <v/>
      </c>
    </row>
    <row r="453" customFormat="false" ht="15" hidden="false" customHeight="true" outlineLevel="0" collapsed="false">
      <c r="A453" s="484" t="str">
        <f aca="false">IF(DITARI!$D457="","",ROW()-1)</f>
        <v/>
      </c>
      <c r="B453" s="485" t="str">
        <f aca="false">IF(DITARI!$D457="","",DITARI!$A457)</f>
        <v/>
      </c>
      <c r="C453" s="484" t="str">
        <f aca="false">IF(DITARI!$D457="","",DITARI!$B457)</f>
        <v/>
      </c>
      <c r="D453" s="484" t="str">
        <f aca="false">IF(DITARI!$D457="","",DITARI!$C457)</f>
        <v/>
      </c>
      <c r="E453" s="484" t="str">
        <f aca="false">IF(DITARI!$D457="","",TRIM(DITARI!$D457&amp;""))</f>
        <v/>
      </c>
      <c r="F453" s="484" t="str">
        <f aca="false">IF($E453="","",IFERROR(VLOOKUP($E453,PLANI_LLOGARIVE!$A:$I,2,FALSE()),DITARI!$E457))</f>
        <v/>
      </c>
      <c r="G453" s="484" t="str">
        <f aca="false">IF($E453="","",DITARI!$I457)</f>
        <v/>
      </c>
      <c r="H453" s="484" t="str">
        <f aca="false">IFERROR(IF($E453="","",DITARI!$H457),"")</f>
        <v/>
      </c>
      <c r="I453" s="487" t="n">
        <f aca="false">IF($E453="",0,IFERROR(DITARI!$F457,0))</f>
        <v>0</v>
      </c>
      <c r="J453" s="487" t="n">
        <f aca="false">IF($E453="",0,IFERROR(DITARI!$G457,0))</f>
        <v>0</v>
      </c>
      <c r="K453" s="484" t="str">
        <f aca="false">IF($E453="","",IFERROR(VLOOKUP($E453,PLANI_LLOGARIVE!$A:$I,9,FALSE()),""))</f>
        <v/>
      </c>
      <c r="L453" s="487" t="str">
        <f aca="false">IF($E453="","",$I453-$J453)</f>
        <v/>
      </c>
      <c r="M453" s="484" t="str">
        <f aca="false">IF($E453="","",IF($I453&gt;0,"DEBIT",IF($J453&gt;0,"KREDIT","ZERO")))</f>
        <v/>
      </c>
      <c r="N453" s="484" t="str">
        <f aca="false">IF($E453="","",TEXT($B453,"yyyymmdd")&amp;"-"&amp;TEXT(ROW(),"0000"))</f>
        <v/>
      </c>
      <c r="O453" s="101" t="str">
        <f aca="false">IF($E453="","",$E453&amp;"")</f>
        <v/>
      </c>
      <c r="P453" s="101" t="str">
        <f aca="false">IF(AND($O453&lt;&gt;"",$I453&lt;&gt;0),COUNTIFS($O$2:O453,$O453,$I$2:I453,"&gt;0"),"")</f>
        <v/>
      </c>
      <c r="Q453" s="101" t="str">
        <f aca="false">IF(AND($O453&lt;&gt;"",$J453&lt;&gt;0),COUNTIFS($O$2:O453,$O453,$J$2:J453,"&gt;0"),"")</f>
        <v/>
      </c>
      <c r="R453" s="101" t="str">
        <f aca="false">IF($P453="","",$O453&amp;"|"&amp;$P453)</f>
        <v/>
      </c>
      <c r="S453" s="101" t="str">
        <f aca="false">IF($Q453="","",$O453&amp;"|"&amp;$Q453)</f>
        <v/>
      </c>
      <c r="T453" s="101" t="str">
        <f aca="false">IF($O453="","",COUNTIF($O$2:O453,$O453))</f>
        <v/>
      </c>
      <c r="U453" s="101" t="str">
        <f aca="false">IF($O453="","",$O453&amp;"|"&amp;$T453)</f>
        <v/>
      </c>
      <c r="V453" s="488" t="n">
        <f aca="false">IF(OR(LEFT($D453,5)="MB-CL",LEFT($D453,6)="MB-RES"),0,$I453)</f>
        <v>0</v>
      </c>
      <c r="W453" s="488" t="n">
        <f aca="false">IF(OR(LEFT($D453,5)="MB-CL",LEFT($D453,6)="MB-RES"),0,$J453)</f>
        <v>0</v>
      </c>
      <c r="X453" s="101" t="str">
        <f aca="false">IF($E453="","",LEFT($E453,1))</f>
        <v/>
      </c>
      <c r="Y453" s="101" t="str">
        <f aca="false">IF($E453="","",LEFT($E453,2))</f>
        <v/>
      </c>
      <c r="Z453" s="101" t="str">
        <f aca="false">IF($E453="","",LEFT($E453,3))</f>
        <v/>
      </c>
      <c r="AA453" s="101" t="str">
        <f aca="false">IF($E453="","",LEFT($E453,4))</f>
        <v/>
      </c>
    </row>
    <row r="454" customFormat="false" ht="15" hidden="false" customHeight="true" outlineLevel="0" collapsed="false">
      <c r="A454" s="484" t="str">
        <f aca="false">IF(DITARI!$D458="","",ROW()-1)</f>
        <v/>
      </c>
      <c r="B454" s="485" t="str">
        <f aca="false">IF(DITARI!$D458="","",DITARI!$A458)</f>
        <v/>
      </c>
      <c r="C454" s="484" t="str">
        <f aca="false">IF(DITARI!$D458="","",DITARI!$B458)</f>
        <v/>
      </c>
      <c r="D454" s="484" t="str">
        <f aca="false">IF(DITARI!$D458="","",DITARI!$C458)</f>
        <v/>
      </c>
      <c r="E454" s="484" t="str">
        <f aca="false">IF(DITARI!$D458="","",TRIM(DITARI!$D458&amp;""))</f>
        <v/>
      </c>
      <c r="F454" s="484" t="str">
        <f aca="false">IF($E454="","",IFERROR(VLOOKUP($E454,PLANI_LLOGARIVE!$A:$I,2,FALSE()),DITARI!$E458))</f>
        <v/>
      </c>
      <c r="G454" s="484" t="str">
        <f aca="false">IF($E454="","",DITARI!$I458)</f>
        <v/>
      </c>
      <c r="H454" s="484" t="str">
        <f aca="false">IFERROR(IF($E454="","",DITARI!$H458),"")</f>
        <v/>
      </c>
      <c r="I454" s="487" t="n">
        <f aca="false">IF($E454="",0,IFERROR(DITARI!$F458,0))</f>
        <v>0</v>
      </c>
      <c r="J454" s="487" t="n">
        <f aca="false">IF($E454="",0,IFERROR(DITARI!$G458,0))</f>
        <v>0</v>
      </c>
      <c r="K454" s="484" t="str">
        <f aca="false">IF($E454="","",IFERROR(VLOOKUP($E454,PLANI_LLOGARIVE!$A:$I,9,FALSE()),""))</f>
        <v/>
      </c>
      <c r="L454" s="487" t="str">
        <f aca="false">IF($E454="","",$I454-$J454)</f>
        <v/>
      </c>
      <c r="M454" s="484" t="str">
        <f aca="false">IF($E454="","",IF($I454&gt;0,"DEBIT",IF($J454&gt;0,"KREDIT","ZERO")))</f>
        <v/>
      </c>
      <c r="N454" s="484" t="str">
        <f aca="false">IF($E454="","",TEXT($B454,"yyyymmdd")&amp;"-"&amp;TEXT(ROW(),"0000"))</f>
        <v/>
      </c>
      <c r="O454" s="101" t="str">
        <f aca="false">IF($E454="","",$E454&amp;"")</f>
        <v/>
      </c>
      <c r="P454" s="101" t="str">
        <f aca="false">IF(AND($O454&lt;&gt;"",$I454&lt;&gt;0),COUNTIFS($O$2:O454,$O454,$I$2:I454,"&gt;0"),"")</f>
        <v/>
      </c>
      <c r="Q454" s="101" t="str">
        <f aca="false">IF(AND($O454&lt;&gt;"",$J454&lt;&gt;0),COUNTIFS($O$2:O454,$O454,$J$2:J454,"&gt;0"),"")</f>
        <v/>
      </c>
      <c r="R454" s="101" t="str">
        <f aca="false">IF($P454="","",$O454&amp;"|"&amp;$P454)</f>
        <v/>
      </c>
      <c r="S454" s="101" t="str">
        <f aca="false">IF($Q454="","",$O454&amp;"|"&amp;$Q454)</f>
        <v/>
      </c>
      <c r="T454" s="101" t="str">
        <f aca="false">IF($O454="","",COUNTIF($O$2:O454,$O454))</f>
        <v/>
      </c>
      <c r="U454" s="101" t="str">
        <f aca="false">IF($O454="","",$O454&amp;"|"&amp;$T454)</f>
        <v/>
      </c>
      <c r="V454" s="488" t="n">
        <f aca="false">IF(OR(LEFT($D454,5)="MB-CL",LEFT($D454,6)="MB-RES"),0,$I454)</f>
        <v>0</v>
      </c>
      <c r="W454" s="488" t="n">
        <f aca="false">IF(OR(LEFT($D454,5)="MB-CL",LEFT($D454,6)="MB-RES"),0,$J454)</f>
        <v>0</v>
      </c>
      <c r="X454" s="101" t="str">
        <f aca="false">IF($E454="","",LEFT($E454,1))</f>
        <v/>
      </c>
      <c r="Y454" s="101" t="str">
        <f aca="false">IF($E454="","",LEFT($E454,2))</f>
        <v/>
      </c>
      <c r="Z454" s="101" t="str">
        <f aca="false">IF($E454="","",LEFT($E454,3))</f>
        <v/>
      </c>
      <c r="AA454" s="101" t="str">
        <f aca="false">IF($E454="","",LEFT($E454,4))</f>
        <v/>
      </c>
    </row>
    <row r="455" customFormat="false" ht="15" hidden="false" customHeight="true" outlineLevel="0" collapsed="false">
      <c r="A455" s="484" t="str">
        <f aca="false">IF(DITARI!$D459="","",ROW()-1)</f>
        <v/>
      </c>
      <c r="B455" s="485" t="str">
        <f aca="false">IF(DITARI!$D459="","",DITARI!$A459)</f>
        <v/>
      </c>
      <c r="C455" s="484" t="str">
        <f aca="false">IF(DITARI!$D459="","",DITARI!$B459)</f>
        <v/>
      </c>
      <c r="D455" s="484" t="str">
        <f aca="false">IF(DITARI!$D459="","",DITARI!$C459)</f>
        <v/>
      </c>
      <c r="E455" s="484" t="str">
        <f aca="false">IF(DITARI!$D459="","",TRIM(DITARI!$D459&amp;""))</f>
        <v/>
      </c>
      <c r="F455" s="484" t="str">
        <f aca="false">IF($E455="","",IFERROR(VLOOKUP($E455,PLANI_LLOGARIVE!$A:$I,2,FALSE()),DITARI!$E459))</f>
        <v/>
      </c>
      <c r="G455" s="484" t="str">
        <f aca="false">IF($E455="","",DITARI!$I459)</f>
        <v/>
      </c>
      <c r="H455" s="484" t="str">
        <f aca="false">IFERROR(IF($E455="","",DITARI!$H459),"")</f>
        <v/>
      </c>
      <c r="I455" s="487" t="n">
        <f aca="false">IF($E455="",0,IFERROR(DITARI!$F459,0))</f>
        <v>0</v>
      </c>
      <c r="J455" s="487" t="n">
        <f aca="false">IF($E455="",0,IFERROR(DITARI!$G459,0))</f>
        <v>0</v>
      </c>
      <c r="K455" s="484" t="str">
        <f aca="false">IF($E455="","",IFERROR(VLOOKUP($E455,PLANI_LLOGARIVE!$A:$I,9,FALSE()),""))</f>
        <v/>
      </c>
      <c r="L455" s="487" t="str">
        <f aca="false">IF($E455="","",$I455-$J455)</f>
        <v/>
      </c>
      <c r="M455" s="484" t="str">
        <f aca="false">IF($E455="","",IF($I455&gt;0,"DEBIT",IF($J455&gt;0,"KREDIT","ZERO")))</f>
        <v/>
      </c>
      <c r="N455" s="484" t="str">
        <f aca="false">IF($E455="","",TEXT($B455,"yyyymmdd")&amp;"-"&amp;TEXT(ROW(),"0000"))</f>
        <v/>
      </c>
      <c r="O455" s="101" t="str">
        <f aca="false">IF($E455="","",$E455&amp;"")</f>
        <v/>
      </c>
      <c r="P455" s="101" t="str">
        <f aca="false">IF(AND($O455&lt;&gt;"",$I455&lt;&gt;0),COUNTIFS($O$2:O455,$O455,$I$2:I455,"&gt;0"),"")</f>
        <v/>
      </c>
      <c r="Q455" s="101" t="str">
        <f aca="false">IF(AND($O455&lt;&gt;"",$J455&lt;&gt;0),COUNTIFS($O$2:O455,$O455,$J$2:J455,"&gt;0"),"")</f>
        <v/>
      </c>
      <c r="R455" s="101" t="str">
        <f aca="false">IF($P455="","",$O455&amp;"|"&amp;$P455)</f>
        <v/>
      </c>
      <c r="S455" s="101" t="str">
        <f aca="false">IF($Q455="","",$O455&amp;"|"&amp;$Q455)</f>
        <v/>
      </c>
      <c r="T455" s="101" t="str">
        <f aca="false">IF($O455="","",COUNTIF($O$2:O455,$O455))</f>
        <v/>
      </c>
      <c r="U455" s="101" t="str">
        <f aca="false">IF($O455="","",$O455&amp;"|"&amp;$T455)</f>
        <v/>
      </c>
      <c r="V455" s="488" t="n">
        <f aca="false">IF(OR(LEFT($D455,5)="MB-CL",LEFT($D455,6)="MB-RES"),0,$I455)</f>
        <v>0</v>
      </c>
      <c r="W455" s="488" t="n">
        <f aca="false">IF(OR(LEFT($D455,5)="MB-CL",LEFT($D455,6)="MB-RES"),0,$J455)</f>
        <v>0</v>
      </c>
      <c r="X455" s="101" t="str">
        <f aca="false">IF($E455="","",LEFT($E455,1))</f>
        <v/>
      </c>
      <c r="Y455" s="101" t="str">
        <f aca="false">IF($E455="","",LEFT($E455,2))</f>
        <v/>
      </c>
      <c r="Z455" s="101" t="str">
        <f aca="false">IF($E455="","",LEFT($E455,3))</f>
        <v/>
      </c>
      <c r="AA455" s="101" t="str">
        <f aca="false">IF($E455="","",LEFT($E455,4))</f>
        <v/>
      </c>
    </row>
    <row r="456" customFormat="false" ht="15" hidden="false" customHeight="true" outlineLevel="0" collapsed="false">
      <c r="A456" s="484" t="str">
        <f aca="false">IF(DITARI!$D460="","",ROW()-1)</f>
        <v/>
      </c>
      <c r="B456" s="485" t="str">
        <f aca="false">IF(DITARI!$D460="","",DITARI!$A460)</f>
        <v/>
      </c>
      <c r="C456" s="484" t="str">
        <f aca="false">IF(DITARI!$D460="","",DITARI!$B460)</f>
        <v/>
      </c>
      <c r="D456" s="484" t="str">
        <f aca="false">IF(DITARI!$D460="","",DITARI!$C460)</f>
        <v/>
      </c>
      <c r="E456" s="484" t="str">
        <f aca="false">IF(DITARI!$D460="","",TRIM(DITARI!$D460&amp;""))</f>
        <v/>
      </c>
      <c r="F456" s="484" t="str">
        <f aca="false">IF($E456="","",IFERROR(VLOOKUP($E456,PLANI_LLOGARIVE!$A:$I,2,FALSE()),DITARI!$E460))</f>
        <v/>
      </c>
      <c r="G456" s="484" t="str">
        <f aca="false">IF($E456="","",DITARI!$I460)</f>
        <v/>
      </c>
      <c r="H456" s="484" t="str">
        <f aca="false">IFERROR(IF($E456="","",DITARI!$H460),"")</f>
        <v/>
      </c>
      <c r="I456" s="487" t="n">
        <f aca="false">IF($E456="",0,IFERROR(DITARI!$F460,0))</f>
        <v>0</v>
      </c>
      <c r="J456" s="487" t="n">
        <f aca="false">IF($E456="",0,IFERROR(DITARI!$G460,0))</f>
        <v>0</v>
      </c>
      <c r="K456" s="484" t="str">
        <f aca="false">IF($E456="","",IFERROR(VLOOKUP($E456,PLANI_LLOGARIVE!$A:$I,9,FALSE()),""))</f>
        <v/>
      </c>
      <c r="L456" s="487" t="str">
        <f aca="false">IF($E456="","",$I456-$J456)</f>
        <v/>
      </c>
      <c r="M456" s="484" t="str">
        <f aca="false">IF($E456="","",IF($I456&gt;0,"DEBIT",IF($J456&gt;0,"KREDIT","ZERO")))</f>
        <v/>
      </c>
      <c r="N456" s="484" t="str">
        <f aca="false">IF($E456="","",TEXT($B456,"yyyymmdd")&amp;"-"&amp;TEXT(ROW(),"0000"))</f>
        <v/>
      </c>
      <c r="O456" s="101" t="str">
        <f aca="false">IF($E456="","",$E456&amp;"")</f>
        <v/>
      </c>
      <c r="P456" s="101" t="str">
        <f aca="false">IF(AND($O456&lt;&gt;"",$I456&lt;&gt;0),COUNTIFS($O$2:O456,$O456,$I$2:I456,"&gt;0"),"")</f>
        <v/>
      </c>
      <c r="Q456" s="101" t="str">
        <f aca="false">IF(AND($O456&lt;&gt;"",$J456&lt;&gt;0),COUNTIFS($O$2:O456,$O456,$J$2:J456,"&gt;0"),"")</f>
        <v/>
      </c>
      <c r="R456" s="101" t="str">
        <f aca="false">IF($P456="","",$O456&amp;"|"&amp;$P456)</f>
        <v/>
      </c>
      <c r="S456" s="101" t="str">
        <f aca="false">IF($Q456="","",$O456&amp;"|"&amp;$Q456)</f>
        <v/>
      </c>
      <c r="T456" s="101" t="str">
        <f aca="false">IF($O456="","",COUNTIF($O$2:O456,$O456))</f>
        <v/>
      </c>
      <c r="U456" s="101" t="str">
        <f aca="false">IF($O456="","",$O456&amp;"|"&amp;$T456)</f>
        <v/>
      </c>
      <c r="V456" s="488" t="n">
        <f aca="false">IF(OR(LEFT($D456,5)="MB-CL",LEFT($D456,6)="MB-RES"),0,$I456)</f>
        <v>0</v>
      </c>
      <c r="W456" s="488" t="n">
        <f aca="false">IF(OR(LEFT($D456,5)="MB-CL",LEFT($D456,6)="MB-RES"),0,$J456)</f>
        <v>0</v>
      </c>
      <c r="X456" s="101" t="str">
        <f aca="false">IF($E456="","",LEFT($E456,1))</f>
        <v/>
      </c>
      <c r="Y456" s="101" t="str">
        <f aca="false">IF($E456="","",LEFT($E456,2))</f>
        <v/>
      </c>
      <c r="Z456" s="101" t="str">
        <f aca="false">IF($E456="","",LEFT($E456,3))</f>
        <v/>
      </c>
      <c r="AA456" s="101" t="str">
        <f aca="false">IF($E456="","",LEFT($E456,4))</f>
        <v/>
      </c>
    </row>
    <row r="457" customFormat="false" ht="15" hidden="false" customHeight="true" outlineLevel="0" collapsed="false">
      <c r="A457" s="484" t="str">
        <f aca="false">IF(DITARI!$D461="","",ROW()-1)</f>
        <v/>
      </c>
      <c r="B457" s="485" t="str">
        <f aca="false">IF(DITARI!$D461="","",DITARI!$A461)</f>
        <v/>
      </c>
      <c r="C457" s="484" t="str">
        <f aca="false">IF(DITARI!$D461="","",DITARI!$B461)</f>
        <v/>
      </c>
      <c r="D457" s="484" t="str">
        <f aca="false">IF(DITARI!$D461="","",DITARI!$C461)</f>
        <v/>
      </c>
      <c r="E457" s="484" t="str">
        <f aca="false">IF(DITARI!$D461="","",TRIM(DITARI!$D461&amp;""))</f>
        <v/>
      </c>
      <c r="F457" s="484" t="str">
        <f aca="false">IF($E457="","",IFERROR(VLOOKUP($E457,PLANI_LLOGARIVE!$A:$I,2,FALSE()),DITARI!$E461))</f>
        <v/>
      </c>
      <c r="G457" s="484" t="str">
        <f aca="false">IF($E457="","",DITARI!$I461)</f>
        <v/>
      </c>
      <c r="H457" s="484" t="str">
        <f aca="false">IFERROR(IF($E457="","",DITARI!$H461),"")</f>
        <v/>
      </c>
      <c r="I457" s="487" t="n">
        <f aca="false">IF($E457="",0,IFERROR(DITARI!$F461,0))</f>
        <v>0</v>
      </c>
      <c r="J457" s="487" t="n">
        <f aca="false">IF($E457="",0,IFERROR(DITARI!$G461,0))</f>
        <v>0</v>
      </c>
      <c r="K457" s="484" t="str">
        <f aca="false">IF($E457="","",IFERROR(VLOOKUP($E457,PLANI_LLOGARIVE!$A:$I,9,FALSE()),""))</f>
        <v/>
      </c>
      <c r="L457" s="487" t="str">
        <f aca="false">IF($E457="","",$I457-$J457)</f>
        <v/>
      </c>
      <c r="M457" s="484" t="str">
        <f aca="false">IF($E457="","",IF($I457&gt;0,"DEBIT",IF($J457&gt;0,"KREDIT","ZERO")))</f>
        <v/>
      </c>
      <c r="N457" s="484" t="str">
        <f aca="false">IF($E457="","",TEXT($B457,"yyyymmdd")&amp;"-"&amp;TEXT(ROW(),"0000"))</f>
        <v/>
      </c>
      <c r="O457" s="101" t="str">
        <f aca="false">IF($E457="","",$E457&amp;"")</f>
        <v/>
      </c>
      <c r="P457" s="101" t="str">
        <f aca="false">IF(AND($O457&lt;&gt;"",$I457&lt;&gt;0),COUNTIFS($O$2:O457,$O457,$I$2:I457,"&gt;0"),"")</f>
        <v/>
      </c>
      <c r="Q457" s="101" t="str">
        <f aca="false">IF(AND($O457&lt;&gt;"",$J457&lt;&gt;0),COUNTIFS($O$2:O457,$O457,$J$2:J457,"&gt;0"),"")</f>
        <v/>
      </c>
      <c r="R457" s="101" t="str">
        <f aca="false">IF($P457="","",$O457&amp;"|"&amp;$P457)</f>
        <v/>
      </c>
      <c r="S457" s="101" t="str">
        <f aca="false">IF($Q457="","",$O457&amp;"|"&amp;$Q457)</f>
        <v/>
      </c>
      <c r="T457" s="101" t="str">
        <f aca="false">IF($O457="","",COUNTIF($O$2:O457,$O457))</f>
        <v/>
      </c>
      <c r="U457" s="101" t="str">
        <f aca="false">IF($O457="","",$O457&amp;"|"&amp;$T457)</f>
        <v/>
      </c>
      <c r="V457" s="488" t="n">
        <f aca="false">IF(OR(LEFT($D457,5)="MB-CL",LEFT($D457,6)="MB-RES"),0,$I457)</f>
        <v>0</v>
      </c>
      <c r="W457" s="488" t="n">
        <f aca="false">IF(OR(LEFT($D457,5)="MB-CL",LEFT($D457,6)="MB-RES"),0,$J457)</f>
        <v>0</v>
      </c>
      <c r="X457" s="101" t="str">
        <f aca="false">IF($E457="","",LEFT($E457,1))</f>
        <v/>
      </c>
      <c r="Y457" s="101" t="str">
        <f aca="false">IF($E457="","",LEFT($E457,2))</f>
        <v/>
      </c>
      <c r="Z457" s="101" t="str">
        <f aca="false">IF($E457="","",LEFT($E457,3))</f>
        <v/>
      </c>
      <c r="AA457" s="101" t="str">
        <f aca="false">IF($E457="","",LEFT($E457,4))</f>
        <v/>
      </c>
    </row>
    <row r="458" customFormat="false" ht="15" hidden="false" customHeight="true" outlineLevel="0" collapsed="false">
      <c r="A458" s="484" t="str">
        <f aca="false">IF(DITARI!$D462="","",ROW()-1)</f>
        <v/>
      </c>
      <c r="B458" s="485" t="str">
        <f aca="false">IF(DITARI!$D462="","",DITARI!$A462)</f>
        <v/>
      </c>
      <c r="C458" s="484" t="str">
        <f aca="false">IF(DITARI!$D462="","",DITARI!$B462)</f>
        <v/>
      </c>
      <c r="D458" s="484" t="str">
        <f aca="false">IF(DITARI!$D462="","",DITARI!$C462)</f>
        <v/>
      </c>
      <c r="E458" s="484" t="str">
        <f aca="false">IF(DITARI!$D462="","",TRIM(DITARI!$D462&amp;""))</f>
        <v/>
      </c>
      <c r="F458" s="484" t="str">
        <f aca="false">IF($E458="","",IFERROR(VLOOKUP($E458,PLANI_LLOGARIVE!$A:$I,2,FALSE()),DITARI!$E462))</f>
        <v/>
      </c>
      <c r="G458" s="484" t="str">
        <f aca="false">IF($E458="","",DITARI!$I462)</f>
        <v/>
      </c>
      <c r="H458" s="484" t="str">
        <f aca="false">IFERROR(IF($E458="","",DITARI!$H462),"")</f>
        <v/>
      </c>
      <c r="I458" s="487" t="n">
        <f aca="false">IF($E458="",0,IFERROR(DITARI!$F462,0))</f>
        <v>0</v>
      </c>
      <c r="J458" s="487" t="n">
        <f aca="false">IF($E458="",0,IFERROR(DITARI!$G462,0))</f>
        <v>0</v>
      </c>
      <c r="K458" s="484" t="str">
        <f aca="false">IF($E458="","",IFERROR(VLOOKUP($E458,PLANI_LLOGARIVE!$A:$I,9,FALSE()),""))</f>
        <v/>
      </c>
      <c r="L458" s="487" t="str">
        <f aca="false">IF($E458="","",$I458-$J458)</f>
        <v/>
      </c>
      <c r="M458" s="484" t="str">
        <f aca="false">IF($E458="","",IF($I458&gt;0,"DEBIT",IF($J458&gt;0,"KREDIT","ZERO")))</f>
        <v/>
      </c>
      <c r="N458" s="484" t="str">
        <f aca="false">IF($E458="","",TEXT($B458,"yyyymmdd")&amp;"-"&amp;TEXT(ROW(),"0000"))</f>
        <v/>
      </c>
      <c r="O458" s="101" t="str">
        <f aca="false">IF($E458="","",$E458&amp;"")</f>
        <v/>
      </c>
      <c r="P458" s="101" t="str">
        <f aca="false">IF(AND($O458&lt;&gt;"",$I458&lt;&gt;0),COUNTIFS($O$2:O458,$O458,$I$2:I458,"&gt;0"),"")</f>
        <v/>
      </c>
      <c r="Q458" s="101" t="str">
        <f aca="false">IF(AND($O458&lt;&gt;"",$J458&lt;&gt;0),COUNTIFS($O$2:O458,$O458,$J$2:J458,"&gt;0"),"")</f>
        <v/>
      </c>
      <c r="R458" s="101" t="str">
        <f aca="false">IF($P458="","",$O458&amp;"|"&amp;$P458)</f>
        <v/>
      </c>
      <c r="S458" s="101" t="str">
        <f aca="false">IF($Q458="","",$O458&amp;"|"&amp;$Q458)</f>
        <v/>
      </c>
      <c r="T458" s="101" t="str">
        <f aca="false">IF($O458="","",COUNTIF($O$2:O458,$O458))</f>
        <v/>
      </c>
      <c r="U458" s="101" t="str">
        <f aca="false">IF($O458="","",$O458&amp;"|"&amp;$T458)</f>
        <v/>
      </c>
      <c r="V458" s="488" t="n">
        <f aca="false">IF(OR(LEFT($D458,5)="MB-CL",LEFT($D458,6)="MB-RES"),0,$I458)</f>
        <v>0</v>
      </c>
      <c r="W458" s="488" t="n">
        <f aca="false">IF(OR(LEFT($D458,5)="MB-CL",LEFT($D458,6)="MB-RES"),0,$J458)</f>
        <v>0</v>
      </c>
      <c r="X458" s="101" t="str">
        <f aca="false">IF($E458="","",LEFT($E458,1))</f>
        <v/>
      </c>
      <c r="Y458" s="101" t="str">
        <f aca="false">IF($E458="","",LEFT($E458,2))</f>
        <v/>
      </c>
      <c r="Z458" s="101" t="str">
        <f aca="false">IF($E458="","",LEFT($E458,3))</f>
        <v/>
      </c>
      <c r="AA458" s="101" t="str">
        <f aca="false">IF($E458="","",LEFT($E458,4))</f>
        <v/>
      </c>
    </row>
    <row r="459" customFormat="false" ht="15" hidden="false" customHeight="true" outlineLevel="0" collapsed="false">
      <c r="A459" s="484" t="str">
        <f aca="false">IF(DITARI!$D463="","",ROW()-1)</f>
        <v/>
      </c>
      <c r="B459" s="485" t="str">
        <f aca="false">IF(DITARI!$D463="","",DITARI!$A463)</f>
        <v/>
      </c>
      <c r="C459" s="484" t="str">
        <f aca="false">IF(DITARI!$D463="","",DITARI!$B463)</f>
        <v/>
      </c>
      <c r="D459" s="484" t="str">
        <f aca="false">IF(DITARI!$D463="","",DITARI!$C463)</f>
        <v/>
      </c>
      <c r="E459" s="484" t="str">
        <f aca="false">IF(DITARI!$D463="","",TRIM(DITARI!$D463&amp;""))</f>
        <v/>
      </c>
      <c r="F459" s="484" t="str">
        <f aca="false">IF($E459="","",IFERROR(VLOOKUP($E459,PLANI_LLOGARIVE!$A:$I,2,FALSE()),DITARI!$E463))</f>
        <v/>
      </c>
      <c r="G459" s="484" t="str">
        <f aca="false">IF($E459="","",DITARI!$I463)</f>
        <v/>
      </c>
      <c r="H459" s="484" t="str">
        <f aca="false">IFERROR(IF($E459="","",DITARI!$H463),"")</f>
        <v/>
      </c>
      <c r="I459" s="487" t="n">
        <f aca="false">IF($E459="",0,IFERROR(DITARI!$F463,0))</f>
        <v>0</v>
      </c>
      <c r="J459" s="487" t="n">
        <f aca="false">IF($E459="",0,IFERROR(DITARI!$G463,0))</f>
        <v>0</v>
      </c>
      <c r="K459" s="484" t="str">
        <f aca="false">IF($E459="","",IFERROR(VLOOKUP($E459,PLANI_LLOGARIVE!$A:$I,9,FALSE()),""))</f>
        <v/>
      </c>
      <c r="L459" s="487" t="str">
        <f aca="false">IF($E459="","",$I459-$J459)</f>
        <v/>
      </c>
      <c r="M459" s="484" t="str">
        <f aca="false">IF($E459="","",IF($I459&gt;0,"DEBIT",IF($J459&gt;0,"KREDIT","ZERO")))</f>
        <v/>
      </c>
      <c r="N459" s="484" t="str">
        <f aca="false">IF($E459="","",TEXT($B459,"yyyymmdd")&amp;"-"&amp;TEXT(ROW(),"0000"))</f>
        <v/>
      </c>
      <c r="O459" s="101" t="str">
        <f aca="false">IF($E459="","",$E459&amp;"")</f>
        <v/>
      </c>
      <c r="P459" s="101" t="str">
        <f aca="false">IF(AND($O459&lt;&gt;"",$I459&lt;&gt;0),COUNTIFS($O$2:O459,$O459,$I$2:I459,"&gt;0"),"")</f>
        <v/>
      </c>
      <c r="Q459" s="101" t="str">
        <f aca="false">IF(AND($O459&lt;&gt;"",$J459&lt;&gt;0),COUNTIFS($O$2:O459,$O459,$J$2:J459,"&gt;0"),"")</f>
        <v/>
      </c>
      <c r="R459" s="101" t="str">
        <f aca="false">IF($P459="","",$O459&amp;"|"&amp;$P459)</f>
        <v/>
      </c>
      <c r="S459" s="101" t="str">
        <f aca="false">IF($Q459="","",$O459&amp;"|"&amp;$Q459)</f>
        <v/>
      </c>
      <c r="T459" s="101" t="str">
        <f aca="false">IF($O459="","",COUNTIF($O$2:O459,$O459))</f>
        <v/>
      </c>
      <c r="U459" s="101" t="str">
        <f aca="false">IF($O459="","",$O459&amp;"|"&amp;$T459)</f>
        <v/>
      </c>
      <c r="V459" s="488" t="n">
        <f aca="false">IF(OR(LEFT($D459,5)="MB-CL",LEFT($D459,6)="MB-RES"),0,$I459)</f>
        <v>0</v>
      </c>
      <c r="W459" s="488" t="n">
        <f aca="false">IF(OR(LEFT($D459,5)="MB-CL",LEFT($D459,6)="MB-RES"),0,$J459)</f>
        <v>0</v>
      </c>
      <c r="X459" s="101" t="str">
        <f aca="false">IF($E459="","",LEFT($E459,1))</f>
        <v/>
      </c>
      <c r="Y459" s="101" t="str">
        <f aca="false">IF($E459="","",LEFT($E459,2))</f>
        <v/>
      </c>
      <c r="Z459" s="101" t="str">
        <f aca="false">IF($E459="","",LEFT($E459,3))</f>
        <v/>
      </c>
      <c r="AA459" s="101" t="str">
        <f aca="false">IF($E459="","",LEFT($E459,4))</f>
        <v/>
      </c>
    </row>
    <row r="460" customFormat="false" ht="15" hidden="false" customHeight="true" outlineLevel="0" collapsed="false">
      <c r="A460" s="484" t="str">
        <f aca="false">IF(DITARI!$D464="","",ROW()-1)</f>
        <v/>
      </c>
      <c r="B460" s="485" t="str">
        <f aca="false">IF(DITARI!$D464="","",DITARI!$A464)</f>
        <v/>
      </c>
      <c r="C460" s="484" t="str">
        <f aca="false">IF(DITARI!$D464="","",DITARI!$B464)</f>
        <v/>
      </c>
      <c r="D460" s="484" t="str">
        <f aca="false">IF(DITARI!$D464="","",DITARI!$C464)</f>
        <v/>
      </c>
      <c r="E460" s="484" t="str">
        <f aca="false">IF(DITARI!$D464="","",TRIM(DITARI!$D464&amp;""))</f>
        <v/>
      </c>
      <c r="F460" s="484" t="str">
        <f aca="false">IF($E460="","",IFERROR(VLOOKUP($E460,PLANI_LLOGARIVE!$A:$I,2,FALSE()),DITARI!$E464))</f>
        <v/>
      </c>
      <c r="G460" s="484" t="str">
        <f aca="false">IF($E460="","",DITARI!$I464)</f>
        <v/>
      </c>
      <c r="H460" s="484" t="str">
        <f aca="false">IFERROR(IF($E460="","",DITARI!$H464),"")</f>
        <v/>
      </c>
      <c r="I460" s="487" t="n">
        <f aca="false">IF($E460="",0,IFERROR(DITARI!$F464,0))</f>
        <v>0</v>
      </c>
      <c r="J460" s="487" t="n">
        <f aca="false">IF($E460="",0,IFERROR(DITARI!$G464,0))</f>
        <v>0</v>
      </c>
      <c r="K460" s="484" t="str">
        <f aca="false">IF($E460="","",IFERROR(VLOOKUP($E460,PLANI_LLOGARIVE!$A:$I,9,FALSE()),""))</f>
        <v/>
      </c>
      <c r="L460" s="487" t="str">
        <f aca="false">IF($E460="","",$I460-$J460)</f>
        <v/>
      </c>
      <c r="M460" s="484" t="str">
        <f aca="false">IF($E460="","",IF($I460&gt;0,"DEBIT",IF($J460&gt;0,"KREDIT","ZERO")))</f>
        <v/>
      </c>
      <c r="N460" s="484" t="str">
        <f aca="false">IF($E460="","",TEXT($B460,"yyyymmdd")&amp;"-"&amp;TEXT(ROW(),"0000"))</f>
        <v/>
      </c>
      <c r="O460" s="101" t="str">
        <f aca="false">IF($E460="","",$E460&amp;"")</f>
        <v/>
      </c>
      <c r="P460" s="101" t="str">
        <f aca="false">IF(AND($O460&lt;&gt;"",$I460&lt;&gt;0),COUNTIFS($O$2:O460,$O460,$I$2:I460,"&gt;0"),"")</f>
        <v/>
      </c>
      <c r="Q460" s="101" t="str">
        <f aca="false">IF(AND($O460&lt;&gt;"",$J460&lt;&gt;0),COUNTIFS($O$2:O460,$O460,$J$2:J460,"&gt;0"),"")</f>
        <v/>
      </c>
      <c r="R460" s="101" t="str">
        <f aca="false">IF($P460="","",$O460&amp;"|"&amp;$P460)</f>
        <v/>
      </c>
      <c r="S460" s="101" t="str">
        <f aca="false">IF($Q460="","",$O460&amp;"|"&amp;$Q460)</f>
        <v/>
      </c>
      <c r="T460" s="101" t="str">
        <f aca="false">IF($O460="","",COUNTIF($O$2:O460,$O460))</f>
        <v/>
      </c>
      <c r="U460" s="101" t="str">
        <f aca="false">IF($O460="","",$O460&amp;"|"&amp;$T460)</f>
        <v/>
      </c>
      <c r="V460" s="488" t="n">
        <f aca="false">IF(OR(LEFT($D460,5)="MB-CL",LEFT($D460,6)="MB-RES"),0,$I460)</f>
        <v>0</v>
      </c>
      <c r="W460" s="488" t="n">
        <f aca="false">IF(OR(LEFT($D460,5)="MB-CL",LEFT($D460,6)="MB-RES"),0,$J460)</f>
        <v>0</v>
      </c>
      <c r="X460" s="101" t="str">
        <f aca="false">IF($E460="","",LEFT($E460,1))</f>
        <v/>
      </c>
      <c r="Y460" s="101" t="str">
        <f aca="false">IF($E460="","",LEFT($E460,2))</f>
        <v/>
      </c>
      <c r="Z460" s="101" t="str">
        <f aca="false">IF($E460="","",LEFT($E460,3))</f>
        <v/>
      </c>
      <c r="AA460" s="101" t="str">
        <f aca="false">IF($E460="","",LEFT($E460,4))</f>
        <v/>
      </c>
    </row>
    <row r="461" customFormat="false" ht="15" hidden="false" customHeight="true" outlineLevel="0" collapsed="false">
      <c r="A461" s="484" t="str">
        <f aca="false">IF(DITARI!$D465="","",ROW()-1)</f>
        <v/>
      </c>
      <c r="B461" s="485" t="str">
        <f aca="false">IF(DITARI!$D465="","",DITARI!$A465)</f>
        <v/>
      </c>
      <c r="C461" s="484" t="str">
        <f aca="false">IF(DITARI!$D465="","",DITARI!$B465)</f>
        <v/>
      </c>
      <c r="D461" s="484" t="str">
        <f aca="false">IF(DITARI!$D465="","",DITARI!$C465)</f>
        <v/>
      </c>
      <c r="E461" s="484" t="str">
        <f aca="false">IF(DITARI!$D465="","",TRIM(DITARI!$D465&amp;""))</f>
        <v/>
      </c>
      <c r="F461" s="484" t="str">
        <f aca="false">IF($E461="","",IFERROR(VLOOKUP($E461,PLANI_LLOGARIVE!$A:$I,2,FALSE()),DITARI!$E465))</f>
        <v/>
      </c>
      <c r="G461" s="484" t="str">
        <f aca="false">IF($E461="","",DITARI!$I465)</f>
        <v/>
      </c>
      <c r="H461" s="484" t="str">
        <f aca="false">IFERROR(IF($E461="","",DITARI!$H465),"")</f>
        <v/>
      </c>
      <c r="I461" s="487" t="n">
        <f aca="false">IF($E461="",0,IFERROR(DITARI!$F465,0))</f>
        <v>0</v>
      </c>
      <c r="J461" s="487" t="n">
        <f aca="false">IF($E461="",0,IFERROR(DITARI!$G465,0))</f>
        <v>0</v>
      </c>
      <c r="K461" s="484" t="str">
        <f aca="false">IF($E461="","",IFERROR(VLOOKUP($E461,PLANI_LLOGARIVE!$A:$I,9,FALSE()),""))</f>
        <v/>
      </c>
      <c r="L461" s="487" t="str">
        <f aca="false">IF($E461="","",$I461-$J461)</f>
        <v/>
      </c>
      <c r="M461" s="484" t="str">
        <f aca="false">IF($E461="","",IF($I461&gt;0,"DEBIT",IF($J461&gt;0,"KREDIT","ZERO")))</f>
        <v/>
      </c>
      <c r="N461" s="484" t="str">
        <f aca="false">IF($E461="","",TEXT($B461,"yyyymmdd")&amp;"-"&amp;TEXT(ROW(),"0000"))</f>
        <v/>
      </c>
      <c r="O461" s="101" t="str">
        <f aca="false">IF($E461="","",$E461&amp;"")</f>
        <v/>
      </c>
      <c r="P461" s="101" t="str">
        <f aca="false">IF(AND($O461&lt;&gt;"",$I461&lt;&gt;0),COUNTIFS($O$2:O461,$O461,$I$2:I461,"&gt;0"),"")</f>
        <v/>
      </c>
      <c r="Q461" s="101" t="str">
        <f aca="false">IF(AND($O461&lt;&gt;"",$J461&lt;&gt;0),COUNTIFS($O$2:O461,$O461,$J$2:J461,"&gt;0"),"")</f>
        <v/>
      </c>
      <c r="R461" s="101" t="str">
        <f aca="false">IF($P461="","",$O461&amp;"|"&amp;$P461)</f>
        <v/>
      </c>
      <c r="S461" s="101" t="str">
        <f aca="false">IF($Q461="","",$O461&amp;"|"&amp;$Q461)</f>
        <v/>
      </c>
      <c r="T461" s="101" t="str">
        <f aca="false">IF($O461="","",COUNTIF($O$2:O461,$O461))</f>
        <v/>
      </c>
      <c r="U461" s="101" t="str">
        <f aca="false">IF($O461="","",$O461&amp;"|"&amp;$T461)</f>
        <v/>
      </c>
      <c r="V461" s="488" t="n">
        <f aca="false">IF(OR(LEFT($D461,5)="MB-CL",LEFT($D461,6)="MB-RES"),0,$I461)</f>
        <v>0</v>
      </c>
      <c r="W461" s="488" t="n">
        <f aca="false">IF(OR(LEFT($D461,5)="MB-CL",LEFT($D461,6)="MB-RES"),0,$J461)</f>
        <v>0</v>
      </c>
      <c r="X461" s="101" t="str">
        <f aca="false">IF($E461="","",LEFT($E461,1))</f>
        <v/>
      </c>
      <c r="Y461" s="101" t="str">
        <f aca="false">IF($E461="","",LEFT($E461,2))</f>
        <v/>
      </c>
      <c r="Z461" s="101" t="str">
        <f aca="false">IF($E461="","",LEFT($E461,3))</f>
        <v/>
      </c>
      <c r="AA461" s="101" t="str">
        <f aca="false">IF($E461="","",LEFT($E461,4))</f>
        <v/>
      </c>
    </row>
    <row r="462" customFormat="false" ht="15" hidden="false" customHeight="true" outlineLevel="0" collapsed="false">
      <c r="A462" s="484" t="str">
        <f aca="false">IF(DITARI!$D466="","",ROW()-1)</f>
        <v/>
      </c>
      <c r="B462" s="485" t="str">
        <f aca="false">IF(DITARI!$D466="","",DITARI!$A466)</f>
        <v/>
      </c>
      <c r="C462" s="484" t="str">
        <f aca="false">IF(DITARI!$D466="","",DITARI!$B466)</f>
        <v/>
      </c>
      <c r="D462" s="484" t="str">
        <f aca="false">IF(DITARI!$D466="","",DITARI!$C466)</f>
        <v/>
      </c>
      <c r="E462" s="484" t="str">
        <f aca="false">IF(DITARI!$D466="","",TRIM(DITARI!$D466&amp;""))</f>
        <v/>
      </c>
      <c r="F462" s="484" t="str">
        <f aca="false">IF($E462="","",IFERROR(VLOOKUP($E462,PLANI_LLOGARIVE!$A:$I,2,FALSE()),DITARI!$E466))</f>
        <v/>
      </c>
      <c r="G462" s="484" t="str">
        <f aca="false">IF($E462="","",DITARI!$I466)</f>
        <v/>
      </c>
      <c r="H462" s="484" t="str">
        <f aca="false">IFERROR(IF($E462="","",DITARI!$H466),"")</f>
        <v/>
      </c>
      <c r="I462" s="487" t="n">
        <f aca="false">IF($E462="",0,IFERROR(DITARI!$F466,0))</f>
        <v>0</v>
      </c>
      <c r="J462" s="487" t="n">
        <f aca="false">IF($E462="",0,IFERROR(DITARI!$G466,0))</f>
        <v>0</v>
      </c>
      <c r="K462" s="484" t="str">
        <f aca="false">IF($E462="","",IFERROR(VLOOKUP($E462,PLANI_LLOGARIVE!$A:$I,9,FALSE()),""))</f>
        <v/>
      </c>
      <c r="L462" s="487" t="str">
        <f aca="false">IF($E462="","",$I462-$J462)</f>
        <v/>
      </c>
      <c r="M462" s="484" t="str">
        <f aca="false">IF($E462="","",IF($I462&gt;0,"DEBIT",IF($J462&gt;0,"KREDIT","ZERO")))</f>
        <v/>
      </c>
      <c r="N462" s="484" t="str">
        <f aca="false">IF($E462="","",TEXT($B462,"yyyymmdd")&amp;"-"&amp;TEXT(ROW(),"0000"))</f>
        <v/>
      </c>
      <c r="O462" s="101" t="str">
        <f aca="false">IF($E462="","",$E462&amp;"")</f>
        <v/>
      </c>
      <c r="P462" s="101" t="str">
        <f aca="false">IF(AND($O462&lt;&gt;"",$I462&lt;&gt;0),COUNTIFS($O$2:O462,$O462,$I$2:I462,"&gt;0"),"")</f>
        <v/>
      </c>
      <c r="Q462" s="101" t="str">
        <f aca="false">IF(AND($O462&lt;&gt;"",$J462&lt;&gt;0),COUNTIFS($O$2:O462,$O462,$J$2:J462,"&gt;0"),"")</f>
        <v/>
      </c>
      <c r="R462" s="101" t="str">
        <f aca="false">IF($P462="","",$O462&amp;"|"&amp;$P462)</f>
        <v/>
      </c>
      <c r="S462" s="101" t="str">
        <f aca="false">IF($Q462="","",$O462&amp;"|"&amp;$Q462)</f>
        <v/>
      </c>
      <c r="T462" s="101" t="str">
        <f aca="false">IF($O462="","",COUNTIF($O$2:O462,$O462))</f>
        <v/>
      </c>
      <c r="U462" s="101" t="str">
        <f aca="false">IF($O462="","",$O462&amp;"|"&amp;$T462)</f>
        <v/>
      </c>
      <c r="V462" s="488" t="n">
        <f aca="false">IF(OR(LEFT($D462,5)="MB-CL",LEFT($D462,6)="MB-RES"),0,$I462)</f>
        <v>0</v>
      </c>
      <c r="W462" s="488" t="n">
        <f aca="false">IF(OR(LEFT($D462,5)="MB-CL",LEFT($D462,6)="MB-RES"),0,$J462)</f>
        <v>0</v>
      </c>
      <c r="X462" s="101" t="str">
        <f aca="false">IF($E462="","",LEFT($E462,1))</f>
        <v/>
      </c>
      <c r="Y462" s="101" t="str">
        <f aca="false">IF($E462="","",LEFT($E462,2))</f>
        <v/>
      </c>
      <c r="Z462" s="101" t="str">
        <f aca="false">IF($E462="","",LEFT($E462,3))</f>
        <v/>
      </c>
      <c r="AA462" s="101" t="str">
        <f aca="false">IF($E462="","",LEFT($E462,4))</f>
        <v/>
      </c>
    </row>
    <row r="463" customFormat="false" ht="15" hidden="false" customHeight="true" outlineLevel="0" collapsed="false">
      <c r="A463" s="484" t="str">
        <f aca="false">IF(DITARI!$D467="","",ROW()-1)</f>
        <v/>
      </c>
      <c r="B463" s="485" t="str">
        <f aca="false">IF(DITARI!$D467="","",DITARI!$A467)</f>
        <v/>
      </c>
      <c r="C463" s="484" t="str">
        <f aca="false">IF(DITARI!$D467="","",DITARI!$B467)</f>
        <v/>
      </c>
      <c r="D463" s="484" t="str">
        <f aca="false">IF(DITARI!$D467="","",DITARI!$C467)</f>
        <v/>
      </c>
      <c r="E463" s="484" t="str">
        <f aca="false">IF(DITARI!$D467="","",TRIM(DITARI!$D467&amp;""))</f>
        <v/>
      </c>
      <c r="F463" s="484" t="str">
        <f aca="false">IF($E463="","",IFERROR(VLOOKUP($E463,PLANI_LLOGARIVE!$A:$I,2,FALSE()),DITARI!$E467))</f>
        <v/>
      </c>
      <c r="G463" s="484" t="str">
        <f aca="false">IF($E463="","",DITARI!$I467)</f>
        <v/>
      </c>
      <c r="H463" s="484" t="str">
        <f aca="false">IFERROR(IF($E463="","",DITARI!$H467),"")</f>
        <v/>
      </c>
      <c r="I463" s="487" t="n">
        <f aca="false">IF($E463="",0,IFERROR(DITARI!$F467,0))</f>
        <v>0</v>
      </c>
      <c r="J463" s="487" t="n">
        <f aca="false">IF($E463="",0,IFERROR(DITARI!$G467,0))</f>
        <v>0</v>
      </c>
      <c r="K463" s="484" t="str">
        <f aca="false">IF($E463="","",IFERROR(VLOOKUP($E463,PLANI_LLOGARIVE!$A:$I,9,FALSE()),""))</f>
        <v/>
      </c>
      <c r="L463" s="487" t="str">
        <f aca="false">IF($E463="","",$I463-$J463)</f>
        <v/>
      </c>
      <c r="M463" s="484" t="str">
        <f aca="false">IF($E463="","",IF($I463&gt;0,"DEBIT",IF($J463&gt;0,"KREDIT","ZERO")))</f>
        <v/>
      </c>
      <c r="N463" s="484" t="str">
        <f aca="false">IF($E463="","",TEXT($B463,"yyyymmdd")&amp;"-"&amp;TEXT(ROW(),"0000"))</f>
        <v/>
      </c>
      <c r="O463" s="101" t="str">
        <f aca="false">IF($E463="","",$E463&amp;"")</f>
        <v/>
      </c>
      <c r="P463" s="101" t="str">
        <f aca="false">IF(AND($O463&lt;&gt;"",$I463&lt;&gt;0),COUNTIFS($O$2:O463,$O463,$I$2:I463,"&gt;0"),"")</f>
        <v/>
      </c>
      <c r="Q463" s="101" t="str">
        <f aca="false">IF(AND($O463&lt;&gt;"",$J463&lt;&gt;0),COUNTIFS($O$2:O463,$O463,$J$2:J463,"&gt;0"),"")</f>
        <v/>
      </c>
      <c r="R463" s="101" t="str">
        <f aca="false">IF($P463="","",$O463&amp;"|"&amp;$P463)</f>
        <v/>
      </c>
      <c r="S463" s="101" t="str">
        <f aca="false">IF($Q463="","",$O463&amp;"|"&amp;$Q463)</f>
        <v/>
      </c>
      <c r="T463" s="101" t="str">
        <f aca="false">IF($O463="","",COUNTIF($O$2:O463,$O463))</f>
        <v/>
      </c>
      <c r="U463" s="101" t="str">
        <f aca="false">IF($O463="","",$O463&amp;"|"&amp;$T463)</f>
        <v/>
      </c>
      <c r="V463" s="488" t="n">
        <f aca="false">IF(OR(LEFT($D463,5)="MB-CL",LEFT($D463,6)="MB-RES"),0,$I463)</f>
        <v>0</v>
      </c>
      <c r="W463" s="488" t="n">
        <f aca="false">IF(OR(LEFT($D463,5)="MB-CL",LEFT($D463,6)="MB-RES"),0,$J463)</f>
        <v>0</v>
      </c>
      <c r="X463" s="101" t="str">
        <f aca="false">IF($E463="","",LEFT($E463,1))</f>
        <v/>
      </c>
      <c r="Y463" s="101" t="str">
        <f aca="false">IF($E463="","",LEFT($E463,2))</f>
        <v/>
      </c>
      <c r="Z463" s="101" t="str">
        <f aca="false">IF($E463="","",LEFT($E463,3))</f>
        <v/>
      </c>
      <c r="AA463" s="101" t="str">
        <f aca="false">IF($E463="","",LEFT($E463,4))</f>
        <v/>
      </c>
    </row>
    <row r="464" customFormat="false" ht="15" hidden="false" customHeight="true" outlineLevel="0" collapsed="false">
      <c r="A464" s="484" t="str">
        <f aca="false">IF(DITARI!$D468="","",ROW()-1)</f>
        <v/>
      </c>
      <c r="B464" s="485" t="str">
        <f aca="false">IF(DITARI!$D468="","",DITARI!$A468)</f>
        <v/>
      </c>
      <c r="C464" s="484" t="str">
        <f aca="false">IF(DITARI!$D468="","",DITARI!$B468)</f>
        <v/>
      </c>
      <c r="D464" s="484" t="str">
        <f aca="false">IF(DITARI!$D468="","",DITARI!$C468)</f>
        <v/>
      </c>
      <c r="E464" s="484" t="str">
        <f aca="false">IF(DITARI!$D468="","",TRIM(DITARI!$D468&amp;""))</f>
        <v/>
      </c>
      <c r="F464" s="484" t="str">
        <f aca="false">IF($E464="","",IFERROR(VLOOKUP($E464,PLANI_LLOGARIVE!$A:$I,2,FALSE()),DITARI!$E468))</f>
        <v/>
      </c>
      <c r="G464" s="484" t="str">
        <f aca="false">IF($E464="","",DITARI!$I468)</f>
        <v/>
      </c>
      <c r="H464" s="484" t="str">
        <f aca="false">IFERROR(IF($E464="","",DITARI!$H468),"")</f>
        <v/>
      </c>
      <c r="I464" s="487" t="n">
        <f aca="false">IF($E464="",0,IFERROR(DITARI!$F468,0))</f>
        <v>0</v>
      </c>
      <c r="J464" s="487" t="n">
        <f aca="false">IF($E464="",0,IFERROR(DITARI!$G468,0))</f>
        <v>0</v>
      </c>
      <c r="K464" s="484" t="str">
        <f aca="false">IF($E464="","",IFERROR(VLOOKUP($E464,PLANI_LLOGARIVE!$A:$I,9,FALSE()),""))</f>
        <v/>
      </c>
      <c r="L464" s="487" t="str">
        <f aca="false">IF($E464="","",$I464-$J464)</f>
        <v/>
      </c>
      <c r="M464" s="484" t="str">
        <f aca="false">IF($E464="","",IF($I464&gt;0,"DEBIT",IF($J464&gt;0,"KREDIT","ZERO")))</f>
        <v/>
      </c>
      <c r="N464" s="484" t="str">
        <f aca="false">IF($E464="","",TEXT($B464,"yyyymmdd")&amp;"-"&amp;TEXT(ROW(),"0000"))</f>
        <v/>
      </c>
      <c r="O464" s="101" t="str">
        <f aca="false">IF($E464="","",$E464&amp;"")</f>
        <v/>
      </c>
      <c r="P464" s="101" t="str">
        <f aca="false">IF(AND($O464&lt;&gt;"",$I464&lt;&gt;0),COUNTIFS($O$2:O464,$O464,$I$2:I464,"&gt;0"),"")</f>
        <v/>
      </c>
      <c r="Q464" s="101" t="str">
        <f aca="false">IF(AND($O464&lt;&gt;"",$J464&lt;&gt;0),COUNTIFS($O$2:O464,$O464,$J$2:J464,"&gt;0"),"")</f>
        <v/>
      </c>
      <c r="R464" s="101" t="str">
        <f aca="false">IF($P464="","",$O464&amp;"|"&amp;$P464)</f>
        <v/>
      </c>
      <c r="S464" s="101" t="str">
        <f aca="false">IF($Q464="","",$O464&amp;"|"&amp;$Q464)</f>
        <v/>
      </c>
      <c r="T464" s="101" t="str">
        <f aca="false">IF($O464="","",COUNTIF($O$2:O464,$O464))</f>
        <v/>
      </c>
      <c r="U464" s="101" t="str">
        <f aca="false">IF($O464="","",$O464&amp;"|"&amp;$T464)</f>
        <v/>
      </c>
      <c r="V464" s="488" t="n">
        <f aca="false">IF(OR(LEFT($D464,5)="MB-CL",LEFT($D464,6)="MB-RES"),0,$I464)</f>
        <v>0</v>
      </c>
      <c r="W464" s="488" t="n">
        <f aca="false">IF(OR(LEFT($D464,5)="MB-CL",LEFT($D464,6)="MB-RES"),0,$J464)</f>
        <v>0</v>
      </c>
      <c r="X464" s="101" t="str">
        <f aca="false">IF($E464="","",LEFT($E464,1))</f>
        <v/>
      </c>
      <c r="Y464" s="101" t="str">
        <f aca="false">IF($E464="","",LEFT($E464,2))</f>
        <v/>
      </c>
      <c r="Z464" s="101" t="str">
        <f aca="false">IF($E464="","",LEFT($E464,3))</f>
        <v/>
      </c>
      <c r="AA464" s="101" t="str">
        <f aca="false">IF($E464="","",LEFT($E464,4))</f>
        <v/>
      </c>
    </row>
    <row r="465" customFormat="false" ht="15" hidden="false" customHeight="true" outlineLevel="0" collapsed="false">
      <c r="A465" s="484" t="str">
        <f aca="false">IF(DITARI!$D469="","",ROW()-1)</f>
        <v/>
      </c>
      <c r="B465" s="485" t="str">
        <f aca="false">IF(DITARI!$D469="","",DITARI!$A469)</f>
        <v/>
      </c>
      <c r="C465" s="484" t="str">
        <f aca="false">IF(DITARI!$D469="","",DITARI!$B469)</f>
        <v/>
      </c>
      <c r="D465" s="484" t="str">
        <f aca="false">IF(DITARI!$D469="","",DITARI!$C469)</f>
        <v/>
      </c>
      <c r="E465" s="484" t="str">
        <f aca="false">IF(DITARI!$D469="","",TRIM(DITARI!$D469&amp;""))</f>
        <v/>
      </c>
      <c r="F465" s="484" t="str">
        <f aca="false">IF($E465="","",IFERROR(VLOOKUP($E465,PLANI_LLOGARIVE!$A:$I,2,FALSE()),DITARI!$E469))</f>
        <v/>
      </c>
      <c r="G465" s="484" t="str">
        <f aca="false">IF($E465="","",DITARI!$I469)</f>
        <v/>
      </c>
      <c r="H465" s="484" t="str">
        <f aca="false">IFERROR(IF($E465="","",DITARI!$H469),"")</f>
        <v/>
      </c>
      <c r="I465" s="487" t="n">
        <f aca="false">IF($E465="",0,IFERROR(DITARI!$F469,0))</f>
        <v>0</v>
      </c>
      <c r="J465" s="487" t="n">
        <f aca="false">IF($E465="",0,IFERROR(DITARI!$G469,0))</f>
        <v>0</v>
      </c>
      <c r="K465" s="484" t="str">
        <f aca="false">IF($E465="","",IFERROR(VLOOKUP($E465,PLANI_LLOGARIVE!$A:$I,9,FALSE()),""))</f>
        <v/>
      </c>
      <c r="L465" s="487" t="str">
        <f aca="false">IF($E465="","",$I465-$J465)</f>
        <v/>
      </c>
      <c r="M465" s="484" t="str">
        <f aca="false">IF($E465="","",IF($I465&gt;0,"DEBIT",IF($J465&gt;0,"KREDIT","ZERO")))</f>
        <v/>
      </c>
      <c r="N465" s="484" t="str">
        <f aca="false">IF($E465="","",TEXT($B465,"yyyymmdd")&amp;"-"&amp;TEXT(ROW(),"0000"))</f>
        <v/>
      </c>
      <c r="O465" s="101" t="str">
        <f aca="false">IF($E465="","",$E465&amp;"")</f>
        <v/>
      </c>
      <c r="P465" s="101" t="str">
        <f aca="false">IF(AND($O465&lt;&gt;"",$I465&lt;&gt;0),COUNTIFS($O$2:O465,$O465,$I$2:I465,"&gt;0"),"")</f>
        <v/>
      </c>
      <c r="Q465" s="101" t="str">
        <f aca="false">IF(AND($O465&lt;&gt;"",$J465&lt;&gt;0),COUNTIFS($O$2:O465,$O465,$J$2:J465,"&gt;0"),"")</f>
        <v/>
      </c>
      <c r="R465" s="101" t="str">
        <f aca="false">IF($P465="","",$O465&amp;"|"&amp;$P465)</f>
        <v/>
      </c>
      <c r="S465" s="101" t="str">
        <f aca="false">IF($Q465="","",$O465&amp;"|"&amp;$Q465)</f>
        <v/>
      </c>
      <c r="T465" s="101" t="str">
        <f aca="false">IF($O465="","",COUNTIF($O$2:O465,$O465))</f>
        <v/>
      </c>
      <c r="U465" s="101" t="str">
        <f aca="false">IF($O465="","",$O465&amp;"|"&amp;$T465)</f>
        <v/>
      </c>
      <c r="V465" s="488" t="n">
        <f aca="false">IF(OR(LEFT($D465,5)="MB-CL",LEFT($D465,6)="MB-RES"),0,$I465)</f>
        <v>0</v>
      </c>
      <c r="W465" s="488" t="n">
        <f aca="false">IF(OR(LEFT($D465,5)="MB-CL",LEFT($D465,6)="MB-RES"),0,$J465)</f>
        <v>0</v>
      </c>
      <c r="X465" s="101" t="str">
        <f aca="false">IF($E465="","",LEFT($E465,1))</f>
        <v/>
      </c>
      <c r="Y465" s="101" t="str">
        <f aca="false">IF($E465="","",LEFT($E465,2))</f>
        <v/>
      </c>
      <c r="Z465" s="101" t="str">
        <f aca="false">IF($E465="","",LEFT($E465,3))</f>
        <v/>
      </c>
      <c r="AA465" s="101" t="str">
        <f aca="false">IF($E465="","",LEFT($E465,4))</f>
        <v/>
      </c>
    </row>
    <row r="466" customFormat="false" ht="15" hidden="false" customHeight="true" outlineLevel="0" collapsed="false">
      <c r="A466" s="484" t="str">
        <f aca="false">IF(DITARI!$D470="","",ROW()-1)</f>
        <v/>
      </c>
      <c r="B466" s="485" t="str">
        <f aca="false">IF(DITARI!$D470="","",DITARI!$A470)</f>
        <v/>
      </c>
      <c r="C466" s="484" t="str">
        <f aca="false">IF(DITARI!$D470="","",DITARI!$B470)</f>
        <v/>
      </c>
      <c r="D466" s="484" t="str">
        <f aca="false">IF(DITARI!$D470="","",DITARI!$C470)</f>
        <v/>
      </c>
      <c r="E466" s="484" t="str">
        <f aca="false">IF(DITARI!$D470="","",TRIM(DITARI!$D470&amp;""))</f>
        <v/>
      </c>
      <c r="F466" s="484" t="str">
        <f aca="false">IF($E466="","",IFERROR(VLOOKUP($E466,PLANI_LLOGARIVE!$A:$I,2,FALSE()),DITARI!$E470))</f>
        <v/>
      </c>
      <c r="G466" s="484" t="str">
        <f aca="false">IF($E466="","",DITARI!$I470)</f>
        <v/>
      </c>
      <c r="H466" s="484" t="str">
        <f aca="false">IFERROR(IF($E466="","",DITARI!$H470),"")</f>
        <v/>
      </c>
      <c r="I466" s="487" t="n">
        <f aca="false">IF($E466="",0,IFERROR(DITARI!$F470,0))</f>
        <v>0</v>
      </c>
      <c r="J466" s="487" t="n">
        <f aca="false">IF($E466="",0,IFERROR(DITARI!$G470,0))</f>
        <v>0</v>
      </c>
      <c r="K466" s="484" t="str">
        <f aca="false">IF($E466="","",IFERROR(VLOOKUP($E466,PLANI_LLOGARIVE!$A:$I,9,FALSE()),""))</f>
        <v/>
      </c>
      <c r="L466" s="487" t="str">
        <f aca="false">IF($E466="","",$I466-$J466)</f>
        <v/>
      </c>
      <c r="M466" s="484" t="str">
        <f aca="false">IF($E466="","",IF($I466&gt;0,"DEBIT",IF($J466&gt;0,"KREDIT","ZERO")))</f>
        <v/>
      </c>
      <c r="N466" s="484" t="str">
        <f aca="false">IF($E466="","",TEXT($B466,"yyyymmdd")&amp;"-"&amp;TEXT(ROW(),"0000"))</f>
        <v/>
      </c>
      <c r="O466" s="101" t="str">
        <f aca="false">IF($E466="","",$E466&amp;"")</f>
        <v/>
      </c>
      <c r="P466" s="101" t="str">
        <f aca="false">IF(AND($O466&lt;&gt;"",$I466&lt;&gt;0),COUNTIFS($O$2:O466,$O466,$I$2:I466,"&gt;0"),"")</f>
        <v/>
      </c>
      <c r="Q466" s="101" t="str">
        <f aca="false">IF(AND($O466&lt;&gt;"",$J466&lt;&gt;0),COUNTIFS($O$2:O466,$O466,$J$2:J466,"&gt;0"),"")</f>
        <v/>
      </c>
      <c r="R466" s="101" t="str">
        <f aca="false">IF($P466="","",$O466&amp;"|"&amp;$P466)</f>
        <v/>
      </c>
      <c r="S466" s="101" t="str">
        <f aca="false">IF($Q466="","",$O466&amp;"|"&amp;$Q466)</f>
        <v/>
      </c>
      <c r="T466" s="101" t="str">
        <f aca="false">IF($O466="","",COUNTIF($O$2:O466,$O466))</f>
        <v/>
      </c>
      <c r="U466" s="101" t="str">
        <f aca="false">IF($O466="","",$O466&amp;"|"&amp;$T466)</f>
        <v/>
      </c>
      <c r="V466" s="488" t="n">
        <f aca="false">IF(OR(LEFT($D466,5)="MB-CL",LEFT($D466,6)="MB-RES"),0,$I466)</f>
        <v>0</v>
      </c>
      <c r="W466" s="488" t="n">
        <f aca="false">IF(OR(LEFT($D466,5)="MB-CL",LEFT($D466,6)="MB-RES"),0,$J466)</f>
        <v>0</v>
      </c>
      <c r="X466" s="101" t="str">
        <f aca="false">IF($E466="","",LEFT($E466,1))</f>
        <v/>
      </c>
      <c r="Y466" s="101" t="str">
        <f aca="false">IF($E466="","",LEFT($E466,2))</f>
        <v/>
      </c>
      <c r="Z466" s="101" t="str">
        <f aca="false">IF($E466="","",LEFT($E466,3))</f>
        <v/>
      </c>
      <c r="AA466" s="101" t="str">
        <f aca="false">IF($E466="","",LEFT($E466,4))</f>
        <v/>
      </c>
    </row>
    <row r="467" customFormat="false" ht="15" hidden="false" customHeight="true" outlineLevel="0" collapsed="false">
      <c r="A467" s="484" t="str">
        <f aca="false">IF(DITARI!$D471="","",ROW()-1)</f>
        <v/>
      </c>
      <c r="B467" s="485" t="str">
        <f aca="false">IF(DITARI!$D471="","",DITARI!$A471)</f>
        <v/>
      </c>
      <c r="C467" s="484" t="str">
        <f aca="false">IF(DITARI!$D471="","",DITARI!$B471)</f>
        <v/>
      </c>
      <c r="D467" s="484" t="str">
        <f aca="false">IF(DITARI!$D471="","",DITARI!$C471)</f>
        <v/>
      </c>
      <c r="E467" s="484" t="str">
        <f aca="false">IF(DITARI!$D471="","",TRIM(DITARI!$D471&amp;""))</f>
        <v/>
      </c>
      <c r="F467" s="484" t="str">
        <f aca="false">IF($E467="","",IFERROR(VLOOKUP($E467,PLANI_LLOGARIVE!$A:$I,2,FALSE()),DITARI!$E471))</f>
        <v/>
      </c>
      <c r="G467" s="484" t="str">
        <f aca="false">IF($E467="","",DITARI!$I471)</f>
        <v/>
      </c>
      <c r="H467" s="484" t="str">
        <f aca="false">IFERROR(IF($E467="","",DITARI!$H471),"")</f>
        <v/>
      </c>
      <c r="I467" s="487" t="n">
        <f aca="false">IF($E467="",0,IFERROR(DITARI!$F471,0))</f>
        <v>0</v>
      </c>
      <c r="J467" s="487" t="n">
        <f aca="false">IF($E467="",0,IFERROR(DITARI!$G471,0))</f>
        <v>0</v>
      </c>
      <c r="K467" s="484" t="str">
        <f aca="false">IF($E467="","",IFERROR(VLOOKUP($E467,PLANI_LLOGARIVE!$A:$I,9,FALSE()),""))</f>
        <v/>
      </c>
      <c r="L467" s="487" t="str">
        <f aca="false">IF($E467="","",$I467-$J467)</f>
        <v/>
      </c>
      <c r="M467" s="484" t="str">
        <f aca="false">IF($E467="","",IF($I467&gt;0,"DEBIT",IF($J467&gt;0,"KREDIT","ZERO")))</f>
        <v/>
      </c>
      <c r="N467" s="484" t="str">
        <f aca="false">IF($E467="","",TEXT($B467,"yyyymmdd")&amp;"-"&amp;TEXT(ROW(),"0000"))</f>
        <v/>
      </c>
      <c r="O467" s="101" t="str">
        <f aca="false">IF($E467="","",$E467&amp;"")</f>
        <v/>
      </c>
      <c r="P467" s="101" t="str">
        <f aca="false">IF(AND($O467&lt;&gt;"",$I467&lt;&gt;0),COUNTIFS($O$2:O467,$O467,$I$2:I467,"&gt;0"),"")</f>
        <v/>
      </c>
      <c r="Q467" s="101" t="str">
        <f aca="false">IF(AND($O467&lt;&gt;"",$J467&lt;&gt;0),COUNTIFS($O$2:O467,$O467,$J$2:J467,"&gt;0"),"")</f>
        <v/>
      </c>
      <c r="R467" s="101" t="str">
        <f aca="false">IF($P467="","",$O467&amp;"|"&amp;$P467)</f>
        <v/>
      </c>
      <c r="S467" s="101" t="str">
        <f aca="false">IF($Q467="","",$O467&amp;"|"&amp;$Q467)</f>
        <v/>
      </c>
      <c r="T467" s="101" t="str">
        <f aca="false">IF($O467="","",COUNTIF($O$2:O467,$O467))</f>
        <v/>
      </c>
      <c r="U467" s="101" t="str">
        <f aca="false">IF($O467="","",$O467&amp;"|"&amp;$T467)</f>
        <v/>
      </c>
      <c r="V467" s="488" t="n">
        <f aca="false">IF(OR(LEFT($D467,5)="MB-CL",LEFT($D467,6)="MB-RES"),0,$I467)</f>
        <v>0</v>
      </c>
      <c r="W467" s="488" t="n">
        <f aca="false">IF(OR(LEFT($D467,5)="MB-CL",LEFT($D467,6)="MB-RES"),0,$J467)</f>
        <v>0</v>
      </c>
      <c r="X467" s="101" t="str">
        <f aca="false">IF($E467="","",LEFT($E467,1))</f>
        <v/>
      </c>
      <c r="Y467" s="101" t="str">
        <f aca="false">IF($E467="","",LEFT($E467,2))</f>
        <v/>
      </c>
      <c r="Z467" s="101" t="str">
        <f aca="false">IF($E467="","",LEFT($E467,3))</f>
        <v/>
      </c>
      <c r="AA467" s="101" t="str">
        <f aca="false">IF($E467="","",LEFT($E467,4))</f>
        <v/>
      </c>
    </row>
    <row r="468" customFormat="false" ht="15" hidden="false" customHeight="true" outlineLevel="0" collapsed="false">
      <c r="A468" s="484" t="str">
        <f aca="false">IF(DITARI!$D472="","",ROW()-1)</f>
        <v/>
      </c>
      <c r="B468" s="485" t="str">
        <f aca="false">IF(DITARI!$D472="","",DITARI!$A472)</f>
        <v/>
      </c>
      <c r="C468" s="484" t="str">
        <f aca="false">IF(DITARI!$D472="","",DITARI!$B472)</f>
        <v/>
      </c>
      <c r="D468" s="484" t="str">
        <f aca="false">IF(DITARI!$D472="","",DITARI!$C472)</f>
        <v/>
      </c>
      <c r="E468" s="484" t="str">
        <f aca="false">IF(DITARI!$D472="","",TRIM(DITARI!$D472&amp;""))</f>
        <v/>
      </c>
      <c r="F468" s="484" t="str">
        <f aca="false">IF($E468="","",IFERROR(VLOOKUP($E468,PLANI_LLOGARIVE!$A:$I,2,FALSE()),DITARI!$E472))</f>
        <v/>
      </c>
      <c r="G468" s="484" t="str">
        <f aca="false">IF($E468="","",DITARI!$I472)</f>
        <v/>
      </c>
      <c r="H468" s="484" t="str">
        <f aca="false">IFERROR(IF($E468="","",DITARI!$H472),"")</f>
        <v/>
      </c>
      <c r="I468" s="487" t="n">
        <f aca="false">IF($E468="",0,IFERROR(DITARI!$F472,0))</f>
        <v>0</v>
      </c>
      <c r="J468" s="487" t="n">
        <f aca="false">IF($E468="",0,IFERROR(DITARI!$G472,0))</f>
        <v>0</v>
      </c>
      <c r="K468" s="484" t="str">
        <f aca="false">IF($E468="","",IFERROR(VLOOKUP($E468,PLANI_LLOGARIVE!$A:$I,9,FALSE()),""))</f>
        <v/>
      </c>
      <c r="L468" s="487" t="str">
        <f aca="false">IF($E468="","",$I468-$J468)</f>
        <v/>
      </c>
      <c r="M468" s="484" t="str">
        <f aca="false">IF($E468="","",IF($I468&gt;0,"DEBIT",IF($J468&gt;0,"KREDIT","ZERO")))</f>
        <v/>
      </c>
      <c r="N468" s="484" t="str">
        <f aca="false">IF($E468="","",TEXT($B468,"yyyymmdd")&amp;"-"&amp;TEXT(ROW(),"0000"))</f>
        <v/>
      </c>
      <c r="O468" s="101" t="str">
        <f aca="false">IF($E468="","",$E468&amp;"")</f>
        <v/>
      </c>
      <c r="P468" s="101" t="str">
        <f aca="false">IF(AND($O468&lt;&gt;"",$I468&lt;&gt;0),COUNTIFS($O$2:O468,$O468,$I$2:I468,"&gt;0"),"")</f>
        <v/>
      </c>
      <c r="Q468" s="101" t="str">
        <f aca="false">IF(AND($O468&lt;&gt;"",$J468&lt;&gt;0),COUNTIFS($O$2:O468,$O468,$J$2:J468,"&gt;0"),"")</f>
        <v/>
      </c>
      <c r="R468" s="101" t="str">
        <f aca="false">IF($P468="","",$O468&amp;"|"&amp;$P468)</f>
        <v/>
      </c>
      <c r="S468" s="101" t="str">
        <f aca="false">IF($Q468="","",$O468&amp;"|"&amp;$Q468)</f>
        <v/>
      </c>
      <c r="T468" s="101" t="str">
        <f aca="false">IF($O468="","",COUNTIF($O$2:O468,$O468))</f>
        <v/>
      </c>
      <c r="U468" s="101" t="str">
        <f aca="false">IF($O468="","",$O468&amp;"|"&amp;$T468)</f>
        <v/>
      </c>
      <c r="V468" s="488" t="n">
        <f aca="false">IF(OR(LEFT($D468,5)="MB-CL",LEFT($D468,6)="MB-RES"),0,$I468)</f>
        <v>0</v>
      </c>
      <c r="W468" s="488" t="n">
        <f aca="false">IF(OR(LEFT($D468,5)="MB-CL",LEFT($D468,6)="MB-RES"),0,$J468)</f>
        <v>0</v>
      </c>
      <c r="X468" s="101" t="str">
        <f aca="false">IF($E468="","",LEFT($E468,1))</f>
        <v/>
      </c>
      <c r="Y468" s="101" t="str">
        <f aca="false">IF($E468="","",LEFT($E468,2))</f>
        <v/>
      </c>
      <c r="Z468" s="101" t="str">
        <f aca="false">IF($E468="","",LEFT($E468,3))</f>
        <v/>
      </c>
      <c r="AA468" s="101" t="str">
        <f aca="false">IF($E468="","",LEFT($E468,4))</f>
        <v/>
      </c>
    </row>
    <row r="469" customFormat="false" ht="15" hidden="false" customHeight="true" outlineLevel="0" collapsed="false">
      <c r="A469" s="484" t="str">
        <f aca="false">IF(DITARI!$D473="","",ROW()-1)</f>
        <v/>
      </c>
      <c r="B469" s="485" t="str">
        <f aca="false">IF(DITARI!$D473="","",DITARI!$A473)</f>
        <v/>
      </c>
      <c r="C469" s="484" t="str">
        <f aca="false">IF(DITARI!$D473="","",DITARI!$B473)</f>
        <v/>
      </c>
      <c r="D469" s="484" t="str">
        <f aca="false">IF(DITARI!$D473="","",DITARI!$C473)</f>
        <v/>
      </c>
      <c r="E469" s="484" t="str">
        <f aca="false">IF(DITARI!$D473="","",TRIM(DITARI!$D473&amp;""))</f>
        <v/>
      </c>
      <c r="F469" s="484" t="str">
        <f aca="false">IF($E469="","",IFERROR(VLOOKUP($E469,PLANI_LLOGARIVE!$A:$I,2,FALSE()),DITARI!$E473))</f>
        <v/>
      </c>
      <c r="G469" s="484" t="str">
        <f aca="false">IF($E469="","",DITARI!$I473)</f>
        <v/>
      </c>
      <c r="H469" s="484" t="str">
        <f aca="false">IFERROR(IF($E469="","",DITARI!$H473),"")</f>
        <v/>
      </c>
      <c r="I469" s="487" t="n">
        <f aca="false">IF($E469="",0,IFERROR(DITARI!$F473,0))</f>
        <v>0</v>
      </c>
      <c r="J469" s="487" t="n">
        <f aca="false">IF($E469="",0,IFERROR(DITARI!$G473,0))</f>
        <v>0</v>
      </c>
      <c r="K469" s="484" t="str">
        <f aca="false">IF($E469="","",IFERROR(VLOOKUP($E469,PLANI_LLOGARIVE!$A:$I,9,FALSE()),""))</f>
        <v/>
      </c>
      <c r="L469" s="487" t="str">
        <f aca="false">IF($E469="","",$I469-$J469)</f>
        <v/>
      </c>
      <c r="M469" s="484" t="str">
        <f aca="false">IF($E469="","",IF($I469&gt;0,"DEBIT",IF($J469&gt;0,"KREDIT","ZERO")))</f>
        <v/>
      </c>
      <c r="N469" s="484" t="str">
        <f aca="false">IF($E469="","",TEXT($B469,"yyyymmdd")&amp;"-"&amp;TEXT(ROW(),"0000"))</f>
        <v/>
      </c>
      <c r="O469" s="101" t="str">
        <f aca="false">IF($E469="","",$E469&amp;"")</f>
        <v/>
      </c>
      <c r="P469" s="101" t="str">
        <f aca="false">IF(AND($O469&lt;&gt;"",$I469&lt;&gt;0),COUNTIFS($O$2:O469,$O469,$I$2:I469,"&gt;0"),"")</f>
        <v/>
      </c>
      <c r="Q469" s="101" t="str">
        <f aca="false">IF(AND($O469&lt;&gt;"",$J469&lt;&gt;0),COUNTIFS($O$2:O469,$O469,$J$2:J469,"&gt;0"),"")</f>
        <v/>
      </c>
      <c r="R469" s="101" t="str">
        <f aca="false">IF($P469="","",$O469&amp;"|"&amp;$P469)</f>
        <v/>
      </c>
      <c r="S469" s="101" t="str">
        <f aca="false">IF($Q469="","",$O469&amp;"|"&amp;$Q469)</f>
        <v/>
      </c>
      <c r="T469" s="101" t="str">
        <f aca="false">IF($O469="","",COUNTIF($O$2:O469,$O469))</f>
        <v/>
      </c>
      <c r="U469" s="101" t="str">
        <f aca="false">IF($O469="","",$O469&amp;"|"&amp;$T469)</f>
        <v/>
      </c>
      <c r="V469" s="488" t="n">
        <f aca="false">IF(OR(LEFT($D469,5)="MB-CL",LEFT($D469,6)="MB-RES"),0,$I469)</f>
        <v>0</v>
      </c>
      <c r="W469" s="488" t="n">
        <f aca="false">IF(OR(LEFT($D469,5)="MB-CL",LEFT($D469,6)="MB-RES"),0,$J469)</f>
        <v>0</v>
      </c>
      <c r="X469" s="101" t="str">
        <f aca="false">IF($E469="","",LEFT($E469,1))</f>
        <v/>
      </c>
      <c r="Y469" s="101" t="str">
        <f aca="false">IF($E469="","",LEFT($E469,2))</f>
        <v/>
      </c>
      <c r="Z469" s="101" t="str">
        <f aca="false">IF($E469="","",LEFT($E469,3))</f>
        <v/>
      </c>
      <c r="AA469" s="101" t="str">
        <f aca="false">IF($E469="","",LEFT($E469,4))</f>
        <v/>
      </c>
    </row>
    <row r="470" customFormat="false" ht="15" hidden="false" customHeight="true" outlineLevel="0" collapsed="false">
      <c r="A470" s="484" t="str">
        <f aca="false">IF(DITARI!$D474="","",ROW()-1)</f>
        <v/>
      </c>
      <c r="B470" s="485" t="str">
        <f aca="false">IF(DITARI!$D474="","",DITARI!$A474)</f>
        <v/>
      </c>
      <c r="C470" s="484" t="str">
        <f aca="false">IF(DITARI!$D474="","",DITARI!$B474)</f>
        <v/>
      </c>
      <c r="D470" s="484" t="str">
        <f aca="false">IF(DITARI!$D474="","",DITARI!$C474)</f>
        <v/>
      </c>
      <c r="E470" s="484" t="str">
        <f aca="false">IF(DITARI!$D474="","",TRIM(DITARI!$D474&amp;""))</f>
        <v/>
      </c>
      <c r="F470" s="484" t="str">
        <f aca="false">IF($E470="","",IFERROR(VLOOKUP($E470,PLANI_LLOGARIVE!$A:$I,2,FALSE()),DITARI!$E474))</f>
        <v/>
      </c>
      <c r="G470" s="484" t="str">
        <f aca="false">IF($E470="","",DITARI!$I474)</f>
        <v/>
      </c>
      <c r="H470" s="484" t="str">
        <f aca="false">IFERROR(IF($E470="","",DITARI!$H474),"")</f>
        <v/>
      </c>
      <c r="I470" s="487" t="n">
        <f aca="false">IF($E470="",0,IFERROR(DITARI!$F474,0))</f>
        <v>0</v>
      </c>
      <c r="J470" s="487" t="n">
        <f aca="false">IF($E470="",0,IFERROR(DITARI!$G474,0))</f>
        <v>0</v>
      </c>
      <c r="K470" s="484" t="str">
        <f aca="false">IF($E470="","",IFERROR(VLOOKUP($E470,PLANI_LLOGARIVE!$A:$I,9,FALSE()),""))</f>
        <v/>
      </c>
      <c r="L470" s="487" t="str">
        <f aca="false">IF($E470="","",$I470-$J470)</f>
        <v/>
      </c>
      <c r="M470" s="484" t="str">
        <f aca="false">IF($E470="","",IF($I470&gt;0,"DEBIT",IF($J470&gt;0,"KREDIT","ZERO")))</f>
        <v/>
      </c>
      <c r="N470" s="484" t="str">
        <f aca="false">IF($E470="","",TEXT($B470,"yyyymmdd")&amp;"-"&amp;TEXT(ROW(),"0000"))</f>
        <v/>
      </c>
      <c r="O470" s="101" t="str">
        <f aca="false">IF($E470="","",$E470&amp;"")</f>
        <v/>
      </c>
      <c r="P470" s="101" t="str">
        <f aca="false">IF(AND($O470&lt;&gt;"",$I470&lt;&gt;0),COUNTIFS($O$2:O470,$O470,$I$2:I470,"&gt;0"),"")</f>
        <v/>
      </c>
      <c r="Q470" s="101" t="str">
        <f aca="false">IF(AND($O470&lt;&gt;"",$J470&lt;&gt;0),COUNTIFS($O$2:O470,$O470,$J$2:J470,"&gt;0"),"")</f>
        <v/>
      </c>
      <c r="R470" s="101" t="str">
        <f aca="false">IF($P470="","",$O470&amp;"|"&amp;$P470)</f>
        <v/>
      </c>
      <c r="S470" s="101" t="str">
        <f aca="false">IF($Q470="","",$O470&amp;"|"&amp;$Q470)</f>
        <v/>
      </c>
      <c r="T470" s="101" t="str">
        <f aca="false">IF($O470="","",COUNTIF($O$2:O470,$O470))</f>
        <v/>
      </c>
      <c r="U470" s="101" t="str">
        <f aca="false">IF($O470="","",$O470&amp;"|"&amp;$T470)</f>
        <v/>
      </c>
      <c r="V470" s="488" t="n">
        <f aca="false">IF(OR(LEFT($D470,5)="MB-CL",LEFT($D470,6)="MB-RES"),0,$I470)</f>
        <v>0</v>
      </c>
      <c r="W470" s="488" t="n">
        <f aca="false">IF(OR(LEFT($D470,5)="MB-CL",LEFT($D470,6)="MB-RES"),0,$J470)</f>
        <v>0</v>
      </c>
      <c r="X470" s="101" t="str">
        <f aca="false">IF($E470="","",LEFT($E470,1))</f>
        <v/>
      </c>
      <c r="Y470" s="101" t="str">
        <f aca="false">IF($E470="","",LEFT($E470,2))</f>
        <v/>
      </c>
      <c r="Z470" s="101" t="str">
        <f aca="false">IF($E470="","",LEFT($E470,3))</f>
        <v/>
      </c>
      <c r="AA470" s="101" t="str">
        <f aca="false">IF($E470="","",LEFT($E470,4))</f>
        <v/>
      </c>
    </row>
    <row r="471" customFormat="false" ht="15" hidden="false" customHeight="true" outlineLevel="0" collapsed="false">
      <c r="A471" s="484" t="str">
        <f aca="false">IF(DITARI!$D475="","",ROW()-1)</f>
        <v/>
      </c>
      <c r="B471" s="485" t="str">
        <f aca="false">IF(DITARI!$D475="","",DITARI!$A475)</f>
        <v/>
      </c>
      <c r="C471" s="484" t="str">
        <f aca="false">IF(DITARI!$D475="","",DITARI!$B475)</f>
        <v/>
      </c>
      <c r="D471" s="484" t="str">
        <f aca="false">IF(DITARI!$D475="","",DITARI!$C475)</f>
        <v/>
      </c>
      <c r="E471" s="484" t="str">
        <f aca="false">IF(DITARI!$D475="","",TRIM(DITARI!$D475&amp;""))</f>
        <v/>
      </c>
      <c r="F471" s="484" t="str">
        <f aca="false">IF($E471="","",IFERROR(VLOOKUP($E471,PLANI_LLOGARIVE!$A:$I,2,FALSE()),DITARI!$E475))</f>
        <v/>
      </c>
      <c r="G471" s="484" t="str">
        <f aca="false">IF($E471="","",DITARI!$I475)</f>
        <v/>
      </c>
      <c r="H471" s="484" t="str">
        <f aca="false">IFERROR(IF($E471="","",DITARI!$H475),"")</f>
        <v/>
      </c>
      <c r="I471" s="487" t="n">
        <f aca="false">IF($E471="",0,IFERROR(DITARI!$F475,0))</f>
        <v>0</v>
      </c>
      <c r="J471" s="487" t="n">
        <f aca="false">IF($E471="",0,IFERROR(DITARI!$G475,0))</f>
        <v>0</v>
      </c>
      <c r="K471" s="484" t="str">
        <f aca="false">IF($E471="","",IFERROR(VLOOKUP($E471,PLANI_LLOGARIVE!$A:$I,9,FALSE()),""))</f>
        <v/>
      </c>
      <c r="L471" s="487" t="str">
        <f aca="false">IF($E471="","",$I471-$J471)</f>
        <v/>
      </c>
      <c r="M471" s="484" t="str">
        <f aca="false">IF($E471="","",IF($I471&gt;0,"DEBIT",IF($J471&gt;0,"KREDIT","ZERO")))</f>
        <v/>
      </c>
      <c r="N471" s="484" t="str">
        <f aca="false">IF($E471="","",TEXT($B471,"yyyymmdd")&amp;"-"&amp;TEXT(ROW(),"0000"))</f>
        <v/>
      </c>
      <c r="O471" s="101" t="str">
        <f aca="false">IF($E471="","",$E471&amp;"")</f>
        <v/>
      </c>
      <c r="P471" s="101" t="str">
        <f aca="false">IF(AND($O471&lt;&gt;"",$I471&lt;&gt;0),COUNTIFS($O$2:O471,$O471,$I$2:I471,"&gt;0"),"")</f>
        <v/>
      </c>
      <c r="Q471" s="101" t="str">
        <f aca="false">IF(AND($O471&lt;&gt;"",$J471&lt;&gt;0),COUNTIFS($O$2:O471,$O471,$J$2:J471,"&gt;0"),"")</f>
        <v/>
      </c>
      <c r="R471" s="101" t="str">
        <f aca="false">IF($P471="","",$O471&amp;"|"&amp;$P471)</f>
        <v/>
      </c>
      <c r="S471" s="101" t="str">
        <f aca="false">IF($Q471="","",$O471&amp;"|"&amp;$Q471)</f>
        <v/>
      </c>
      <c r="T471" s="101" t="str">
        <f aca="false">IF($O471="","",COUNTIF($O$2:O471,$O471))</f>
        <v/>
      </c>
      <c r="U471" s="101" t="str">
        <f aca="false">IF($O471="","",$O471&amp;"|"&amp;$T471)</f>
        <v/>
      </c>
      <c r="V471" s="488" t="n">
        <f aca="false">IF(OR(LEFT($D471,5)="MB-CL",LEFT($D471,6)="MB-RES"),0,$I471)</f>
        <v>0</v>
      </c>
      <c r="W471" s="488" t="n">
        <f aca="false">IF(OR(LEFT($D471,5)="MB-CL",LEFT($D471,6)="MB-RES"),0,$J471)</f>
        <v>0</v>
      </c>
      <c r="X471" s="101" t="str">
        <f aca="false">IF($E471="","",LEFT($E471,1))</f>
        <v/>
      </c>
      <c r="Y471" s="101" t="str">
        <f aca="false">IF($E471="","",LEFT($E471,2))</f>
        <v/>
      </c>
      <c r="Z471" s="101" t="str">
        <f aca="false">IF($E471="","",LEFT($E471,3))</f>
        <v/>
      </c>
      <c r="AA471" s="101" t="str">
        <f aca="false">IF($E471="","",LEFT($E471,4))</f>
        <v/>
      </c>
    </row>
    <row r="472" customFormat="false" ht="15" hidden="false" customHeight="true" outlineLevel="0" collapsed="false">
      <c r="A472" s="484" t="str">
        <f aca="false">IF(DITARI!$D476="","",ROW()-1)</f>
        <v/>
      </c>
      <c r="B472" s="485" t="str">
        <f aca="false">IF(DITARI!$D476="","",DITARI!$A476)</f>
        <v/>
      </c>
      <c r="C472" s="484" t="str">
        <f aca="false">IF(DITARI!$D476="","",DITARI!$B476)</f>
        <v/>
      </c>
      <c r="D472" s="484" t="str">
        <f aca="false">IF(DITARI!$D476="","",DITARI!$C476)</f>
        <v/>
      </c>
      <c r="E472" s="484" t="str">
        <f aca="false">IF(DITARI!$D476="","",TRIM(DITARI!$D476&amp;""))</f>
        <v/>
      </c>
      <c r="F472" s="484" t="str">
        <f aca="false">IF($E472="","",IFERROR(VLOOKUP($E472,PLANI_LLOGARIVE!$A:$I,2,FALSE()),DITARI!$E476))</f>
        <v/>
      </c>
      <c r="G472" s="484" t="str">
        <f aca="false">IF($E472="","",DITARI!$I476)</f>
        <v/>
      </c>
      <c r="H472" s="484" t="str">
        <f aca="false">IFERROR(IF($E472="","",DITARI!$H476),"")</f>
        <v/>
      </c>
      <c r="I472" s="487" t="n">
        <f aca="false">IF($E472="",0,IFERROR(DITARI!$F476,0))</f>
        <v>0</v>
      </c>
      <c r="J472" s="487" t="n">
        <f aca="false">IF($E472="",0,IFERROR(DITARI!$G476,0))</f>
        <v>0</v>
      </c>
      <c r="K472" s="484" t="str">
        <f aca="false">IF($E472="","",IFERROR(VLOOKUP($E472,PLANI_LLOGARIVE!$A:$I,9,FALSE()),""))</f>
        <v/>
      </c>
      <c r="L472" s="487" t="str">
        <f aca="false">IF($E472="","",$I472-$J472)</f>
        <v/>
      </c>
      <c r="M472" s="484" t="str">
        <f aca="false">IF($E472="","",IF($I472&gt;0,"DEBIT",IF($J472&gt;0,"KREDIT","ZERO")))</f>
        <v/>
      </c>
      <c r="N472" s="484" t="str">
        <f aca="false">IF($E472="","",TEXT($B472,"yyyymmdd")&amp;"-"&amp;TEXT(ROW(),"0000"))</f>
        <v/>
      </c>
      <c r="O472" s="101" t="str">
        <f aca="false">IF($E472="","",$E472&amp;"")</f>
        <v/>
      </c>
      <c r="P472" s="101" t="str">
        <f aca="false">IF(AND($O472&lt;&gt;"",$I472&lt;&gt;0),COUNTIFS($O$2:O472,$O472,$I$2:I472,"&gt;0"),"")</f>
        <v/>
      </c>
      <c r="Q472" s="101" t="str">
        <f aca="false">IF(AND($O472&lt;&gt;"",$J472&lt;&gt;0),COUNTIFS($O$2:O472,$O472,$J$2:J472,"&gt;0"),"")</f>
        <v/>
      </c>
      <c r="R472" s="101" t="str">
        <f aca="false">IF($P472="","",$O472&amp;"|"&amp;$P472)</f>
        <v/>
      </c>
      <c r="S472" s="101" t="str">
        <f aca="false">IF($Q472="","",$O472&amp;"|"&amp;$Q472)</f>
        <v/>
      </c>
      <c r="T472" s="101" t="str">
        <f aca="false">IF($O472="","",COUNTIF($O$2:O472,$O472))</f>
        <v/>
      </c>
      <c r="U472" s="101" t="str">
        <f aca="false">IF($O472="","",$O472&amp;"|"&amp;$T472)</f>
        <v/>
      </c>
      <c r="V472" s="488" t="n">
        <f aca="false">IF(OR(LEFT($D472,5)="MB-CL",LEFT($D472,6)="MB-RES"),0,$I472)</f>
        <v>0</v>
      </c>
      <c r="W472" s="488" t="n">
        <f aca="false">IF(OR(LEFT($D472,5)="MB-CL",LEFT($D472,6)="MB-RES"),0,$J472)</f>
        <v>0</v>
      </c>
      <c r="X472" s="101" t="str">
        <f aca="false">IF($E472="","",LEFT($E472,1))</f>
        <v/>
      </c>
      <c r="Y472" s="101" t="str">
        <f aca="false">IF($E472="","",LEFT($E472,2))</f>
        <v/>
      </c>
      <c r="Z472" s="101" t="str">
        <f aca="false">IF($E472="","",LEFT($E472,3))</f>
        <v/>
      </c>
      <c r="AA472" s="101" t="str">
        <f aca="false">IF($E472="","",LEFT($E472,4))</f>
        <v/>
      </c>
    </row>
    <row r="473" customFormat="false" ht="15" hidden="false" customHeight="true" outlineLevel="0" collapsed="false">
      <c r="A473" s="484" t="str">
        <f aca="false">IF(DITARI!$D477="","",ROW()-1)</f>
        <v/>
      </c>
      <c r="B473" s="485" t="str">
        <f aca="false">IF(DITARI!$D477="","",DITARI!$A477)</f>
        <v/>
      </c>
      <c r="C473" s="484" t="str">
        <f aca="false">IF(DITARI!$D477="","",DITARI!$B477)</f>
        <v/>
      </c>
      <c r="D473" s="484" t="str">
        <f aca="false">IF(DITARI!$D477="","",DITARI!$C477)</f>
        <v/>
      </c>
      <c r="E473" s="484" t="str">
        <f aca="false">IF(DITARI!$D477="","",TRIM(DITARI!$D477&amp;""))</f>
        <v/>
      </c>
      <c r="F473" s="484" t="str">
        <f aca="false">IF($E473="","",IFERROR(VLOOKUP($E473,PLANI_LLOGARIVE!$A:$I,2,FALSE()),DITARI!$E477))</f>
        <v/>
      </c>
      <c r="G473" s="484" t="str">
        <f aca="false">IF($E473="","",DITARI!$I477)</f>
        <v/>
      </c>
      <c r="H473" s="484" t="str">
        <f aca="false">IFERROR(IF($E473="","",DITARI!$H477),"")</f>
        <v/>
      </c>
      <c r="I473" s="487" t="n">
        <f aca="false">IF($E473="",0,IFERROR(DITARI!$F477,0))</f>
        <v>0</v>
      </c>
      <c r="J473" s="487" t="n">
        <f aca="false">IF($E473="",0,IFERROR(DITARI!$G477,0))</f>
        <v>0</v>
      </c>
      <c r="K473" s="484" t="str">
        <f aca="false">IF($E473="","",IFERROR(VLOOKUP($E473,PLANI_LLOGARIVE!$A:$I,9,FALSE()),""))</f>
        <v/>
      </c>
      <c r="L473" s="487" t="str">
        <f aca="false">IF($E473="","",$I473-$J473)</f>
        <v/>
      </c>
      <c r="M473" s="484" t="str">
        <f aca="false">IF($E473="","",IF($I473&gt;0,"DEBIT",IF($J473&gt;0,"KREDIT","ZERO")))</f>
        <v/>
      </c>
      <c r="N473" s="484" t="str">
        <f aca="false">IF($E473="","",TEXT($B473,"yyyymmdd")&amp;"-"&amp;TEXT(ROW(),"0000"))</f>
        <v/>
      </c>
      <c r="O473" s="101" t="str">
        <f aca="false">IF($E473="","",$E473&amp;"")</f>
        <v/>
      </c>
      <c r="P473" s="101" t="str">
        <f aca="false">IF(AND($O473&lt;&gt;"",$I473&lt;&gt;0),COUNTIFS($O$2:O473,$O473,$I$2:I473,"&gt;0"),"")</f>
        <v/>
      </c>
      <c r="Q473" s="101" t="str">
        <f aca="false">IF(AND($O473&lt;&gt;"",$J473&lt;&gt;0),COUNTIFS($O$2:O473,$O473,$J$2:J473,"&gt;0"),"")</f>
        <v/>
      </c>
      <c r="R473" s="101" t="str">
        <f aca="false">IF($P473="","",$O473&amp;"|"&amp;$P473)</f>
        <v/>
      </c>
      <c r="S473" s="101" t="str">
        <f aca="false">IF($Q473="","",$O473&amp;"|"&amp;$Q473)</f>
        <v/>
      </c>
      <c r="T473" s="101" t="str">
        <f aca="false">IF($O473="","",COUNTIF($O$2:O473,$O473))</f>
        <v/>
      </c>
      <c r="U473" s="101" t="str">
        <f aca="false">IF($O473="","",$O473&amp;"|"&amp;$T473)</f>
        <v/>
      </c>
      <c r="V473" s="488" t="n">
        <f aca="false">IF(OR(LEFT($D473,5)="MB-CL",LEFT($D473,6)="MB-RES"),0,$I473)</f>
        <v>0</v>
      </c>
      <c r="W473" s="488" t="n">
        <f aca="false">IF(OR(LEFT($D473,5)="MB-CL",LEFT($D473,6)="MB-RES"),0,$J473)</f>
        <v>0</v>
      </c>
      <c r="X473" s="101" t="str">
        <f aca="false">IF($E473="","",LEFT($E473,1))</f>
        <v/>
      </c>
      <c r="Y473" s="101" t="str">
        <f aca="false">IF($E473="","",LEFT($E473,2))</f>
        <v/>
      </c>
      <c r="Z473" s="101" t="str">
        <f aca="false">IF($E473="","",LEFT($E473,3))</f>
        <v/>
      </c>
      <c r="AA473" s="101" t="str">
        <f aca="false">IF($E473="","",LEFT($E473,4))</f>
        <v/>
      </c>
    </row>
    <row r="474" customFormat="false" ht="15" hidden="false" customHeight="true" outlineLevel="0" collapsed="false">
      <c r="A474" s="484" t="str">
        <f aca="false">IF(DITARI!$D478="","",ROW()-1)</f>
        <v/>
      </c>
      <c r="B474" s="485" t="str">
        <f aca="false">IF(DITARI!$D478="","",DITARI!$A478)</f>
        <v/>
      </c>
      <c r="C474" s="484" t="str">
        <f aca="false">IF(DITARI!$D478="","",DITARI!$B478)</f>
        <v/>
      </c>
      <c r="D474" s="484" t="str">
        <f aca="false">IF(DITARI!$D478="","",DITARI!$C478)</f>
        <v/>
      </c>
      <c r="E474" s="484" t="str">
        <f aca="false">IF(DITARI!$D478="","",TRIM(DITARI!$D478&amp;""))</f>
        <v/>
      </c>
      <c r="F474" s="484" t="str">
        <f aca="false">IF($E474="","",IFERROR(VLOOKUP($E474,PLANI_LLOGARIVE!$A:$I,2,FALSE()),DITARI!$E478))</f>
        <v/>
      </c>
      <c r="G474" s="484" t="str">
        <f aca="false">IF($E474="","",DITARI!$I478)</f>
        <v/>
      </c>
      <c r="H474" s="484" t="str">
        <f aca="false">IFERROR(IF($E474="","",DITARI!$H478),"")</f>
        <v/>
      </c>
      <c r="I474" s="487" t="n">
        <f aca="false">IF($E474="",0,IFERROR(DITARI!$F478,0))</f>
        <v>0</v>
      </c>
      <c r="J474" s="487" t="n">
        <f aca="false">IF($E474="",0,IFERROR(DITARI!$G478,0))</f>
        <v>0</v>
      </c>
      <c r="K474" s="484" t="str">
        <f aca="false">IF($E474="","",IFERROR(VLOOKUP($E474,PLANI_LLOGARIVE!$A:$I,9,FALSE()),""))</f>
        <v/>
      </c>
      <c r="L474" s="487" t="str">
        <f aca="false">IF($E474="","",$I474-$J474)</f>
        <v/>
      </c>
      <c r="M474" s="484" t="str">
        <f aca="false">IF($E474="","",IF($I474&gt;0,"DEBIT",IF($J474&gt;0,"KREDIT","ZERO")))</f>
        <v/>
      </c>
      <c r="N474" s="484" t="str">
        <f aca="false">IF($E474="","",TEXT($B474,"yyyymmdd")&amp;"-"&amp;TEXT(ROW(),"0000"))</f>
        <v/>
      </c>
      <c r="O474" s="101" t="str">
        <f aca="false">IF($E474="","",$E474&amp;"")</f>
        <v/>
      </c>
      <c r="P474" s="101" t="str">
        <f aca="false">IF(AND($O474&lt;&gt;"",$I474&lt;&gt;0),COUNTIFS($O$2:O474,$O474,$I$2:I474,"&gt;0"),"")</f>
        <v/>
      </c>
      <c r="Q474" s="101" t="str">
        <f aca="false">IF(AND($O474&lt;&gt;"",$J474&lt;&gt;0),COUNTIFS($O$2:O474,$O474,$J$2:J474,"&gt;0"),"")</f>
        <v/>
      </c>
      <c r="R474" s="101" t="str">
        <f aca="false">IF($P474="","",$O474&amp;"|"&amp;$P474)</f>
        <v/>
      </c>
      <c r="S474" s="101" t="str">
        <f aca="false">IF($Q474="","",$O474&amp;"|"&amp;$Q474)</f>
        <v/>
      </c>
      <c r="T474" s="101" t="str">
        <f aca="false">IF($O474="","",COUNTIF($O$2:O474,$O474))</f>
        <v/>
      </c>
      <c r="U474" s="101" t="str">
        <f aca="false">IF($O474="","",$O474&amp;"|"&amp;$T474)</f>
        <v/>
      </c>
      <c r="V474" s="488" t="n">
        <f aca="false">IF(OR(LEFT($D474,5)="MB-CL",LEFT($D474,6)="MB-RES"),0,$I474)</f>
        <v>0</v>
      </c>
      <c r="W474" s="488" t="n">
        <f aca="false">IF(OR(LEFT($D474,5)="MB-CL",LEFT($D474,6)="MB-RES"),0,$J474)</f>
        <v>0</v>
      </c>
      <c r="X474" s="101" t="str">
        <f aca="false">IF($E474="","",LEFT($E474,1))</f>
        <v/>
      </c>
      <c r="Y474" s="101" t="str">
        <f aca="false">IF($E474="","",LEFT($E474,2))</f>
        <v/>
      </c>
      <c r="Z474" s="101" t="str">
        <f aca="false">IF($E474="","",LEFT($E474,3))</f>
        <v/>
      </c>
      <c r="AA474" s="101" t="str">
        <f aca="false">IF($E474="","",LEFT($E474,4))</f>
        <v/>
      </c>
    </row>
    <row r="475" customFormat="false" ht="15" hidden="false" customHeight="true" outlineLevel="0" collapsed="false">
      <c r="A475" s="484" t="str">
        <f aca="false">IF(DITARI!$D479="","",ROW()-1)</f>
        <v/>
      </c>
      <c r="B475" s="485" t="str">
        <f aca="false">IF(DITARI!$D479="","",DITARI!$A479)</f>
        <v/>
      </c>
      <c r="C475" s="484" t="str">
        <f aca="false">IF(DITARI!$D479="","",DITARI!$B479)</f>
        <v/>
      </c>
      <c r="D475" s="484" t="str">
        <f aca="false">IF(DITARI!$D479="","",DITARI!$C479)</f>
        <v/>
      </c>
      <c r="E475" s="484" t="str">
        <f aca="false">IF(DITARI!$D479="","",TRIM(DITARI!$D479&amp;""))</f>
        <v/>
      </c>
      <c r="F475" s="484" t="str">
        <f aca="false">IF($E475="","",IFERROR(VLOOKUP($E475,PLANI_LLOGARIVE!$A:$I,2,FALSE()),DITARI!$E479))</f>
        <v/>
      </c>
      <c r="G475" s="484" t="str">
        <f aca="false">IF($E475="","",DITARI!$I479)</f>
        <v/>
      </c>
      <c r="H475" s="484" t="str">
        <f aca="false">IFERROR(IF($E475="","",DITARI!$H479),"")</f>
        <v/>
      </c>
      <c r="I475" s="487" t="n">
        <f aca="false">IF($E475="",0,IFERROR(DITARI!$F479,0))</f>
        <v>0</v>
      </c>
      <c r="J475" s="487" t="n">
        <f aca="false">IF($E475="",0,IFERROR(DITARI!$G479,0))</f>
        <v>0</v>
      </c>
      <c r="K475" s="484" t="str">
        <f aca="false">IF($E475="","",IFERROR(VLOOKUP($E475,PLANI_LLOGARIVE!$A:$I,9,FALSE()),""))</f>
        <v/>
      </c>
      <c r="L475" s="487" t="str">
        <f aca="false">IF($E475="","",$I475-$J475)</f>
        <v/>
      </c>
      <c r="M475" s="484" t="str">
        <f aca="false">IF($E475="","",IF($I475&gt;0,"DEBIT",IF($J475&gt;0,"KREDIT","ZERO")))</f>
        <v/>
      </c>
      <c r="N475" s="484" t="str">
        <f aca="false">IF($E475="","",TEXT($B475,"yyyymmdd")&amp;"-"&amp;TEXT(ROW(),"0000"))</f>
        <v/>
      </c>
      <c r="O475" s="101" t="str">
        <f aca="false">IF($E475="","",$E475&amp;"")</f>
        <v/>
      </c>
      <c r="P475" s="101" t="str">
        <f aca="false">IF(AND($O475&lt;&gt;"",$I475&lt;&gt;0),COUNTIFS($O$2:O475,$O475,$I$2:I475,"&gt;0"),"")</f>
        <v/>
      </c>
      <c r="Q475" s="101" t="str">
        <f aca="false">IF(AND($O475&lt;&gt;"",$J475&lt;&gt;0),COUNTIFS($O$2:O475,$O475,$J$2:J475,"&gt;0"),"")</f>
        <v/>
      </c>
      <c r="R475" s="101" t="str">
        <f aca="false">IF($P475="","",$O475&amp;"|"&amp;$P475)</f>
        <v/>
      </c>
      <c r="S475" s="101" t="str">
        <f aca="false">IF($Q475="","",$O475&amp;"|"&amp;$Q475)</f>
        <v/>
      </c>
      <c r="T475" s="101" t="str">
        <f aca="false">IF($O475="","",COUNTIF($O$2:O475,$O475))</f>
        <v/>
      </c>
      <c r="U475" s="101" t="str">
        <f aca="false">IF($O475="","",$O475&amp;"|"&amp;$T475)</f>
        <v/>
      </c>
      <c r="V475" s="488" t="n">
        <f aca="false">IF(OR(LEFT($D475,5)="MB-CL",LEFT($D475,6)="MB-RES"),0,$I475)</f>
        <v>0</v>
      </c>
      <c r="W475" s="488" t="n">
        <f aca="false">IF(OR(LEFT($D475,5)="MB-CL",LEFT($D475,6)="MB-RES"),0,$J475)</f>
        <v>0</v>
      </c>
      <c r="X475" s="101" t="str">
        <f aca="false">IF($E475="","",LEFT($E475,1))</f>
        <v/>
      </c>
      <c r="Y475" s="101" t="str">
        <f aca="false">IF($E475="","",LEFT($E475,2))</f>
        <v/>
      </c>
      <c r="Z475" s="101" t="str">
        <f aca="false">IF($E475="","",LEFT($E475,3))</f>
        <v/>
      </c>
      <c r="AA475" s="101" t="str">
        <f aca="false">IF($E475="","",LEFT($E475,4))</f>
        <v/>
      </c>
    </row>
    <row r="476" customFormat="false" ht="15" hidden="false" customHeight="true" outlineLevel="0" collapsed="false">
      <c r="A476" s="484" t="str">
        <f aca="false">IF(DITARI!$D480="","",ROW()-1)</f>
        <v/>
      </c>
      <c r="B476" s="485" t="str">
        <f aca="false">IF(DITARI!$D480="","",DITARI!$A480)</f>
        <v/>
      </c>
      <c r="C476" s="484" t="str">
        <f aca="false">IF(DITARI!$D480="","",DITARI!$B480)</f>
        <v/>
      </c>
      <c r="D476" s="484" t="str">
        <f aca="false">IF(DITARI!$D480="","",DITARI!$C480)</f>
        <v/>
      </c>
      <c r="E476" s="484" t="str">
        <f aca="false">IF(DITARI!$D480="","",TRIM(DITARI!$D480&amp;""))</f>
        <v/>
      </c>
      <c r="F476" s="484" t="str">
        <f aca="false">IF($E476="","",IFERROR(VLOOKUP($E476,PLANI_LLOGARIVE!$A:$I,2,FALSE()),DITARI!$E480))</f>
        <v/>
      </c>
      <c r="G476" s="484" t="str">
        <f aca="false">IF($E476="","",DITARI!$I480)</f>
        <v/>
      </c>
      <c r="H476" s="484" t="str">
        <f aca="false">IFERROR(IF($E476="","",DITARI!$H480),"")</f>
        <v/>
      </c>
      <c r="I476" s="487" t="n">
        <f aca="false">IF($E476="",0,IFERROR(DITARI!$F480,0))</f>
        <v>0</v>
      </c>
      <c r="J476" s="487" t="n">
        <f aca="false">IF($E476="",0,IFERROR(DITARI!$G480,0))</f>
        <v>0</v>
      </c>
      <c r="K476" s="484" t="str">
        <f aca="false">IF($E476="","",IFERROR(VLOOKUP($E476,PLANI_LLOGARIVE!$A:$I,9,FALSE()),""))</f>
        <v/>
      </c>
      <c r="L476" s="487" t="str">
        <f aca="false">IF($E476="","",$I476-$J476)</f>
        <v/>
      </c>
      <c r="M476" s="484" t="str">
        <f aca="false">IF($E476="","",IF($I476&gt;0,"DEBIT",IF($J476&gt;0,"KREDIT","ZERO")))</f>
        <v/>
      </c>
      <c r="N476" s="484" t="str">
        <f aca="false">IF($E476="","",TEXT($B476,"yyyymmdd")&amp;"-"&amp;TEXT(ROW(),"0000"))</f>
        <v/>
      </c>
      <c r="O476" s="101" t="str">
        <f aca="false">IF($E476="","",$E476&amp;"")</f>
        <v/>
      </c>
      <c r="P476" s="101" t="str">
        <f aca="false">IF(AND($O476&lt;&gt;"",$I476&lt;&gt;0),COUNTIFS($O$2:O476,$O476,$I$2:I476,"&gt;0"),"")</f>
        <v/>
      </c>
      <c r="Q476" s="101" t="str">
        <f aca="false">IF(AND($O476&lt;&gt;"",$J476&lt;&gt;0),COUNTIFS($O$2:O476,$O476,$J$2:J476,"&gt;0"),"")</f>
        <v/>
      </c>
      <c r="R476" s="101" t="str">
        <f aca="false">IF($P476="","",$O476&amp;"|"&amp;$P476)</f>
        <v/>
      </c>
      <c r="S476" s="101" t="str">
        <f aca="false">IF($Q476="","",$O476&amp;"|"&amp;$Q476)</f>
        <v/>
      </c>
      <c r="T476" s="101" t="str">
        <f aca="false">IF($O476="","",COUNTIF($O$2:O476,$O476))</f>
        <v/>
      </c>
      <c r="U476" s="101" t="str">
        <f aca="false">IF($O476="","",$O476&amp;"|"&amp;$T476)</f>
        <v/>
      </c>
      <c r="V476" s="488" t="n">
        <f aca="false">IF(OR(LEFT($D476,5)="MB-CL",LEFT($D476,6)="MB-RES"),0,$I476)</f>
        <v>0</v>
      </c>
      <c r="W476" s="488" t="n">
        <f aca="false">IF(OR(LEFT($D476,5)="MB-CL",LEFT($D476,6)="MB-RES"),0,$J476)</f>
        <v>0</v>
      </c>
      <c r="X476" s="101" t="str">
        <f aca="false">IF($E476="","",LEFT($E476,1))</f>
        <v/>
      </c>
      <c r="Y476" s="101" t="str">
        <f aca="false">IF($E476="","",LEFT($E476,2))</f>
        <v/>
      </c>
      <c r="Z476" s="101" t="str">
        <f aca="false">IF($E476="","",LEFT($E476,3))</f>
        <v/>
      </c>
      <c r="AA476" s="101" t="str">
        <f aca="false">IF($E476="","",LEFT($E476,4))</f>
        <v/>
      </c>
    </row>
    <row r="477" customFormat="false" ht="15" hidden="false" customHeight="true" outlineLevel="0" collapsed="false">
      <c r="A477" s="484" t="str">
        <f aca="false">IF(DITARI!$D481="","",ROW()-1)</f>
        <v/>
      </c>
      <c r="B477" s="485" t="str">
        <f aca="false">IF(DITARI!$D481="","",DITARI!$A481)</f>
        <v/>
      </c>
      <c r="C477" s="484" t="str">
        <f aca="false">IF(DITARI!$D481="","",DITARI!$B481)</f>
        <v/>
      </c>
      <c r="D477" s="484" t="str">
        <f aca="false">IF(DITARI!$D481="","",DITARI!$C481)</f>
        <v/>
      </c>
      <c r="E477" s="484" t="str">
        <f aca="false">IF(DITARI!$D481="","",TRIM(DITARI!$D481&amp;""))</f>
        <v/>
      </c>
      <c r="F477" s="484" t="str">
        <f aca="false">IF($E477="","",IFERROR(VLOOKUP($E477,PLANI_LLOGARIVE!$A:$I,2,FALSE()),DITARI!$E481))</f>
        <v/>
      </c>
      <c r="G477" s="484" t="str">
        <f aca="false">IF($E477="","",DITARI!$I481)</f>
        <v/>
      </c>
      <c r="H477" s="484" t="str">
        <f aca="false">IFERROR(IF($E477="","",DITARI!$H481),"")</f>
        <v/>
      </c>
      <c r="I477" s="487" t="n">
        <f aca="false">IF($E477="",0,IFERROR(DITARI!$F481,0))</f>
        <v>0</v>
      </c>
      <c r="J477" s="487" t="n">
        <f aca="false">IF($E477="",0,IFERROR(DITARI!$G481,0))</f>
        <v>0</v>
      </c>
      <c r="K477" s="484" t="str">
        <f aca="false">IF($E477="","",IFERROR(VLOOKUP($E477,PLANI_LLOGARIVE!$A:$I,9,FALSE()),""))</f>
        <v/>
      </c>
      <c r="L477" s="487" t="str">
        <f aca="false">IF($E477="","",$I477-$J477)</f>
        <v/>
      </c>
      <c r="M477" s="484" t="str">
        <f aca="false">IF($E477="","",IF($I477&gt;0,"DEBIT",IF($J477&gt;0,"KREDIT","ZERO")))</f>
        <v/>
      </c>
      <c r="N477" s="484" t="str">
        <f aca="false">IF($E477="","",TEXT($B477,"yyyymmdd")&amp;"-"&amp;TEXT(ROW(),"0000"))</f>
        <v/>
      </c>
      <c r="O477" s="101" t="str">
        <f aca="false">IF($E477="","",$E477&amp;"")</f>
        <v/>
      </c>
      <c r="P477" s="101" t="str">
        <f aca="false">IF(AND($O477&lt;&gt;"",$I477&lt;&gt;0),COUNTIFS($O$2:O477,$O477,$I$2:I477,"&gt;0"),"")</f>
        <v/>
      </c>
      <c r="Q477" s="101" t="str">
        <f aca="false">IF(AND($O477&lt;&gt;"",$J477&lt;&gt;0),COUNTIFS($O$2:O477,$O477,$J$2:J477,"&gt;0"),"")</f>
        <v/>
      </c>
      <c r="R477" s="101" t="str">
        <f aca="false">IF($P477="","",$O477&amp;"|"&amp;$P477)</f>
        <v/>
      </c>
      <c r="S477" s="101" t="str">
        <f aca="false">IF($Q477="","",$O477&amp;"|"&amp;$Q477)</f>
        <v/>
      </c>
      <c r="T477" s="101" t="str">
        <f aca="false">IF($O477="","",COUNTIF($O$2:O477,$O477))</f>
        <v/>
      </c>
      <c r="U477" s="101" t="str">
        <f aca="false">IF($O477="","",$O477&amp;"|"&amp;$T477)</f>
        <v/>
      </c>
      <c r="V477" s="488" t="n">
        <f aca="false">IF(OR(LEFT($D477,5)="MB-CL",LEFT($D477,6)="MB-RES"),0,$I477)</f>
        <v>0</v>
      </c>
      <c r="W477" s="488" t="n">
        <f aca="false">IF(OR(LEFT($D477,5)="MB-CL",LEFT($D477,6)="MB-RES"),0,$J477)</f>
        <v>0</v>
      </c>
      <c r="X477" s="101" t="str">
        <f aca="false">IF($E477="","",LEFT($E477,1))</f>
        <v/>
      </c>
      <c r="Y477" s="101" t="str">
        <f aca="false">IF($E477="","",LEFT($E477,2))</f>
        <v/>
      </c>
      <c r="Z477" s="101" t="str">
        <f aca="false">IF($E477="","",LEFT($E477,3))</f>
        <v/>
      </c>
      <c r="AA477" s="101" t="str">
        <f aca="false">IF($E477="","",LEFT($E477,4))</f>
        <v/>
      </c>
    </row>
    <row r="478" customFormat="false" ht="15" hidden="false" customHeight="true" outlineLevel="0" collapsed="false">
      <c r="A478" s="484" t="str">
        <f aca="false">IF(DITARI!$D482="","",ROW()-1)</f>
        <v/>
      </c>
      <c r="B478" s="485" t="str">
        <f aca="false">IF(DITARI!$D482="","",DITARI!$A482)</f>
        <v/>
      </c>
      <c r="C478" s="484" t="str">
        <f aca="false">IF(DITARI!$D482="","",DITARI!$B482)</f>
        <v/>
      </c>
      <c r="D478" s="484" t="str">
        <f aca="false">IF(DITARI!$D482="","",DITARI!$C482)</f>
        <v/>
      </c>
      <c r="E478" s="484" t="str">
        <f aca="false">IF(DITARI!$D482="","",TRIM(DITARI!$D482&amp;""))</f>
        <v/>
      </c>
      <c r="F478" s="484" t="str">
        <f aca="false">IF($E478="","",IFERROR(VLOOKUP($E478,PLANI_LLOGARIVE!$A:$I,2,FALSE()),DITARI!$E482))</f>
        <v/>
      </c>
      <c r="G478" s="484" t="str">
        <f aca="false">IF($E478="","",DITARI!$I482)</f>
        <v/>
      </c>
      <c r="H478" s="484" t="str">
        <f aca="false">IFERROR(IF($E478="","",DITARI!$H482),"")</f>
        <v/>
      </c>
      <c r="I478" s="487" t="n">
        <f aca="false">IF($E478="",0,IFERROR(DITARI!$F482,0))</f>
        <v>0</v>
      </c>
      <c r="J478" s="487" t="n">
        <f aca="false">IF($E478="",0,IFERROR(DITARI!$G482,0))</f>
        <v>0</v>
      </c>
      <c r="K478" s="484" t="str">
        <f aca="false">IF($E478="","",IFERROR(VLOOKUP($E478,PLANI_LLOGARIVE!$A:$I,9,FALSE()),""))</f>
        <v/>
      </c>
      <c r="L478" s="487" t="str">
        <f aca="false">IF($E478="","",$I478-$J478)</f>
        <v/>
      </c>
      <c r="M478" s="484" t="str">
        <f aca="false">IF($E478="","",IF($I478&gt;0,"DEBIT",IF($J478&gt;0,"KREDIT","ZERO")))</f>
        <v/>
      </c>
      <c r="N478" s="484" t="str">
        <f aca="false">IF($E478="","",TEXT($B478,"yyyymmdd")&amp;"-"&amp;TEXT(ROW(),"0000"))</f>
        <v/>
      </c>
      <c r="O478" s="101" t="str">
        <f aca="false">IF($E478="","",$E478&amp;"")</f>
        <v/>
      </c>
      <c r="P478" s="101" t="str">
        <f aca="false">IF(AND($O478&lt;&gt;"",$I478&lt;&gt;0),COUNTIFS($O$2:O478,$O478,$I$2:I478,"&gt;0"),"")</f>
        <v/>
      </c>
      <c r="Q478" s="101" t="str">
        <f aca="false">IF(AND($O478&lt;&gt;"",$J478&lt;&gt;0),COUNTIFS($O$2:O478,$O478,$J$2:J478,"&gt;0"),"")</f>
        <v/>
      </c>
      <c r="R478" s="101" t="str">
        <f aca="false">IF($P478="","",$O478&amp;"|"&amp;$P478)</f>
        <v/>
      </c>
      <c r="S478" s="101" t="str">
        <f aca="false">IF($Q478="","",$O478&amp;"|"&amp;$Q478)</f>
        <v/>
      </c>
      <c r="T478" s="101" t="str">
        <f aca="false">IF($O478="","",COUNTIF($O$2:O478,$O478))</f>
        <v/>
      </c>
      <c r="U478" s="101" t="str">
        <f aca="false">IF($O478="","",$O478&amp;"|"&amp;$T478)</f>
        <v/>
      </c>
      <c r="V478" s="488" t="n">
        <f aca="false">IF(OR(LEFT($D478,5)="MB-CL",LEFT($D478,6)="MB-RES"),0,$I478)</f>
        <v>0</v>
      </c>
      <c r="W478" s="488" t="n">
        <f aca="false">IF(OR(LEFT($D478,5)="MB-CL",LEFT($D478,6)="MB-RES"),0,$J478)</f>
        <v>0</v>
      </c>
      <c r="X478" s="101" t="str">
        <f aca="false">IF($E478="","",LEFT($E478,1))</f>
        <v/>
      </c>
      <c r="Y478" s="101" t="str">
        <f aca="false">IF($E478="","",LEFT($E478,2))</f>
        <v/>
      </c>
      <c r="Z478" s="101" t="str">
        <f aca="false">IF($E478="","",LEFT($E478,3))</f>
        <v/>
      </c>
      <c r="AA478" s="101" t="str">
        <f aca="false">IF($E478="","",LEFT($E478,4))</f>
        <v/>
      </c>
    </row>
    <row r="479" customFormat="false" ht="15" hidden="false" customHeight="true" outlineLevel="0" collapsed="false">
      <c r="A479" s="484" t="str">
        <f aca="false">IF(DITARI!$D483="","",ROW()-1)</f>
        <v/>
      </c>
      <c r="B479" s="485" t="str">
        <f aca="false">IF(DITARI!$D483="","",DITARI!$A483)</f>
        <v/>
      </c>
      <c r="C479" s="484" t="str">
        <f aca="false">IF(DITARI!$D483="","",DITARI!$B483)</f>
        <v/>
      </c>
      <c r="D479" s="484" t="str">
        <f aca="false">IF(DITARI!$D483="","",DITARI!$C483)</f>
        <v/>
      </c>
      <c r="E479" s="484" t="str">
        <f aca="false">IF(DITARI!$D483="","",TRIM(DITARI!$D483&amp;""))</f>
        <v/>
      </c>
      <c r="F479" s="484" t="str">
        <f aca="false">IF($E479="","",IFERROR(VLOOKUP($E479,PLANI_LLOGARIVE!$A:$I,2,FALSE()),DITARI!$E483))</f>
        <v/>
      </c>
      <c r="G479" s="484" t="str">
        <f aca="false">IF($E479="","",DITARI!$I483)</f>
        <v/>
      </c>
      <c r="H479" s="484" t="str">
        <f aca="false">IFERROR(IF($E479="","",DITARI!$H483),"")</f>
        <v/>
      </c>
      <c r="I479" s="487" t="n">
        <f aca="false">IF($E479="",0,IFERROR(DITARI!$F483,0))</f>
        <v>0</v>
      </c>
      <c r="J479" s="487" t="n">
        <f aca="false">IF($E479="",0,IFERROR(DITARI!$G483,0))</f>
        <v>0</v>
      </c>
      <c r="K479" s="484" t="str">
        <f aca="false">IF($E479="","",IFERROR(VLOOKUP($E479,PLANI_LLOGARIVE!$A:$I,9,FALSE()),""))</f>
        <v/>
      </c>
      <c r="L479" s="487" t="str">
        <f aca="false">IF($E479="","",$I479-$J479)</f>
        <v/>
      </c>
      <c r="M479" s="484" t="str">
        <f aca="false">IF($E479="","",IF($I479&gt;0,"DEBIT",IF($J479&gt;0,"KREDIT","ZERO")))</f>
        <v/>
      </c>
      <c r="N479" s="484" t="str">
        <f aca="false">IF($E479="","",TEXT($B479,"yyyymmdd")&amp;"-"&amp;TEXT(ROW(),"0000"))</f>
        <v/>
      </c>
      <c r="O479" s="101" t="str">
        <f aca="false">IF($E479="","",$E479&amp;"")</f>
        <v/>
      </c>
      <c r="P479" s="101" t="str">
        <f aca="false">IF(AND($O479&lt;&gt;"",$I479&lt;&gt;0),COUNTIFS($O$2:O479,$O479,$I$2:I479,"&gt;0"),"")</f>
        <v/>
      </c>
      <c r="Q479" s="101" t="str">
        <f aca="false">IF(AND($O479&lt;&gt;"",$J479&lt;&gt;0),COUNTIFS($O$2:O479,$O479,$J$2:J479,"&gt;0"),"")</f>
        <v/>
      </c>
      <c r="R479" s="101" t="str">
        <f aca="false">IF($P479="","",$O479&amp;"|"&amp;$P479)</f>
        <v/>
      </c>
      <c r="S479" s="101" t="str">
        <f aca="false">IF($Q479="","",$O479&amp;"|"&amp;$Q479)</f>
        <v/>
      </c>
      <c r="T479" s="101" t="str">
        <f aca="false">IF($O479="","",COUNTIF($O$2:O479,$O479))</f>
        <v/>
      </c>
      <c r="U479" s="101" t="str">
        <f aca="false">IF($O479="","",$O479&amp;"|"&amp;$T479)</f>
        <v/>
      </c>
      <c r="V479" s="488" t="n">
        <f aca="false">IF(OR(LEFT($D479,5)="MB-CL",LEFT($D479,6)="MB-RES"),0,$I479)</f>
        <v>0</v>
      </c>
      <c r="W479" s="488" t="n">
        <f aca="false">IF(OR(LEFT($D479,5)="MB-CL",LEFT($D479,6)="MB-RES"),0,$J479)</f>
        <v>0</v>
      </c>
      <c r="X479" s="101" t="str">
        <f aca="false">IF($E479="","",LEFT($E479,1))</f>
        <v/>
      </c>
      <c r="Y479" s="101" t="str">
        <f aca="false">IF($E479="","",LEFT($E479,2))</f>
        <v/>
      </c>
      <c r="Z479" s="101" t="str">
        <f aca="false">IF($E479="","",LEFT($E479,3))</f>
        <v/>
      </c>
      <c r="AA479" s="101" t="str">
        <f aca="false">IF($E479="","",LEFT($E479,4))</f>
        <v/>
      </c>
    </row>
    <row r="480" customFormat="false" ht="15" hidden="false" customHeight="true" outlineLevel="0" collapsed="false">
      <c r="A480" s="484" t="str">
        <f aca="false">IF(DITARI!$D484="","",ROW()-1)</f>
        <v/>
      </c>
      <c r="B480" s="485" t="str">
        <f aca="false">IF(DITARI!$D484="","",DITARI!$A484)</f>
        <v/>
      </c>
      <c r="C480" s="484" t="str">
        <f aca="false">IF(DITARI!$D484="","",DITARI!$B484)</f>
        <v/>
      </c>
      <c r="D480" s="484" t="str">
        <f aca="false">IF(DITARI!$D484="","",DITARI!$C484)</f>
        <v/>
      </c>
      <c r="E480" s="484" t="str">
        <f aca="false">IF(DITARI!$D484="","",TRIM(DITARI!$D484&amp;""))</f>
        <v/>
      </c>
      <c r="F480" s="484" t="str">
        <f aca="false">IF($E480="","",IFERROR(VLOOKUP($E480,PLANI_LLOGARIVE!$A:$I,2,FALSE()),DITARI!$E484))</f>
        <v/>
      </c>
      <c r="G480" s="484" t="str">
        <f aca="false">IF($E480="","",DITARI!$I484)</f>
        <v/>
      </c>
      <c r="H480" s="484" t="str">
        <f aca="false">IFERROR(IF($E480="","",DITARI!$H484),"")</f>
        <v/>
      </c>
      <c r="I480" s="487" t="n">
        <f aca="false">IF($E480="",0,IFERROR(DITARI!$F484,0))</f>
        <v>0</v>
      </c>
      <c r="J480" s="487" t="n">
        <f aca="false">IF($E480="",0,IFERROR(DITARI!$G484,0))</f>
        <v>0</v>
      </c>
      <c r="K480" s="484" t="str">
        <f aca="false">IF($E480="","",IFERROR(VLOOKUP($E480,PLANI_LLOGARIVE!$A:$I,9,FALSE()),""))</f>
        <v/>
      </c>
      <c r="L480" s="487" t="str">
        <f aca="false">IF($E480="","",$I480-$J480)</f>
        <v/>
      </c>
      <c r="M480" s="484" t="str">
        <f aca="false">IF($E480="","",IF($I480&gt;0,"DEBIT",IF($J480&gt;0,"KREDIT","ZERO")))</f>
        <v/>
      </c>
      <c r="N480" s="484" t="str">
        <f aca="false">IF($E480="","",TEXT($B480,"yyyymmdd")&amp;"-"&amp;TEXT(ROW(),"0000"))</f>
        <v/>
      </c>
      <c r="O480" s="101" t="str">
        <f aca="false">IF($E480="","",$E480&amp;"")</f>
        <v/>
      </c>
      <c r="P480" s="101" t="str">
        <f aca="false">IF(AND($O480&lt;&gt;"",$I480&lt;&gt;0),COUNTIFS($O$2:O480,$O480,$I$2:I480,"&gt;0"),"")</f>
        <v/>
      </c>
      <c r="Q480" s="101" t="str">
        <f aca="false">IF(AND($O480&lt;&gt;"",$J480&lt;&gt;0),COUNTIFS($O$2:O480,$O480,$J$2:J480,"&gt;0"),"")</f>
        <v/>
      </c>
      <c r="R480" s="101" t="str">
        <f aca="false">IF($P480="","",$O480&amp;"|"&amp;$P480)</f>
        <v/>
      </c>
      <c r="S480" s="101" t="str">
        <f aca="false">IF($Q480="","",$O480&amp;"|"&amp;$Q480)</f>
        <v/>
      </c>
      <c r="T480" s="101" t="str">
        <f aca="false">IF($O480="","",COUNTIF($O$2:O480,$O480))</f>
        <v/>
      </c>
      <c r="U480" s="101" t="str">
        <f aca="false">IF($O480="","",$O480&amp;"|"&amp;$T480)</f>
        <v/>
      </c>
      <c r="V480" s="488" t="n">
        <f aca="false">IF(OR(LEFT($D480,5)="MB-CL",LEFT($D480,6)="MB-RES"),0,$I480)</f>
        <v>0</v>
      </c>
      <c r="W480" s="488" t="n">
        <f aca="false">IF(OR(LEFT($D480,5)="MB-CL",LEFT($D480,6)="MB-RES"),0,$J480)</f>
        <v>0</v>
      </c>
      <c r="X480" s="101" t="str">
        <f aca="false">IF($E480="","",LEFT($E480,1))</f>
        <v/>
      </c>
      <c r="Y480" s="101" t="str">
        <f aca="false">IF($E480="","",LEFT($E480,2))</f>
        <v/>
      </c>
      <c r="Z480" s="101" t="str">
        <f aca="false">IF($E480="","",LEFT($E480,3))</f>
        <v/>
      </c>
      <c r="AA480" s="101" t="str">
        <f aca="false">IF($E480="","",LEFT($E480,4))</f>
        <v/>
      </c>
    </row>
    <row r="481" customFormat="false" ht="15" hidden="false" customHeight="true" outlineLevel="0" collapsed="false">
      <c r="A481" s="484" t="str">
        <f aca="false">IF(DITARI!$D485="","",ROW()-1)</f>
        <v/>
      </c>
      <c r="B481" s="485" t="str">
        <f aca="false">IF(DITARI!$D485="","",DITARI!$A485)</f>
        <v/>
      </c>
      <c r="C481" s="484" t="str">
        <f aca="false">IF(DITARI!$D485="","",DITARI!$B485)</f>
        <v/>
      </c>
      <c r="D481" s="484" t="str">
        <f aca="false">IF(DITARI!$D485="","",DITARI!$C485)</f>
        <v/>
      </c>
      <c r="E481" s="484" t="str">
        <f aca="false">IF(DITARI!$D485="","",TRIM(DITARI!$D485&amp;""))</f>
        <v/>
      </c>
      <c r="F481" s="484" t="str">
        <f aca="false">IF($E481="","",IFERROR(VLOOKUP($E481,PLANI_LLOGARIVE!$A:$I,2,FALSE()),DITARI!$E485))</f>
        <v/>
      </c>
      <c r="G481" s="484" t="str">
        <f aca="false">IF($E481="","",DITARI!$I485)</f>
        <v/>
      </c>
      <c r="H481" s="484" t="str">
        <f aca="false">IFERROR(IF($E481="","",DITARI!$H485),"")</f>
        <v/>
      </c>
      <c r="I481" s="487" t="n">
        <f aca="false">IF($E481="",0,IFERROR(DITARI!$F485,0))</f>
        <v>0</v>
      </c>
      <c r="J481" s="487" t="n">
        <f aca="false">IF($E481="",0,IFERROR(DITARI!$G485,0))</f>
        <v>0</v>
      </c>
      <c r="K481" s="484" t="str">
        <f aca="false">IF($E481="","",IFERROR(VLOOKUP($E481,PLANI_LLOGARIVE!$A:$I,9,FALSE()),""))</f>
        <v/>
      </c>
      <c r="L481" s="487" t="str">
        <f aca="false">IF($E481="","",$I481-$J481)</f>
        <v/>
      </c>
      <c r="M481" s="484" t="str">
        <f aca="false">IF($E481="","",IF($I481&gt;0,"DEBIT",IF($J481&gt;0,"KREDIT","ZERO")))</f>
        <v/>
      </c>
      <c r="N481" s="484" t="str">
        <f aca="false">IF($E481="","",TEXT($B481,"yyyymmdd")&amp;"-"&amp;TEXT(ROW(),"0000"))</f>
        <v/>
      </c>
      <c r="O481" s="101" t="str">
        <f aca="false">IF($E481="","",$E481&amp;"")</f>
        <v/>
      </c>
      <c r="P481" s="101" t="str">
        <f aca="false">IF(AND($O481&lt;&gt;"",$I481&lt;&gt;0),COUNTIFS($O$2:O481,$O481,$I$2:I481,"&gt;0"),"")</f>
        <v/>
      </c>
      <c r="Q481" s="101" t="str">
        <f aca="false">IF(AND($O481&lt;&gt;"",$J481&lt;&gt;0),COUNTIFS($O$2:O481,$O481,$J$2:J481,"&gt;0"),"")</f>
        <v/>
      </c>
      <c r="R481" s="101" t="str">
        <f aca="false">IF($P481="","",$O481&amp;"|"&amp;$P481)</f>
        <v/>
      </c>
      <c r="S481" s="101" t="str">
        <f aca="false">IF($Q481="","",$O481&amp;"|"&amp;$Q481)</f>
        <v/>
      </c>
      <c r="T481" s="101" t="str">
        <f aca="false">IF($O481="","",COUNTIF($O$2:O481,$O481))</f>
        <v/>
      </c>
      <c r="U481" s="101" t="str">
        <f aca="false">IF($O481="","",$O481&amp;"|"&amp;$T481)</f>
        <v/>
      </c>
      <c r="V481" s="488" t="n">
        <f aca="false">IF(OR(LEFT($D481,5)="MB-CL",LEFT($D481,6)="MB-RES"),0,$I481)</f>
        <v>0</v>
      </c>
      <c r="W481" s="488" t="n">
        <f aca="false">IF(OR(LEFT($D481,5)="MB-CL",LEFT($D481,6)="MB-RES"),0,$J481)</f>
        <v>0</v>
      </c>
      <c r="X481" s="101" t="str">
        <f aca="false">IF($E481="","",LEFT($E481,1))</f>
        <v/>
      </c>
      <c r="Y481" s="101" t="str">
        <f aca="false">IF($E481="","",LEFT($E481,2))</f>
        <v/>
      </c>
      <c r="Z481" s="101" t="str">
        <f aca="false">IF($E481="","",LEFT($E481,3))</f>
        <v/>
      </c>
      <c r="AA481" s="101" t="str">
        <f aca="false">IF($E481="","",LEFT($E481,4))</f>
        <v/>
      </c>
    </row>
    <row r="482" customFormat="false" ht="15" hidden="false" customHeight="true" outlineLevel="0" collapsed="false">
      <c r="A482" s="484" t="str">
        <f aca="false">IF(DITARI!$D486="","",ROW()-1)</f>
        <v/>
      </c>
      <c r="B482" s="485" t="str">
        <f aca="false">IF(DITARI!$D486="","",DITARI!$A486)</f>
        <v/>
      </c>
      <c r="C482" s="484" t="str">
        <f aca="false">IF(DITARI!$D486="","",DITARI!$B486)</f>
        <v/>
      </c>
      <c r="D482" s="484" t="str">
        <f aca="false">IF(DITARI!$D486="","",DITARI!$C486)</f>
        <v/>
      </c>
      <c r="E482" s="484" t="str">
        <f aca="false">IF(DITARI!$D486="","",TRIM(DITARI!$D486&amp;""))</f>
        <v/>
      </c>
      <c r="F482" s="484" t="str">
        <f aca="false">IF($E482="","",IFERROR(VLOOKUP($E482,PLANI_LLOGARIVE!$A:$I,2,FALSE()),DITARI!$E486))</f>
        <v/>
      </c>
      <c r="G482" s="484" t="str">
        <f aca="false">IF($E482="","",DITARI!$I486)</f>
        <v/>
      </c>
      <c r="H482" s="484" t="str">
        <f aca="false">IFERROR(IF($E482="","",DITARI!$H486),"")</f>
        <v/>
      </c>
      <c r="I482" s="487" t="n">
        <f aca="false">IF($E482="",0,IFERROR(DITARI!$F486,0))</f>
        <v>0</v>
      </c>
      <c r="J482" s="487" t="n">
        <f aca="false">IF($E482="",0,IFERROR(DITARI!$G486,0))</f>
        <v>0</v>
      </c>
      <c r="K482" s="484" t="str">
        <f aca="false">IF($E482="","",IFERROR(VLOOKUP($E482,PLANI_LLOGARIVE!$A:$I,9,FALSE()),""))</f>
        <v/>
      </c>
      <c r="L482" s="487" t="str">
        <f aca="false">IF($E482="","",$I482-$J482)</f>
        <v/>
      </c>
      <c r="M482" s="484" t="str">
        <f aca="false">IF($E482="","",IF($I482&gt;0,"DEBIT",IF($J482&gt;0,"KREDIT","ZERO")))</f>
        <v/>
      </c>
      <c r="N482" s="484" t="str">
        <f aca="false">IF($E482="","",TEXT($B482,"yyyymmdd")&amp;"-"&amp;TEXT(ROW(),"0000"))</f>
        <v/>
      </c>
      <c r="O482" s="101" t="str">
        <f aca="false">IF($E482="","",$E482&amp;"")</f>
        <v/>
      </c>
      <c r="P482" s="101" t="str">
        <f aca="false">IF(AND($O482&lt;&gt;"",$I482&lt;&gt;0),COUNTIFS($O$2:O482,$O482,$I$2:I482,"&gt;0"),"")</f>
        <v/>
      </c>
      <c r="Q482" s="101" t="str">
        <f aca="false">IF(AND($O482&lt;&gt;"",$J482&lt;&gt;0),COUNTIFS($O$2:O482,$O482,$J$2:J482,"&gt;0"),"")</f>
        <v/>
      </c>
      <c r="R482" s="101" t="str">
        <f aca="false">IF($P482="","",$O482&amp;"|"&amp;$P482)</f>
        <v/>
      </c>
      <c r="S482" s="101" t="str">
        <f aca="false">IF($Q482="","",$O482&amp;"|"&amp;$Q482)</f>
        <v/>
      </c>
      <c r="T482" s="101" t="str">
        <f aca="false">IF($O482="","",COUNTIF($O$2:O482,$O482))</f>
        <v/>
      </c>
      <c r="U482" s="101" t="str">
        <f aca="false">IF($O482="","",$O482&amp;"|"&amp;$T482)</f>
        <v/>
      </c>
      <c r="V482" s="488" t="n">
        <f aca="false">IF(OR(LEFT($D482,5)="MB-CL",LEFT($D482,6)="MB-RES"),0,$I482)</f>
        <v>0</v>
      </c>
      <c r="W482" s="488" t="n">
        <f aca="false">IF(OR(LEFT($D482,5)="MB-CL",LEFT($D482,6)="MB-RES"),0,$J482)</f>
        <v>0</v>
      </c>
      <c r="X482" s="101" t="str">
        <f aca="false">IF($E482="","",LEFT($E482,1))</f>
        <v/>
      </c>
      <c r="Y482" s="101" t="str">
        <f aca="false">IF($E482="","",LEFT($E482,2))</f>
        <v/>
      </c>
      <c r="Z482" s="101" t="str">
        <f aca="false">IF($E482="","",LEFT($E482,3))</f>
        <v/>
      </c>
      <c r="AA482" s="101" t="str">
        <f aca="false">IF($E482="","",LEFT($E482,4))</f>
        <v/>
      </c>
    </row>
    <row r="483" customFormat="false" ht="15" hidden="false" customHeight="true" outlineLevel="0" collapsed="false">
      <c r="A483" s="484" t="str">
        <f aca="false">IF(DITARI!$D487="","",ROW()-1)</f>
        <v/>
      </c>
      <c r="B483" s="485" t="str">
        <f aca="false">IF(DITARI!$D487="","",DITARI!$A487)</f>
        <v/>
      </c>
      <c r="C483" s="484" t="str">
        <f aca="false">IF(DITARI!$D487="","",DITARI!$B487)</f>
        <v/>
      </c>
      <c r="D483" s="484" t="str">
        <f aca="false">IF(DITARI!$D487="","",DITARI!$C487)</f>
        <v/>
      </c>
      <c r="E483" s="484" t="str">
        <f aca="false">IF(DITARI!$D487="","",TRIM(DITARI!$D487&amp;""))</f>
        <v/>
      </c>
      <c r="F483" s="484" t="str">
        <f aca="false">IF($E483="","",IFERROR(VLOOKUP($E483,PLANI_LLOGARIVE!$A:$I,2,FALSE()),DITARI!$E487))</f>
        <v/>
      </c>
      <c r="G483" s="484" t="str">
        <f aca="false">IF($E483="","",DITARI!$I487)</f>
        <v/>
      </c>
      <c r="H483" s="484" t="str">
        <f aca="false">IFERROR(IF($E483="","",DITARI!$H487),"")</f>
        <v/>
      </c>
      <c r="I483" s="487" t="n">
        <f aca="false">IF($E483="",0,IFERROR(DITARI!$F487,0))</f>
        <v>0</v>
      </c>
      <c r="J483" s="487" t="n">
        <f aca="false">IF($E483="",0,IFERROR(DITARI!$G487,0))</f>
        <v>0</v>
      </c>
      <c r="K483" s="484" t="str">
        <f aca="false">IF($E483="","",IFERROR(VLOOKUP($E483,PLANI_LLOGARIVE!$A:$I,9,FALSE()),""))</f>
        <v/>
      </c>
      <c r="L483" s="487" t="str">
        <f aca="false">IF($E483="","",$I483-$J483)</f>
        <v/>
      </c>
      <c r="M483" s="484" t="str">
        <f aca="false">IF($E483="","",IF($I483&gt;0,"DEBIT",IF($J483&gt;0,"KREDIT","ZERO")))</f>
        <v/>
      </c>
      <c r="N483" s="484" t="str">
        <f aca="false">IF($E483="","",TEXT($B483,"yyyymmdd")&amp;"-"&amp;TEXT(ROW(),"0000"))</f>
        <v/>
      </c>
      <c r="O483" s="101" t="str">
        <f aca="false">IF($E483="","",$E483&amp;"")</f>
        <v/>
      </c>
      <c r="P483" s="101" t="str">
        <f aca="false">IF(AND($O483&lt;&gt;"",$I483&lt;&gt;0),COUNTIFS($O$2:O483,$O483,$I$2:I483,"&gt;0"),"")</f>
        <v/>
      </c>
      <c r="Q483" s="101" t="str">
        <f aca="false">IF(AND($O483&lt;&gt;"",$J483&lt;&gt;0),COUNTIFS($O$2:O483,$O483,$J$2:J483,"&gt;0"),"")</f>
        <v/>
      </c>
      <c r="R483" s="101" t="str">
        <f aca="false">IF($P483="","",$O483&amp;"|"&amp;$P483)</f>
        <v/>
      </c>
      <c r="S483" s="101" t="str">
        <f aca="false">IF($Q483="","",$O483&amp;"|"&amp;$Q483)</f>
        <v/>
      </c>
      <c r="T483" s="101" t="str">
        <f aca="false">IF($O483="","",COUNTIF($O$2:O483,$O483))</f>
        <v/>
      </c>
      <c r="U483" s="101" t="str">
        <f aca="false">IF($O483="","",$O483&amp;"|"&amp;$T483)</f>
        <v/>
      </c>
      <c r="V483" s="488" t="n">
        <f aca="false">IF(OR(LEFT($D483,5)="MB-CL",LEFT($D483,6)="MB-RES"),0,$I483)</f>
        <v>0</v>
      </c>
      <c r="W483" s="488" t="n">
        <f aca="false">IF(OR(LEFT($D483,5)="MB-CL",LEFT($D483,6)="MB-RES"),0,$J483)</f>
        <v>0</v>
      </c>
      <c r="X483" s="101" t="str">
        <f aca="false">IF($E483="","",LEFT($E483,1))</f>
        <v/>
      </c>
      <c r="Y483" s="101" t="str">
        <f aca="false">IF($E483="","",LEFT($E483,2))</f>
        <v/>
      </c>
      <c r="Z483" s="101" t="str">
        <f aca="false">IF($E483="","",LEFT($E483,3))</f>
        <v/>
      </c>
      <c r="AA483" s="101" t="str">
        <f aca="false">IF($E483="","",LEFT($E483,4))</f>
        <v/>
      </c>
    </row>
    <row r="484" customFormat="false" ht="15" hidden="false" customHeight="true" outlineLevel="0" collapsed="false">
      <c r="A484" s="484" t="str">
        <f aca="false">IF(DITARI!$D488="","",ROW()-1)</f>
        <v/>
      </c>
      <c r="B484" s="485" t="str">
        <f aca="false">IF(DITARI!$D488="","",DITARI!$A488)</f>
        <v/>
      </c>
      <c r="C484" s="484" t="str">
        <f aca="false">IF(DITARI!$D488="","",DITARI!$B488)</f>
        <v/>
      </c>
      <c r="D484" s="484" t="str">
        <f aca="false">IF(DITARI!$D488="","",DITARI!$C488)</f>
        <v/>
      </c>
      <c r="E484" s="484" t="str">
        <f aca="false">IF(DITARI!$D488="","",TRIM(DITARI!$D488&amp;""))</f>
        <v/>
      </c>
      <c r="F484" s="484" t="str">
        <f aca="false">IF($E484="","",IFERROR(VLOOKUP($E484,PLANI_LLOGARIVE!$A:$I,2,FALSE()),DITARI!$E488))</f>
        <v/>
      </c>
      <c r="G484" s="484" t="str">
        <f aca="false">IF($E484="","",DITARI!$I488)</f>
        <v/>
      </c>
      <c r="H484" s="484" t="str">
        <f aca="false">IFERROR(IF($E484="","",DITARI!$H488),"")</f>
        <v/>
      </c>
      <c r="I484" s="487" t="n">
        <f aca="false">IF($E484="",0,IFERROR(DITARI!$F488,0))</f>
        <v>0</v>
      </c>
      <c r="J484" s="487" t="n">
        <f aca="false">IF($E484="",0,IFERROR(DITARI!$G488,0))</f>
        <v>0</v>
      </c>
      <c r="K484" s="484" t="str">
        <f aca="false">IF($E484="","",IFERROR(VLOOKUP($E484,PLANI_LLOGARIVE!$A:$I,9,FALSE()),""))</f>
        <v/>
      </c>
      <c r="L484" s="487" t="str">
        <f aca="false">IF($E484="","",$I484-$J484)</f>
        <v/>
      </c>
      <c r="M484" s="484" t="str">
        <f aca="false">IF($E484="","",IF($I484&gt;0,"DEBIT",IF($J484&gt;0,"KREDIT","ZERO")))</f>
        <v/>
      </c>
      <c r="N484" s="484" t="str">
        <f aca="false">IF($E484="","",TEXT($B484,"yyyymmdd")&amp;"-"&amp;TEXT(ROW(),"0000"))</f>
        <v/>
      </c>
      <c r="O484" s="101" t="str">
        <f aca="false">IF($E484="","",$E484&amp;"")</f>
        <v/>
      </c>
      <c r="P484" s="101" t="str">
        <f aca="false">IF(AND($O484&lt;&gt;"",$I484&lt;&gt;0),COUNTIFS($O$2:O484,$O484,$I$2:I484,"&gt;0"),"")</f>
        <v/>
      </c>
      <c r="Q484" s="101" t="str">
        <f aca="false">IF(AND($O484&lt;&gt;"",$J484&lt;&gt;0),COUNTIFS($O$2:O484,$O484,$J$2:J484,"&gt;0"),"")</f>
        <v/>
      </c>
      <c r="R484" s="101" t="str">
        <f aca="false">IF($P484="","",$O484&amp;"|"&amp;$P484)</f>
        <v/>
      </c>
      <c r="S484" s="101" t="str">
        <f aca="false">IF($Q484="","",$O484&amp;"|"&amp;$Q484)</f>
        <v/>
      </c>
      <c r="T484" s="101" t="str">
        <f aca="false">IF($O484="","",COUNTIF($O$2:O484,$O484))</f>
        <v/>
      </c>
      <c r="U484" s="101" t="str">
        <f aca="false">IF($O484="","",$O484&amp;"|"&amp;$T484)</f>
        <v/>
      </c>
      <c r="V484" s="488" t="n">
        <f aca="false">IF(OR(LEFT($D484,5)="MB-CL",LEFT($D484,6)="MB-RES"),0,$I484)</f>
        <v>0</v>
      </c>
      <c r="W484" s="488" t="n">
        <f aca="false">IF(OR(LEFT($D484,5)="MB-CL",LEFT($D484,6)="MB-RES"),0,$J484)</f>
        <v>0</v>
      </c>
      <c r="X484" s="101" t="str">
        <f aca="false">IF($E484="","",LEFT($E484,1))</f>
        <v/>
      </c>
      <c r="Y484" s="101" t="str">
        <f aca="false">IF($E484="","",LEFT($E484,2))</f>
        <v/>
      </c>
      <c r="Z484" s="101" t="str">
        <f aca="false">IF($E484="","",LEFT($E484,3))</f>
        <v/>
      </c>
      <c r="AA484" s="101" t="str">
        <f aca="false">IF($E484="","",LEFT($E484,4))</f>
        <v/>
      </c>
    </row>
    <row r="485" customFormat="false" ht="15" hidden="false" customHeight="true" outlineLevel="0" collapsed="false">
      <c r="A485" s="484" t="str">
        <f aca="false">IF(DITARI!$D489="","",ROW()-1)</f>
        <v/>
      </c>
      <c r="B485" s="485" t="str">
        <f aca="false">IF(DITARI!$D489="","",DITARI!$A489)</f>
        <v/>
      </c>
      <c r="C485" s="484" t="str">
        <f aca="false">IF(DITARI!$D489="","",DITARI!$B489)</f>
        <v/>
      </c>
      <c r="D485" s="484" t="str">
        <f aca="false">IF(DITARI!$D489="","",DITARI!$C489)</f>
        <v/>
      </c>
      <c r="E485" s="484" t="str">
        <f aca="false">IF(DITARI!$D489="","",TRIM(DITARI!$D489&amp;""))</f>
        <v/>
      </c>
      <c r="F485" s="484" t="str">
        <f aca="false">IF($E485="","",IFERROR(VLOOKUP($E485,PLANI_LLOGARIVE!$A:$I,2,FALSE()),DITARI!$E489))</f>
        <v/>
      </c>
      <c r="G485" s="484" t="str">
        <f aca="false">IF($E485="","",DITARI!$I489)</f>
        <v/>
      </c>
      <c r="H485" s="484" t="str">
        <f aca="false">IFERROR(IF($E485="","",DITARI!$H489),"")</f>
        <v/>
      </c>
      <c r="I485" s="487" t="n">
        <f aca="false">IF($E485="",0,IFERROR(DITARI!$F489,0))</f>
        <v>0</v>
      </c>
      <c r="J485" s="487" t="n">
        <f aca="false">IF($E485="",0,IFERROR(DITARI!$G489,0))</f>
        <v>0</v>
      </c>
      <c r="K485" s="484" t="str">
        <f aca="false">IF($E485="","",IFERROR(VLOOKUP($E485,PLANI_LLOGARIVE!$A:$I,9,FALSE()),""))</f>
        <v/>
      </c>
      <c r="L485" s="487" t="str">
        <f aca="false">IF($E485="","",$I485-$J485)</f>
        <v/>
      </c>
      <c r="M485" s="484" t="str">
        <f aca="false">IF($E485="","",IF($I485&gt;0,"DEBIT",IF($J485&gt;0,"KREDIT","ZERO")))</f>
        <v/>
      </c>
      <c r="N485" s="484" t="str">
        <f aca="false">IF($E485="","",TEXT($B485,"yyyymmdd")&amp;"-"&amp;TEXT(ROW(),"0000"))</f>
        <v/>
      </c>
      <c r="O485" s="101" t="str">
        <f aca="false">IF($E485="","",$E485&amp;"")</f>
        <v/>
      </c>
      <c r="P485" s="101" t="str">
        <f aca="false">IF(AND($O485&lt;&gt;"",$I485&lt;&gt;0),COUNTIFS($O$2:O485,$O485,$I$2:I485,"&gt;0"),"")</f>
        <v/>
      </c>
      <c r="Q485" s="101" t="str">
        <f aca="false">IF(AND($O485&lt;&gt;"",$J485&lt;&gt;0),COUNTIFS($O$2:O485,$O485,$J$2:J485,"&gt;0"),"")</f>
        <v/>
      </c>
      <c r="R485" s="101" t="str">
        <f aca="false">IF($P485="","",$O485&amp;"|"&amp;$P485)</f>
        <v/>
      </c>
      <c r="S485" s="101" t="str">
        <f aca="false">IF($Q485="","",$O485&amp;"|"&amp;$Q485)</f>
        <v/>
      </c>
      <c r="T485" s="101" t="str">
        <f aca="false">IF($O485="","",COUNTIF($O$2:O485,$O485))</f>
        <v/>
      </c>
      <c r="U485" s="101" t="str">
        <f aca="false">IF($O485="","",$O485&amp;"|"&amp;$T485)</f>
        <v/>
      </c>
      <c r="V485" s="488" t="n">
        <f aca="false">IF(OR(LEFT($D485,5)="MB-CL",LEFT($D485,6)="MB-RES"),0,$I485)</f>
        <v>0</v>
      </c>
      <c r="W485" s="488" t="n">
        <f aca="false">IF(OR(LEFT($D485,5)="MB-CL",LEFT($D485,6)="MB-RES"),0,$J485)</f>
        <v>0</v>
      </c>
      <c r="X485" s="101" t="str">
        <f aca="false">IF($E485="","",LEFT($E485,1))</f>
        <v/>
      </c>
      <c r="Y485" s="101" t="str">
        <f aca="false">IF($E485="","",LEFT($E485,2))</f>
        <v/>
      </c>
      <c r="Z485" s="101" t="str">
        <f aca="false">IF($E485="","",LEFT($E485,3))</f>
        <v/>
      </c>
      <c r="AA485" s="101" t="str">
        <f aca="false">IF($E485="","",LEFT($E485,4))</f>
        <v/>
      </c>
    </row>
    <row r="486" customFormat="false" ht="15" hidden="false" customHeight="true" outlineLevel="0" collapsed="false">
      <c r="A486" s="484" t="str">
        <f aca="false">IF(DITARI!$D490="","",ROW()-1)</f>
        <v/>
      </c>
      <c r="B486" s="485" t="str">
        <f aca="false">IF(DITARI!$D490="","",DITARI!$A490)</f>
        <v/>
      </c>
      <c r="C486" s="484" t="str">
        <f aca="false">IF(DITARI!$D490="","",DITARI!$B490)</f>
        <v/>
      </c>
      <c r="D486" s="484" t="str">
        <f aca="false">IF(DITARI!$D490="","",DITARI!$C490)</f>
        <v/>
      </c>
      <c r="E486" s="484" t="str">
        <f aca="false">IF(DITARI!$D490="","",TRIM(DITARI!$D490&amp;""))</f>
        <v/>
      </c>
      <c r="F486" s="484" t="str">
        <f aca="false">IF($E486="","",IFERROR(VLOOKUP($E486,PLANI_LLOGARIVE!$A:$I,2,FALSE()),DITARI!$E490))</f>
        <v/>
      </c>
      <c r="G486" s="484" t="str">
        <f aca="false">IF($E486="","",DITARI!$I490)</f>
        <v/>
      </c>
      <c r="H486" s="484" t="str">
        <f aca="false">IFERROR(IF($E486="","",DITARI!$H490),"")</f>
        <v/>
      </c>
      <c r="I486" s="487" t="n">
        <f aca="false">IF($E486="",0,IFERROR(DITARI!$F490,0))</f>
        <v>0</v>
      </c>
      <c r="J486" s="487" t="n">
        <f aca="false">IF($E486="",0,IFERROR(DITARI!$G490,0))</f>
        <v>0</v>
      </c>
      <c r="K486" s="484" t="str">
        <f aca="false">IF($E486="","",IFERROR(VLOOKUP($E486,PLANI_LLOGARIVE!$A:$I,9,FALSE()),""))</f>
        <v/>
      </c>
      <c r="L486" s="487" t="str">
        <f aca="false">IF($E486="","",$I486-$J486)</f>
        <v/>
      </c>
      <c r="M486" s="484" t="str">
        <f aca="false">IF($E486="","",IF($I486&gt;0,"DEBIT",IF($J486&gt;0,"KREDIT","ZERO")))</f>
        <v/>
      </c>
      <c r="N486" s="484" t="str">
        <f aca="false">IF($E486="","",TEXT($B486,"yyyymmdd")&amp;"-"&amp;TEXT(ROW(),"0000"))</f>
        <v/>
      </c>
      <c r="O486" s="101" t="str">
        <f aca="false">IF($E486="","",$E486&amp;"")</f>
        <v/>
      </c>
      <c r="P486" s="101" t="str">
        <f aca="false">IF(AND($O486&lt;&gt;"",$I486&lt;&gt;0),COUNTIFS($O$2:O486,$O486,$I$2:I486,"&gt;0"),"")</f>
        <v/>
      </c>
      <c r="Q486" s="101" t="str">
        <f aca="false">IF(AND($O486&lt;&gt;"",$J486&lt;&gt;0),COUNTIFS($O$2:O486,$O486,$J$2:J486,"&gt;0"),"")</f>
        <v/>
      </c>
      <c r="R486" s="101" t="str">
        <f aca="false">IF($P486="","",$O486&amp;"|"&amp;$P486)</f>
        <v/>
      </c>
      <c r="S486" s="101" t="str">
        <f aca="false">IF($Q486="","",$O486&amp;"|"&amp;$Q486)</f>
        <v/>
      </c>
      <c r="T486" s="101" t="str">
        <f aca="false">IF($O486="","",COUNTIF($O$2:O486,$O486))</f>
        <v/>
      </c>
      <c r="U486" s="101" t="str">
        <f aca="false">IF($O486="","",$O486&amp;"|"&amp;$T486)</f>
        <v/>
      </c>
      <c r="V486" s="488" t="n">
        <f aca="false">IF(OR(LEFT($D486,5)="MB-CL",LEFT($D486,6)="MB-RES"),0,$I486)</f>
        <v>0</v>
      </c>
      <c r="W486" s="488" t="n">
        <f aca="false">IF(OR(LEFT($D486,5)="MB-CL",LEFT($D486,6)="MB-RES"),0,$J486)</f>
        <v>0</v>
      </c>
      <c r="X486" s="101" t="str">
        <f aca="false">IF($E486="","",LEFT($E486,1))</f>
        <v/>
      </c>
      <c r="Y486" s="101" t="str">
        <f aca="false">IF($E486="","",LEFT($E486,2))</f>
        <v/>
      </c>
      <c r="Z486" s="101" t="str">
        <f aca="false">IF($E486="","",LEFT($E486,3))</f>
        <v/>
      </c>
      <c r="AA486" s="101" t="str">
        <f aca="false">IF($E486="","",LEFT($E486,4))</f>
        <v/>
      </c>
    </row>
    <row r="487" customFormat="false" ht="15" hidden="false" customHeight="true" outlineLevel="0" collapsed="false">
      <c r="A487" s="484" t="str">
        <f aca="false">IF(DITARI!$D491="","",ROW()-1)</f>
        <v/>
      </c>
      <c r="B487" s="485" t="str">
        <f aca="false">IF(DITARI!$D491="","",DITARI!$A491)</f>
        <v/>
      </c>
      <c r="C487" s="484" t="str">
        <f aca="false">IF(DITARI!$D491="","",DITARI!$B491)</f>
        <v/>
      </c>
      <c r="D487" s="484" t="str">
        <f aca="false">IF(DITARI!$D491="","",DITARI!$C491)</f>
        <v/>
      </c>
      <c r="E487" s="484" t="str">
        <f aca="false">IF(DITARI!$D491="","",TRIM(DITARI!$D491&amp;""))</f>
        <v/>
      </c>
      <c r="F487" s="484" t="str">
        <f aca="false">IF($E487="","",IFERROR(VLOOKUP($E487,PLANI_LLOGARIVE!$A:$I,2,FALSE()),DITARI!$E491))</f>
        <v/>
      </c>
      <c r="G487" s="484" t="str">
        <f aca="false">IF($E487="","",DITARI!$I491)</f>
        <v/>
      </c>
      <c r="H487" s="484" t="str">
        <f aca="false">IFERROR(IF($E487="","",DITARI!$H491),"")</f>
        <v/>
      </c>
      <c r="I487" s="487" t="n">
        <f aca="false">IF($E487="",0,IFERROR(DITARI!$F491,0))</f>
        <v>0</v>
      </c>
      <c r="J487" s="487" t="n">
        <f aca="false">IF($E487="",0,IFERROR(DITARI!$G491,0))</f>
        <v>0</v>
      </c>
      <c r="K487" s="484" t="str">
        <f aca="false">IF($E487="","",IFERROR(VLOOKUP($E487,PLANI_LLOGARIVE!$A:$I,9,FALSE()),""))</f>
        <v/>
      </c>
      <c r="L487" s="487" t="str">
        <f aca="false">IF($E487="","",$I487-$J487)</f>
        <v/>
      </c>
      <c r="M487" s="484" t="str">
        <f aca="false">IF($E487="","",IF($I487&gt;0,"DEBIT",IF($J487&gt;0,"KREDIT","ZERO")))</f>
        <v/>
      </c>
      <c r="N487" s="484" t="str">
        <f aca="false">IF($E487="","",TEXT($B487,"yyyymmdd")&amp;"-"&amp;TEXT(ROW(),"0000"))</f>
        <v/>
      </c>
      <c r="O487" s="101" t="str">
        <f aca="false">IF($E487="","",$E487&amp;"")</f>
        <v/>
      </c>
      <c r="P487" s="101" t="str">
        <f aca="false">IF(AND($O487&lt;&gt;"",$I487&lt;&gt;0),COUNTIFS($O$2:O487,$O487,$I$2:I487,"&gt;0"),"")</f>
        <v/>
      </c>
      <c r="Q487" s="101" t="str">
        <f aca="false">IF(AND($O487&lt;&gt;"",$J487&lt;&gt;0),COUNTIFS($O$2:O487,$O487,$J$2:J487,"&gt;0"),"")</f>
        <v/>
      </c>
      <c r="R487" s="101" t="str">
        <f aca="false">IF($P487="","",$O487&amp;"|"&amp;$P487)</f>
        <v/>
      </c>
      <c r="S487" s="101" t="str">
        <f aca="false">IF($Q487="","",$O487&amp;"|"&amp;$Q487)</f>
        <v/>
      </c>
      <c r="T487" s="101" t="str">
        <f aca="false">IF($O487="","",COUNTIF($O$2:O487,$O487))</f>
        <v/>
      </c>
      <c r="U487" s="101" t="str">
        <f aca="false">IF($O487="","",$O487&amp;"|"&amp;$T487)</f>
        <v/>
      </c>
      <c r="V487" s="488" t="n">
        <f aca="false">IF(OR(LEFT($D487,5)="MB-CL",LEFT($D487,6)="MB-RES"),0,$I487)</f>
        <v>0</v>
      </c>
      <c r="W487" s="488" t="n">
        <f aca="false">IF(OR(LEFT($D487,5)="MB-CL",LEFT($D487,6)="MB-RES"),0,$J487)</f>
        <v>0</v>
      </c>
      <c r="X487" s="101" t="str">
        <f aca="false">IF($E487="","",LEFT($E487,1))</f>
        <v/>
      </c>
      <c r="Y487" s="101" t="str">
        <f aca="false">IF($E487="","",LEFT($E487,2))</f>
        <v/>
      </c>
      <c r="Z487" s="101" t="str">
        <f aca="false">IF($E487="","",LEFT($E487,3))</f>
        <v/>
      </c>
      <c r="AA487" s="101" t="str">
        <f aca="false">IF($E487="","",LEFT($E487,4))</f>
        <v/>
      </c>
    </row>
    <row r="488" customFormat="false" ht="15" hidden="false" customHeight="true" outlineLevel="0" collapsed="false">
      <c r="A488" s="484" t="str">
        <f aca="false">IF(DITARI!$D492="","",ROW()-1)</f>
        <v/>
      </c>
      <c r="B488" s="485" t="str">
        <f aca="false">IF(DITARI!$D492="","",DITARI!$A492)</f>
        <v/>
      </c>
      <c r="C488" s="484" t="str">
        <f aca="false">IF(DITARI!$D492="","",DITARI!$B492)</f>
        <v/>
      </c>
      <c r="D488" s="484" t="str">
        <f aca="false">IF(DITARI!$D492="","",DITARI!$C492)</f>
        <v/>
      </c>
      <c r="E488" s="484" t="str">
        <f aca="false">IF(DITARI!$D492="","",TRIM(DITARI!$D492&amp;""))</f>
        <v/>
      </c>
      <c r="F488" s="484" t="str">
        <f aca="false">IF($E488="","",IFERROR(VLOOKUP($E488,PLANI_LLOGARIVE!$A:$I,2,FALSE()),DITARI!$E492))</f>
        <v/>
      </c>
      <c r="G488" s="484" t="str">
        <f aca="false">IF($E488="","",DITARI!$I492)</f>
        <v/>
      </c>
      <c r="H488" s="484" t="str">
        <f aca="false">IFERROR(IF($E488="","",DITARI!$H492),"")</f>
        <v/>
      </c>
      <c r="I488" s="487" t="n">
        <f aca="false">IF($E488="",0,IFERROR(DITARI!$F492,0))</f>
        <v>0</v>
      </c>
      <c r="J488" s="487" t="n">
        <f aca="false">IF($E488="",0,IFERROR(DITARI!$G492,0))</f>
        <v>0</v>
      </c>
      <c r="K488" s="484" t="str">
        <f aca="false">IF($E488="","",IFERROR(VLOOKUP($E488,PLANI_LLOGARIVE!$A:$I,9,FALSE()),""))</f>
        <v/>
      </c>
      <c r="L488" s="487" t="str">
        <f aca="false">IF($E488="","",$I488-$J488)</f>
        <v/>
      </c>
      <c r="M488" s="484" t="str">
        <f aca="false">IF($E488="","",IF($I488&gt;0,"DEBIT",IF($J488&gt;0,"KREDIT","ZERO")))</f>
        <v/>
      </c>
      <c r="N488" s="484" t="str">
        <f aca="false">IF($E488="","",TEXT($B488,"yyyymmdd")&amp;"-"&amp;TEXT(ROW(),"0000"))</f>
        <v/>
      </c>
      <c r="O488" s="101" t="str">
        <f aca="false">IF($E488="","",$E488&amp;"")</f>
        <v/>
      </c>
      <c r="P488" s="101" t="str">
        <f aca="false">IF(AND($O488&lt;&gt;"",$I488&lt;&gt;0),COUNTIFS($O$2:O488,$O488,$I$2:I488,"&gt;0"),"")</f>
        <v/>
      </c>
      <c r="Q488" s="101" t="str">
        <f aca="false">IF(AND($O488&lt;&gt;"",$J488&lt;&gt;0),COUNTIFS($O$2:O488,$O488,$J$2:J488,"&gt;0"),"")</f>
        <v/>
      </c>
      <c r="R488" s="101" t="str">
        <f aca="false">IF($P488="","",$O488&amp;"|"&amp;$P488)</f>
        <v/>
      </c>
      <c r="S488" s="101" t="str">
        <f aca="false">IF($Q488="","",$O488&amp;"|"&amp;$Q488)</f>
        <v/>
      </c>
      <c r="T488" s="101" t="str">
        <f aca="false">IF($O488="","",COUNTIF($O$2:O488,$O488))</f>
        <v/>
      </c>
      <c r="U488" s="101" t="str">
        <f aca="false">IF($O488="","",$O488&amp;"|"&amp;$T488)</f>
        <v/>
      </c>
      <c r="V488" s="488" t="n">
        <f aca="false">IF(OR(LEFT($D488,5)="MB-CL",LEFT($D488,6)="MB-RES"),0,$I488)</f>
        <v>0</v>
      </c>
      <c r="W488" s="488" t="n">
        <f aca="false">IF(OR(LEFT($D488,5)="MB-CL",LEFT($D488,6)="MB-RES"),0,$J488)</f>
        <v>0</v>
      </c>
      <c r="X488" s="101" t="str">
        <f aca="false">IF($E488="","",LEFT($E488,1))</f>
        <v/>
      </c>
      <c r="Y488" s="101" t="str">
        <f aca="false">IF($E488="","",LEFT($E488,2))</f>
        <v/>
      </c>
      <c r="Z488" s="101" t="str">
        <f aca="false">IF($E488="","",LEFT($E488,3))</f>
        <v/>
      </c>
      <c r="AA488" s="101" t="str">
        <f aca="false">IF($E488="","",LEFT($E488,4))</f>
        <v/>
      </c>
    </row>
    <row r="489" customFormat="false" ht="15" hidden="false" customHeight="true" outlineLevel="0" collapsed="false">
      <c r="A489" s="484" t="str">
        <f aca="false">IF(DITARI!$D493="","",ROW()-1)</f>
        <v/>
      </c>
      <c r="B489" s="485" t="str">
        <f aca="false">IF(DITARI!$D493="","",DITARI!$A493)</f>
        <v/>
      </c>
      <c r="C489" s="484" t="str">
        <f aca="false">IF(DITARI!$D493="","",DITARI!$B493)</f>
        <v/>
      </c>
      <c r="D489" s="484" t="str">
        <f aca="false">IF(DITARI!$D493="","",DITARI!$C493)</f>
        <v/>
      </c>
      <c r="E489" s="484" t="str">
        <f aca="false">IF(DITARI!$D493="","",TRIM(DITARI!$D493&amp;""))</f>
        <v/>
      </c>
      <c r="F489" s="484" t="str">
        <f aca="false">IF($E489="","",IFERROR(VLOOKUP($E489,PLANI_LLOGARIVE!$A:$I,2,FALSE()),DITARI!$E493))</f>
        <v/>
      </c>
      <c r="G489" s="484" t="str">
        <f aca="false">IF($E489="","",DITARI!$I493)</f>
        <v/>
      </c>
      <c r="H489" s="484" t="str">
        <f aca="false">IFERROR(IF($E489="","",DITARI!$H493),"")</f>
        <v/>
      </c>
      <c r="I489" s="487" t="n">
        <f aca="false">IF($E489="",0,IFERROR(DITARI!$F493,0))</f>
        <v>0</v>
      </c>
      <c r="J489" s="487" t="n">
        <f aca="false">IF($E489="",0,IFERROR(DITARI!$G493,0))</f>
        <v>0</v>
      </c>
      <c r="K489" s="484" t="str">
        <f aca="false">IF($E489="","",IFERROR(VLOOKUP($E489,PLANI_LLOGARIVE!$A:$I,9,FALSE()),""))</f>
        <v/>
      </c>
      <c r="L489" s="487" t="str">
        <f aca="false">IF($E489="","",$I489-$J489)</f>
        <v/>
      </c>
      <c r="M489" s="484" t="str">
        <f aca="false">IF($E489="","",IF($I489&gt;0,"DEBIT",IF($J489&gt;0,"KREDIT","ZERO")))</f>
        <v/>
      </c>
      <c r="N489" s="484" t="str">
        <f aca="false">IF($E489="","",TEXT($B489,"yyyymmdd")&amp;"-"&amp;TEXT(ROW(),"0000"))</f>
        <v/>
      </c>
      <c r="O489" s="101" t="str">
        <f aca="false">IF($E489="","",$E489&amp;"")</f>
        <v/>
      </c>
      <c r="P489" s="101" t="str">
        <f aca="false">IF(AND($O489&lt;&gt;"",$I489&lt;&gt;0),COUNTIFS($O$2:O489,$O489,$I$2:I489,"&gt;0"),"")</f>
        <v/>
      </c>
      <c r="Q489" s="101" t="str">
        <f aca="false">IF(AND($O489&lt;&gt;"",$J489&lt;&gt;0),COUNTIFS($O$2:O489,$O489,$J$2:J489,"&gt;0"),"")</f>
        <v/>
      </c>
      <c r="R489" s="101" t="str">
        <f aca="false">IF($P489="","",$O489&amp;"|"&amp;$P489)</f>
        <v/>
      </c>
      <c r="S489" s="101" t="str">
        <f aca="false">IF($Q489="","",$O489&amp;"|"&amp;$Q489)</f>
        <v/>
      </c>
      <c r="T489" s="101" t="str">
        <f aca="false">IF($O489="","",COUNTIF($O$2:O489,$O489))</f>
        <v/>
      </c>
      <c r="U489" s="101" t="str">
        <f aca="false">IF($O489="","",$O489&amp;"|"&amp;$T489)</f>
        <v/>
      </c>
      <c r="V489" s="488" t="n">
        <f aca="false">IF(OR(LEFT($D489,5)="MB-CL",LEFT($D489,6)="MB-RES"),0,$I489)</f>
        <v>0</v>
      </c>
      <c r="W489" s="488" t="n">
        <f aca="false">IF(OR(LEFT($D489,5)="MB-CL",LEFT($D489,6)="MB-RES"),0,$J489)</f>
        <v>0</v>
      </c>
      <c r="X489" s="101" t="str">
        <f aca="false">IF($E489="","",LEFT($E489,1))</f>
        <v/>
      </c>
      <c r="Y489" s="101" t="str">
        <f aca="false">IF($E489="","",LEFT($E489,2))</f>
        <v/>
      </c>
      <c r="Z489" s="101" t="str">
        <f aca="false">IF($E489="","",LEFT($E489,3))</f>
        <v/>
      </c>
      <c r="AA489" s="101" t="str">
        <f aca="false">IF($E489="","",LEFT($E489,4))</f>
        <v/>
      </c>
    </row>
    <row r="490" customFormat="false" ht="15" hidden="false" customHeight="true" outlineLevel="0" collapsed="false">
      <c r="A490" s="484" t="str">
        <f aca="false">IF(DITARI!$D494="","",ROW()-1)</f>
        <v/>
      </c>
      <c r="B490" s="485" t="str">
        <f aca="false">IF(DITARI!$D494="","",DITARI!$A494)</f>
        <v/>
      </c>
      <c r="C490" s="484" t="str">
        <f aca="false">IF(DITARI!$D494="","",DITARI!$B494)</f>
        <v/>
      </c>
      <c r="D490" s="484" t="str">
        <f aca="false">IF(DITARI!$D494="","",DITARI!$C494)</f>
        <v/>
      </c>
      <c r="E490" s="484" t="str">
        <f aca="false">IF(DITARI!$D494="","",TRIM(DITARI!$D494&amp;""))</f>
        <v/>
      </c>
      <c r="F490" s="484" t="str">
        <f aca="false">IF($E490="","",IFERROR(VLOOKUP($E490,PLANI_LLOGARIVE!$A:$I,2,FALSE()),DITARI!$E494))</f>
        <v/>
      </c>
      <c r="G490" s="484" t="str">
        <f aca="false">IF($E490="","",DITARI!$I494)</f>
        <v/>
      </c>
      <c r="H490" s="484" t="str">
        <f aca="false">IFERROR(IF($E490="","",DITARI!$H494),"")</f>
        <v/>
      </c>
      <c r="I490" s="487" t="n">
        <f aca="false">IF($E490="",0,IFERROR(DITARI!$F494,0))</f>
        <v>0</v>
      </c>
      <c r="J490" s="487" t="n">
        <f aca="false">IF($E490="",0,IFERROR(DITARI!$G494,0))</f>
        <v>0</v>
      </c>
      <c r="K490" s="484" t="str">
        <f aca="false">IF($E490="","",IFERROR(VLOOKUP($E490,PLANI_LLOGARIVE!$A:$I,9,FALSE()),""))</f>
        <v/>
      </c>
      <c r="L490" s="487" t="str">
        <f aca="false">IF($E490="","",$I490-$J490)</f>
        <v/>
      </c>
      <c r="M490" s="484" t="str">
        <f aca="false">IF($E490="","",IF($I490&gt;0,"DEBIT",IF($J490&gt;0,"KREDIT","ZERO")))</f>
        <v/>
      </c>
      <c r="N490" s="484" t="str">
        <f aca="false">IF($E490="","",TEXT($B490,"yyyymmdd")&amp;"-"&amp;TEXT(ROW(),"0000"))</f>
        <v/>
      </c>
      <c r="O490" s="101" t="str">
        <f aca="false">IF($E490="","",$E490&amp;"")</f>
        <v/>
      </c>
      <c r="P490" s="101" t="str">
        <f aca="false">IF(AND($O490&lt;&gt;"",$I490&lt;&gt;0),COUNTIFS($O$2:O490,$O490,$I$2:I490,"&gt;0"),"")</f>
        <v/>
      </c>
      <c r="Q490" s="101" t="str">
        <f aca="false">IF(AND($O490&lt;&gt;"",$J490&lt;&gt;0),COUNTIFS($O$2:O490,$O490,$J$2:J490,"&gt;0"),"")</f>
        <v/>
      </c>
      <c r="R490" s="101" t="str">
        <f aca="false">IF($P490="","",$O490&amp;"|"&amp;$P490)</f>
        <v/>
      </c>
      <c r="S490" s="101" t="str">
        <f aca="false">IF($Q490="","",$O490&amp;"|"&amp;$Q490)</f>
        <v/>
      </c>
      <c r="T490" s="101" t="str">
        <f aca="false">IF($O490="","",COUNTIF($O$2:O490,$O490))</f>
        <v/>
      </c>
      <c r="U490" s="101" t="str">
        <f aca="false">IF($O490="","",$O490&amp;"|"&amp;$T490)</f>
        <v/>
      </c>
      <c r="V490" s="488" t="n">
        <f aca="false">IF(OR(LEFT($D490,5)="MB-CL",LEFT($D490,6)="MB-RES"),0,$I490)</f>
        <v>0</v>
      </c>
      <c r="W490" s="488" t="n">
        <f aca="false">IF(OR(LEFT($D490,5)="MB-CL",LEFT($D490,6)="MB-RES"),0,$J490)</f>
        <v>0</v>
      </c>
      <c r="X490" s="101" t="str">
        <f aca="false">IF($E490="","",LEFT($E490,1))</f>
        <v/>
      </c>
      <c r="Y490" s="101" t="str">
        <f aca="false">IF($E490="","",LEFT($E490,2))</f>
        <v/>
      </c>
      <c r="Z490" s="101" t="str">
        <f aca="false">IF($E490="","",LEFT($E490,3))</f>
        <v/>
      </c>
      <c r="AA490" s="101" t="str">
        <f aca="false">IF($E490="","",LEFT($E490,4))</f>
        <v/>
      </c>
    </row>
    <row r="491" customFormat="false" ht="15" hidden="false" customHeight="true" outlineLevel="0" collapsed="false">
      <c r="A491" s="484" t="str">
        <f aca="false">IF(DITARI!$D495="","",ROW()-1)</f>
        <v/>
      </c>
      <c r="B491" s="485" t="str">
        <f aca="false">IF(DITARI!$D495="","",DITARI!$A495)</f>
        <v/>
      </c>
      <c r="C491" s="484" t="str">
        <f aca="false">IF(DITARI!$D495="","",DITARI!$B495)</f>
        <v/>
      </c>
      <c r="D491" s="484" t="str">
        <f aca="false">IF(DITARI!$D495="","",DITARI!$C495)</f>
        <v/>
      </c>
      <c r="E491" s="484" t="str">
        <f aca="false">IF(DITARI!$D495="","",TRIM(DITARI!$D495&amp;""))</f>
        <v/>
      </c>
      <c r="F491" s="484" t="str">
        <f aca="false">IF($E491="","",IFERROR(VLOOKUP($E491,PLANI_LLOGARIVE!$A:$I,2,FALSE()),DITARI!$E495))</f>
        <v/>
      </c>
      <c r="G491" s="484" t="str">
        <f aca="false">IF($E491="","",DITARI!$I495)</f>
        <v/>
      </c>
      <c r="H491" s="484" t="str">
        <f aca="false">IFERROR(IF($E491="","",DITARI!$H495),"")</f>
        <v/>
      </c>
      <c r="I491" s="487" t="n">
        <f aca="false">IF($E491="",0,IFERROR(DITARI!$F495,0))</f>
        <v>0</v>
      </c>
      <c r="J491" s="487" t="n">
        <f aca="false">IF($E491="",0,IFERROR(DITARI!$G495,0))</f>
        <v>0</v>
      </c>
      <c r="K491" s="484" t="str">
        <f aca="false">IF($E491="","",IFERROR(VLOOKUP($E491,PLANI_LLOGARIVE!$A:$I,9,FALSE()),""))</f>
        <v/>
      </c>
      <c r="L491" s="487" t="str">
        <f aca="false">IF($E491="","",$I491-$J491)</f>
        <v/>
      </c>
      <c r="M491" s="484" t="str">
        <f aca="false">IF($E491="","",IF($I491&gt;0,"DEBIT",IF($J491&gt;0,"KREDIT","ZERO")))</f>
        <v/>
      </c>
      <c r="N491" s="484" t="str">
        <f aca="false">IF($E491="","",TEXT($B491,"yyyymmdd")&amp;"-"&amp;TEXT(ROW(),"0000"))</f>
        <v/>
      </c>
      <c r="O491" s="101" t="str">
        <f aca="false">IF($E491="","",$E491&amp;"")</f>
        <v/>
      </c>
      <c r="P491" s="101" t="str">
        <f aca="false">IF(AND($O491&lt;&gt;"",$I491&lt;&gt;0),COUNTIFS($O$2:O491,$O491,$I$2:I491,"&gt;0"),"")</f>
        <v/>
      </c>
      <c r="Q491" s="101" t="str">
        <f aca="false">IF(AND($O491&lt;&gt;"",$J491&lt;&gt;0),COUNTIFS($O$2:O491,$O491,$J$2:J491,"&gt;0"),"")</f>
        <v/>
      </c>
      <c r="R491" s="101" t="str">
        <f aca="false">IF($P491="","",$O491&amp;"|"&amp;$P491)</f>
        <v/>
      </c>
      <c r="S491" s="101" t="str">
        <f aca="false">IF($Q491="","",$O491&amp;"|"&amp;$Q491)</f>
        <v/>
      </c>
      <c r="T491" s="101" t="str">
        <f aca="false">IF($O491="","",COUNTIF($O$2:O491,$O491))</f>
        <v/>
      </c>
      <c r="U491" s="101" t="str">
        <f aca="false">IF($O491="","",$O491&amp;"|"&amp;$T491)</f>
        <v/>
      </c>
      <c r="V491" s="488" t="n">
        <f aca="false">IF(OR(LEFT($D491,5)="MB-CL",LEFT($D491,6)="MB-RES"),0,$I491)</f>
        <v>0</v>
      </c>
      <c r="W491" s="488" t="n">
        <f aca="false">IF(OR(LEFT($D491,5)="MB-CL",LEFT($D491,6)="MB-RES"),0,$J491)</f>
        <v>0</v>
      </c>
      <c r="X491" s="101" t="str">
        <f aca="false">IF($E491="","",LEFT($E491,1))</f>
        <v/>
      </c>
      <c r="Y491" s="101" t="str">
        <f aca="false">IF($E491="","",LEFT($E491,2))</f>
        <v/>
      </c>
      <c r="Z491" s="101" t="str">
        <f aca="false">IF($E491="","",LEFT($E491,3))</f>
        <v/>
      </c>
      <c r="AA491" s="101" t="str">
        <f aca="false">IF($E491="","",LEFT($E491,4))</f>
        <v/>
      </c>
    </row>
    <row r="492" customFormat="false" ht="15" hidden="false" customHeight="true" outlineLevel="0" collapsed="false">
      <c r="A492" s="484" t="str">
        <f aca="false">IF(DITARI!$D496="","",ROW()-1)</f>
        <v/>
      </c>
      <c r="B492" s="485" t="str">
        <f aca="false">IF(DITARI!$D496="","",DITARI!$A496)</f>
        <v/>
      </c>
      <c r="C492" s="484" t="str">
        <f aca="false">IF(DITARI!$D496="","",DITARI!$B496)</f>
        <v/>
      </c>
      <c r="D492" s="484" t="str">
        <f aca="false">IF(DITARI!$D496="","",DITARI!$C496)</f>
        <v/>
      </c>
      <c r="E492" s="484" t="str">
        <f aca="false">IF(DITARI!$D496="","",TRIM(DITARI!$D496&amp;""))</f>
        <v/>
      </c>
      <c r="F492" s="484" t="str">
        <f aca="false">IF($E492="","",IFERROR(VLOOKUP($E492,PLANI_LLOGARIVE!$A:$I,2,FALSE()),DITARI!$E496))</f>
        <v/>
      </c>
      <c r="G492" s="484" t="str">
        <f aca="false">IF($E492="","",DITARI!$I496)</f>
        <v/>
      </c>
      <c r="H492" s="484" t="str">
        <f aca="false">IFERROR(IF($E492="","",DITARI!$H496),"")</f>
        <v/>
      </c>
      <c r="I492" s="487" t="n">
        <f aca="false">IF($E492="",0,IFERROR(DITARI!$F496,0))</f>
        <v>0</v>
      </c>
      <c r="J492" s="487" t="n">
        <f aca="false">IF($E492="",0,IFERROR(DITARI!$G496,0))</f>
        <v>0</v>
      </c>
      <c r="K492" s="484" t="str">
        <f aca="false">IF($E492="","",IFERROR(VLOOKUP($E492,PLANI_LLOGARIVE!$A:$I,9,FALSE()),""))</f>
        <v/>
      </c>
      <c r="L492" s="487" t="str">
        <f aca="false">IF($E492="","",$I492-$J492)</f>
        <v/>
      </c>
      <c r="M492" s="484" t="str">
        <f aca="false">IF($E492="","",IF($I492&gt;0,"DEBIT",IF($J492&gt;0,"KREDIT","ZERO")))</f>
        <v/>
      </c>
      <c r="N492" s="484" t="str">
        <f aca="false">IF($E492="","",TEXT($B492,"yyyymmdd")&amp;"-"&amp;TEXT(ROW(),"0000"))</f>
        <v/>
      </c>
      <c r="O492" s="101" t="str">
        <f aca="false">IF($E492="","",$E492&amp;"")</f>
        <v/>
      </c>
      <c r="P492" s="101" t="str">
        <f aca="false">IF(AND($O492&lt;&gt;"",$I492&lt;&gt;0),COUNTIFS($O$2:O492,$O492,$I$2:I492,"&gt;0"),"")</f>
        <v/>
      </c>
      <c r="Q492" s="101" t="str">
        <f aca="false">IF(AND($O492&lt;&gt;"",$J492&lt;&gt;0),COUNTIFS($O$2:O492,$O492,$J$2:J492,"&gt;0"),"")</f>
        <v/>
      </c>
      <c r="R492" s="101" t="str">
        <f aca="false">IF($P492="","",$O492&amp;"|"&amp;$P492)</f>
        <v/>
      </c>
      <c r="S492" s="101" t="str">
        <f aca="false">IF($Q492="","",$O492&amp;"|"&amp;$Q492)</f>
        <v/>
      </c>
      <c r="T492" s="101" t="str">
        <f aca="false">IF($O492="","",COUNTIF($O$2:O492,$O492))</f>
        <v/>
      </c>
      <c r="U492" s="101" t="str">
        <f aca="false">IF($O492="","",$O492&amp;"|"&amp;$T492)</f>
        <v/>
      </c>
      <c r="V492" s="488" t="n">
        <f aca="false">IF(OR(LEFT($D492,5)="MB-CL",LEFT($D492,6)="MB-RES"),0,$I492)</f>
        <v>0</v>
      </c>
      <c r="W492" s="488" t="n">
        <f aca="false">IF(OR(LEFT($D492,5)="MB-CL",LEFT($D492,6)="MB-RES"),0,$J492)</f>
        <v>0</v>
      </c>
      <c r="X492" s="101" t="str">
        <f aca="false">IF($E492="","",LEFT($E492,1))</f>
        <v/>
      </c>
      <c r="Y492" s="101" t="str">
        <f aca="false">IF($E492="","",LEFT($E492,2))</f>
        <v/>
      </c>
      <c r="Z492" s="101" t="str">
        <f aca="false">IF($E492="","",LEFT($E492,3))</f>
        <v/>
      </c>
      <c r="AA492" s="101" t="str">
        <f aca="false">IF($E492="","",LEFT($E492,4))</f>
        <v/>
      </c>
    </row>
    <row r="493" customFormat="false" ht="15" hidden="false" customHeight="true" outlineLevel="0" collapsed="false">
      <c r="A493" s="484" t="str">
        <f aca="false">IF(DITARI!$D497="","",ROW()-1)</f>
        <v/>
      </c>
      <c r="B493" s="485" t="str">
        <f aca="false">IF(DITARI!$D497="","",DITARI!$A497)</f>
        <v/>
      </c>
      <c r="C493" s="484" t="str">
        <f aca="false">IF(DITARI!$D497="","",DITARI!$B497)</f>
        <v/>
      </c>
      <c r="D493" s="484" t="str">
        <f aca="false">IF(DITARI!$D497="","",DITARI!$C497)</f>
        <v/>
      </c>
      <c r="E493" s="484" t="str">
        <f aca="false">IF(DITARI!$D497="","",TRIM(DITARI!$D497&amp;""))</f>
        <v/>
      </c>
      <c r="F493" s="484" t="str">
        <f aca="false">IF($E493="","",IFERROR(VLOOKUP($E493,PLANI_LLOGARIVE!$A:$I,2,FALSE()),DITARI!$E497))</f>
        <v/>
      </c>
      <c r="G493" s="484" t="str">
        <f aca="false">IF($E493="","",DITARI!$I497)</f>
        <v/>
      </c>
      <c r="H493" s="484" t="str">
        <f aca="false">IFERROR(IF($E493="","",DITARI!$H497),"")</f>
        <v/>
      </c>
      <c r="I493" s="487" t="n">
        <f aca="false">IF($E493="",0,IFERROR(DITARI!$F497,0))</f>
        <v>0</v>
      </c>
      <c r="J493" s="487" t="n">
        <f aca="false">IF($E493="",0,IFERROR(DITARI!$G497,0))</f>
        <v>0</v>
      </c>
      <c r="K493" s="484" t="str">
        <f aca="false">IF($E493="","",IFERROR(VLOOKUP($E493,PLANI_LLOGARIVE!$A:$I,9,FALSE()),""))</f>
        <v/>
      </c>
      <c r="L493" s="487" t="str">
        <f aca="false">IF($E493="","",$I493-$J493)</f>
        <v/>
      </c>
      <c r="M493" s="484" t="str">
        <f aca="false">IF($E493="","",IF($I493&gt;0,"DEBIT",IF($J493&gt;0,"KREDIT","ZERO")))</f>
        <v/>
      </c>
      <c r="N493" s="484" t="str">
        <f aca="false">IF($E493="","",TEXT($B493,"yyyymmdd")&amp;"-"&amp;TEXT(ROW(),"0000"))</f>
        <v/>
      </c>
      <c r="O493" s="101" t="str">
        <f aca="false">IF($E493="","",$E493&amp;"")</f>
        <v/>
      </c>
      <c r="P493" s="101" t="str">
        <f aca="false">IF(AND($O493&lt;&gt;"",$I493&lt;&gt;0),COUNTIFS($O$2:O493,$O493,$I$2:I493,"&gt;0"),"")</f>
        <v/>
      </c>
      <c r="Q493" s="101" t="str">
        <f aca="false">IF(AND($O493&lt;&gt;"",$J493&lt;&gt;0),COUNTIFS($O$2:O493,$O493,$J$2:J493,"&gt;0"),"")</f>
        <v/>
      </c>
      <c r="R493" s="101" t="str">
        <f aca="false">IF($P493="","",$O493&amp;"|"&amp;$P493)</f>
        <v/>
      </c>
      <c r="S493" s="101" t="str">
        <f aca="false">IF($Q493="","",$O493&amp;"|"&amp;$Q493)</f>
        <v/>
      </c>
      <c r="T493" s="101" t="str">
        <f aca="false">IF($O493="","",COUNTIF($O$2:O493,$O493))</f>
        <v/>
      </c>
      <c r="U493" s="101" t="str">
        <f aca="false">IF($O493="","",$O493&amp;"|"&amp;$T493)</f>
        <v/>
      </c>
      <c r="V493" s="488" t="n">
        <f aca="false">IF(OR(LEFT($D493,5)="MB-CL",LEFT($D493,6)="MB-RES"),0,$I493)</f>
        <v>0</v>
      </c>
      <c r="W493" s="488" t="n">
        <f aca="false">IF(OR(LEFT($D493,5)="MB-CL",LEFT($D493,6)="MB-RES"),0,$J493)</f>
        <v>0</v>
      </c>
      <c r="X493" s="101" t="str">
        <f aca="false">IF($E493="","",LEFT($E493,1))</f>
        <v/>
      </c>
      <c r="Y493" s="101" t="str">
        <f aca="false">IF($E493="","",LEFT($E493,2))</f>
        <v/>
      </c>
      <c r="Z493" s="101" t="str">
        <f aca="false">IF($E493="","",LEFT($E493,3))</f>
        <v/>
      </c>
      <c r="AA493" s="101" t="str">
        <f aca="false">IF($E493="","",LEFT($E493,4))</f>
        <v/>
      </c>
    </row>
    <row r="494" customFormat="false" ht="15" hidden="false" customHeight="true" outlineLevel="0" collapsed="false">
      <c r="A494" s="484" t="str">
        <f aca="false">IF(DITARI!$D498="","",ROW()-1)</f>
        <v/>
      </c>
      <c r="B494" s="485" t="str">
        <f aca="false">IF(DITARI!$D498="","",DITARI!$A498)</f>
        <v/>
      </c>
      <c r="C494" s="484" t="str">
        <f aca="false">IF(DITARI!$D498="","",DITARI!$B498)</f>
        <v/>
      </c>
      <c r="D494" s="484" t="str">
        <f aca="false">IF(DITARI!$D498="","",DITARI!$C498)</f>
        <v/>
      </c>
      <c r="E494" s="484" t="str">
        <f aca="false">IF(DITARI!$D498="","",TRIM(DITARI!$D498&amp;""))</f>
        <v/>
      </c>
      <c r="F494" s="484" t="str">
        <f aca="false">IF($E494="","",IFERROR(VLOOKUP($E494,PLANI_LLOGARIVE!$A:$I,2,FALSE()),DITARI!$E498))</f>
        <v/>
      </c>
      <c r="G494" s="484" t="str">
        <f aca="false">IF($E494="","",DITARI!$I498)</f>
        <v/>
      </c>
      <c r="H494" s="484" t="str">
        <f aca="false">IFERROR(IF($E494="","",DITARI!$H498),"")</f>
        <v/>
      </c>
      <c r="I494" s="487" t="n">
        <f aca="false">IF($E494="",0,IFERROR(DITARI!$F498,0))</f>
        <v>0</v>
      </c>
      <c r="J494" s="487" t="n">
        <f aca="false">IF($E494="",0,IFERROR(DITARI!$G498,0))</f>
        <v>0</v>
      </c>
      <c r="K494" s="484" t="str">
        <f aca="false">IF($E494="","",IFERROR(VLOOKUP($E494,PLANI_LLOGARIVE!$A:$I,9,FALSE()),""))</f>
        <v/>
      </c>
      <c r="L494" s="487" t="str">
        <f aca="false">IF($E494="","",$I494-$J494)</f>
        <v/>
      </c>
      <c r="M494" s="484" t="str">
        <f aca="false">IF($E494="","",IF($I494&gt;0,"DEBIT",IF($J494&gt;0,"KREDIT","ZERO")))</f>
        <v/>
      </c>
      <c r="N494" s="484" t="str">
        <f aca="false">IF($E494="","",TEXT($B494,"yyyymmdd")&amp;"-"&amp;TEXT(ROW(),"0000"))</f>
        <v/>
      </c>
      <c r="O494" s="101" t="str">
        <f aca="false">IF($E494="","",$E494&amp;"")</f>
        <v/>
      </c>
      <c r="P494" s="101" t="str">
        <f aca="false">IF(AND($O494&lt;&gt;"",$I494&lt;&gt;0),COUNTIFS($O$2:O494,$O494,$I$2:I494,"&gt;0"),"")</f>
        <v/>
      </c>
      <c r="Q494" s="101" t="str">
        <f aca="false">IF(AND($O494&lt;&gt;"",$J494&lt;&gt;0),COUNTIFS($O$2:O494,$O494,$J$2:J494,"&gt;0"),"")</f>
        <v/>
      </c>
      <c r="R494" s="101" t="str">
        <f aca="false">IF($P494="","",$O494&amp;"|"&amp;$P494)</f>
        <v/>
      </c>
      <c r="S494" s="101" t="str">
        <f aca="false">IF($Q494="","",$O494&amp;"|"&amp;$Q494)</f>
        <v/>
      </c>
      <c r="T494" s="101" t="str">
        <f aca="false">IF($O494="","",COUNTIF($O$2:O494,$O494))</f>
        <v/>
      </c>
      <c r="U494" s="101" t="str">
        <f aca="false">IF($O494="","",$O494&amp;"|"&amp;$T494)</f>
        <v/>
      </c>
      <c r="V494" s="488" t="n">
        <f aca="false">IF(OR(LEFT($D494,5)="MB-CL",LEFT($D494,6)="MB-RES"),0,$I494)</f>
        <v>0</v>
      </c>
      <c r="W494" s="488" t="n">
        <f aca="false">IF(OR(LEFT($D494,5)="MB-CL",LEFT($D494,6)="MB-RES"),0,$J494)</f>
        <v>0</v>
      </c>
      <c r="X494" s="101" t="str">
        <f aca="false">IF($E494="","",LEFT($E494,1))</f>
        <v/>
      </c>
      <c r="Y494" s="101" t="str">
        <f aca="false">IF($E494="","",LEFT($E494,2))</f>
        <v/>
      </c>
      <c r="Z494" s="101" t="str">
        <f aca="false">IF($E494="","",LEFT($E494,3))</f>
        <v/>
      </c>
      <c r="AA494" s="101" t="str">
        <f aca="false">IF($E494="","",LEFT($E494,4))</f>
        <v/>
      </c>
    </row>
    <row r="495" customFormat="false" ht="15" hidden="false" customHeight="true" outlineLevel="0" collapsed="false">
      <c r="A495" s="484" t="str">
        <f aca="false">IF(DITARI!$D499="","",ROW()-1)</f>
        <v/>
      </c>
      <c r="B495" s="485" t="str">
        <f aca="false">IF(DITARI!$D499="","",DITARI!$A499)</f>
        <v/>
      </c>
      <c r="C495" s="484" t="str">
        <f aca="false">IF(DITARI!$D499="","",DITARI!$B499)</f>
        <v/>
      </c>
      <c r="D495" s="484" t="str">
        <f aca="false">IF(DITARI!$D499="","",DITARI!$C499)</f>
        <v/>
      </c>
      <c r="E495" s="484" t="str">
        <f aca="false">IF(DITARI!$D499="","",TRIM(DITARI!$D499&amp;""))</f>
        <v/>
      </c>
      <c r="F495" s="484" t="str">
        <f aca="false">IF($E495="","",IFERROR(VLOOKUP($E495,PLANI_LLOGARIVE!$A:$I,2,FALSE()),DITARI!$E499))</f>
        <v/>
      </c>
      <c r="G495" s="484" t="str">
        <f aca="false">IF($E495="","",DITARI!$I499)</f>
        <v/>
      </c>
      <c r="H495" s="484" t="str">
        <f aca="false">IFERROR(IF($E495="","",DITARI!$H499),"")</f>
        <v/>
      </c>
      <c r="I495" s="487" t="n">
        <f aca="false">IF($E495="",0,IFERROR(DITARI!$F499,0))</f>
        <v>0</v>
      </c>
      <c r="J495" s="487" t="n">
        <f aca="false">IF($E495="",0,IFERROR(DITARI!$G499,0))</f>
        <v>0</v>
      </c>
      <c r="K495" s="484" t="str">
        <f aca="false">IF($E495="","",IFERROR(VLOOKUP($E495,PLANI_LLOGARIVE!$A:$I,9,FALSE()),""))</f>
        <v/>
      </c>
      <c r="L495" s="487" t="str">
        <f aca="false">IF($E495="","",$I495-$J495)</f>
        <v/>
      </c>
      <c r="M495" s="484" t="str">
        <f aca="false">IF($E495="","",IF($I495&gt;0,"DEBIT",IF($J495&gt;0,"KREDIT","ZERO")))</f>
        <v/>
      </c>
      <c r="N495" s="484" t="str">
        <f aca="false">IF($E495="","",TEXT($B495,"yyyymmdd")&amp;"-"&amp;TEXT(ROW(),"0000"))</f>
        <v/>
      </c>
      <c r="O495" s="101" t="str">
        <f aca="false">IF($E495="","",$E495&amp;"")</f>
        <v/>
      </c>
      <c r="P495" s="101" t="str">
        <f aca="false">IF(AND($O495&lt;&gt;"",$I495&lt;&gt;0),COUNTIFS($O$2:O495,$O495,$I$2:I495,"&gt;0"),"")</f>
        <v/>
      </c>
      <c r="Q495" s="101" t="str">
        <f aca="false">IF(AND($O495&lt;&gt;"",$J495&lt;&gt;0),COUNTIFS($O$2:O495,$O495,$J$2:J495,"&gt;0"),"")</f>
        <v/>
      </c>
      <c r="R495" s="101" t="str">
        <f aca="false">IF($P495="","",$O495&amp;"|"&amp;$P495)</f>
        <v/>
      </c>
      <c r="S495" s="101" t="str">
        <f aca="false">IF($Q495="","",$O495&amp;"|"&amp;$Q495)</f>
        <v/>
      </c>
      <c r="T495" s="101" t="str">
        <f aca="false">IF($O495="","",COUNTIF($O$2:O495,$O495))</f>
        <v/>
      </c>
      <c r="U495" s="101" t="str">
        <f aca="false">IF($O495="","",$O495&amp;"|"&amp;$T495)</f>
        <v/>
      </c>
      <c r="V495" s="488" t="n">
        <f aca="false">IF(OR(LEFT($D495,5)="MB-CL",LEFT($D495,6)="MB-RES"),0,$I495)</f>
        <v>0</v>
      </c>
      <c r="W495" s="488" t="n">
        <f aca="false">IF(OR(LEFT($D495,5)="MB-CL",LEFT($D495,6)="MB-RES"),0,$J495)</f>
        <v>0</v>
      </c>
      <c r="X495" s="101" t="str">
        <f aca="false">IF($E495="","",LEFT($E495,1))</f>
        <v/>
      </c>
      <c r="Y495" s="101" t="str">
        <f aca="false">IF($E495="","",LEFT($E495,2))</f>
        <v/>
      </c>
      <c r="Z495" s="101" t="str">
        <f aca="false">IF($E495="","",LEFT($E495,3))</f>
        <v/>
      </c>
      <c r="AA495" s="101" t="str">
        <f aca="false">IF($E495="","",LEFT($E495,4))</f>
        <v/>
      </c>
    </row>
    <row r="496" customFormat="false" ht="15" hidden="false" customHeight="true" outlineLevel="0" collapsed="false">
      <c r="A496" s="484" t="str">
        <f aca="false">IF(DITARI!$D500="","",ROW()-1)</f>
        <v/>
      </c>
      <c r="B496" s="485" t="str">
        <f aca="false">IF(DITARI!$D500="","",DITARI!$A500)</f>
        <v/>
      </c>
      <c r="C496" s="484" t="str">
        <f aca="false">IF(DITARI!$D500="","",DITARI!$B500)</f>
        <v/>
      </c>
      <c r="D496" s="484" t="str">
        <f aca="false">IF(DITARI!$D500="","",DITARI!$C500)</f>
        <v/>
      </c>
      <c r="E496" s="484" t="str">
        <f aca="false">IF(DITARI!$D500="","",TRIM(DITARI!$D500&amp;""))</f>
        <v/>
      </c>
      <c r="F496" s="484" t="str">
        <f aca="false">IF($E496="","",IFERROR(VLOOKUP($E496,PLANI_LLOGARIVE!$A:$I,2,FALSE()),DITARI!$E500))</f>
        <v/>
      </c>
      <c r="G496" s="484" t="str">
        <f aca="false">IF($E496="","",DITARI!$I500)</f>
        <v/>
      </c>
      <c r="H496" s="484" t="str">
        <f aca="false">IFERROR(IF($E496="","",DITARI!$H500),"")</f>
        <v/>
      </c>
      <c r="I496" s="487" t="n">
        <f aca="false">IF($E496="",0,IFERROR(DITARI!$F500,0))</f>
        <v>0</v>
      </c>
      <c r="J496" s="487" t="n">
        <f aca="false">IF($E496="",0,IFERROR(DITARI!$G500,0))</f>
        <v>0</v>
      </c>
      <c r="K496" s="484" t="str">
        <f aca="false">IF($E496="","",IFERROR(VLOOKUP($E496,PLANI_LLOGARIVE!$A:$I,9,FALSE()),""))</f>
        <v/>
      </c>
      <c r="L496" s="487" t="str">
        <f aca="false">IF($E496="","",$I496-$J496)</f>
        <v/>
      </c>
      <c r="M496" s="484" t="str">
        <f aca="false">IF($E496="","",IF($I496&gt;0,"DEBIT",IF($J496&gt;0,"KREDIT","ZERO")))</f>
        <v/>
      </c>
      <c r="N496" s="484" t="str">
        <f aca="false">IF($E496="","",TEXT($B496,"yyyymmdd")&amp;"-"&amp;TEXT(ROW(),"0000"))</f>
        <v/>
      </c>
      <c r="O496" s="101" t="str">
        <f aca="false">IF($E496="","",$E496&amp;"")</f>
        <v/>
      </c>
      <c r="P496" s="101" t="str">
        <f aca="false">IF(AND($O496&lt;&gt;"",$I496&lt;&gt;0),COUNTIFS($O$2:O496,$O496,$I$2:I496,"&gt;0"),"")</f>
        <v/>
      </c>
      <c r="Q496" s="101" t="str">
        <f aca="false">IF(AND($O496&lt;&gt;"",$J496&lt;&gt;0),COUNTIFS($O$2:O496,$O496,$J$2:J496,"&gt;0"),"")</f>
        <v/>
      </c>
      <c r="R496" s="101" t="str">
        <f aca="false">IF($P496="","",$O496&amp;"|"&amp;$P496)</f>
        <v/>
      </c>
      <c r="S496" s="101" t="str">
        <f aca="false">IF($Q496="","",$O496&amp;"|"&amp;$Q496)</f>
        <v/>
      </c>
      <c r="T496" s="101" t="str">
        <f aca="false">IF($O496="","",COUNTIF($O$2:O496,$O496))</f>
        <v/>
      </c>
      <c r="U496" s="101" t="str">
        <f aca="false">IF($O496="","",$O496&amp;"|"&amp;$T496)</f>
        <v/>
      </c>
      <c r="V496" s="488" t="n">
        <f aca="false">IF(OR(LEFT($D496,5)="MB-CL",LEFT($D496,6)="MB-RES"),0,$I496)</f>
        <v>0</v>
      </c>
      <c r="W496" s="488" t="n">
        <f aca="false">IF(OR(LEFT($D496,5)="MB-CL",LEFT($D496,6)="MB-RES"),0,$J496)</f>
        <v>0</v>
      </c>
      <c r="X496" s="101" t="str">
        <f aca="false">IF($E496="","",LEFT($E496,1))</f>
        <v/>
      </c>
      <c r="Y496" s="101" t="str">
        <f aca="false">IF($E496="","",LEFT($E496,2))</f>
        <v/>
      </c>
      <c r="Z496" s="101" t="str">
        <f aca="false">IF($E496="","",LEFT($E496,3))</f>
        <v/>
      </c>
      <c r="AA496" s="101" t="str">
        <f aca="false">IF($E496="","",LEFT($E496,4))</f>
        <v/>
      </c>
    </row>
    <row r="497" customFormat="false" ht="15" hidden="false" customHeight="true" outlineLevel="0" collapsed="false">
      <c r="A497" s="484" t="str">
        <f aca="false">IF(DITARI!$D501="","",ROW()-1)</f>
        <v/>
      </c>
      <c r="B497" s="485" t="str">
        <f aca="false">IF(DITARI!$D501="","",DITARI!$A501)</f>
        <v/>
      </c>
      <c r="C497" s="484" t="str">
        <f aca="false">IF(DITARI!$D501="","",DITARI!$B501)</f>
        <v/>
      </c>
      <c r="D497" s="484" t="str">
        <f aca="false">IF(DITARI!$D501="","",DITARI!$C501)</f>
        <v/>
      </c>
      <c r="E497" s="484" t="str">
        <f aca="false">IF(DITARI!$D501="","",TRIM(DITARI!$D501&amp;""))</f>
        <v/>
      </c>
      <c r="F497" s="484" t="str">
        <f aca="false">IF($E497="","",IFERROR(VLOOKUP($E497,PLANI_LLOGARIVE!$A:$I,2,FALSE()),DITARI!$E501))</f>
        <v/>
      </c>
      <c r="G497" s="484" t="str">
        <f aca="false">IF($E497="","",DITARI!$I501)</f>
        <v/>
      </c>
      <c r="H497" s="484" t="str">
        <f aca="false">IFERROR(IF($E497="","",DITARI!$H501),"")</f>
        <v/>
      </c>
      <c r="I497" s="487" t="n">
        <f aca="false">IF($E497="",0,IFERROR(DITARI!$F501,0))</f>
        <v>0</v>
      </c>
      <c r="J497" s="487" t="n">
        <f aca="false">IF($E497="",0,IFERROR(DITARI!$G501,0))</f>
        <v>0</v>
      </c>
      <c r="K497" s="484" t="str">
        <f aca="false">IF($E497="","",IFERROR(VLOOKUP($E497,PLANI_LLOGARIVE!$A:$I,9,FALSE()),""))</f>
        <v/>
      </c>
      <c r="L497" s="487" t="str">
        <f aca="false">IF($E497="","",$I497-$J497)</f>
        <v/>
      </c>
      <c r="M497" s="484" t="str">
        <f aca="false">IF($E497="","",IF($I497&gt;0,"DEBIT",IF($J497&gt;0,"KREDIT","ZERO")))</f>
        <v/>
      </c>
      <c r="N497" s="484" t="str">
        <f aca="false">IF($E497="","",TEXT($B497,"yyyymmdd")&amp;"-"&amp;TEXT(ROW(),"0000"))</f>
        <v/>
      </c>
      <c r="O497" s="101" t="str">
        <f aca="false">IF($E497="","",$E497&amp;"")</f>
        <v/>
      </c>
      <c r="P497" s="101" t="str">
        <f aca="false">IF(AND($O497&lt;&gt;"",$I497&lt;&gt;0),COUNTIFS($O$2:O497,$O497,$I$2:I497,"&gt;0"),"")</f>
        <v/>
      </c>
      <c r="Q497" s="101" t="str">
        <f aca="false">IF(AND($O497&lt;&gt;"",$J497&lt;&gt;0),COUNTIFS($O$2:O497,$O497,$J$2:J497,"&gt;0"),"")</f>
        <v/>
      </c>
      <c r="R497" s="101" t="str">
        <f aca="false">IF($P497="","",$O497&amp;"|"&amp;$P497)</f>
        <v/>
      </c>
      <c r="S497" s="101" t="str">
        <f aca="false">IF($Q497="","",$O497&amp;"|"&amp;$Q497)</f>
        <v/>
      </c>
      <c r="T497" s="101" t="str">
        <f aca="false">IF($O497="","",COUNTIF($O$2:O497,$O497))</f>
        <v/>
      </c>
      <c r="U497" s="101" t="str">
        <f aca="false">IF($O497="","",$O497&amp;"|"&amp;$T497)</f>
        <v/>
      </c>
      <c r="V497" s="488" t="n">
        <f aca="false">IF(OR(LEFT($D497,5)="MB-CL",LEFT($D497,6)="MB-RES"),0,$I497)</f>
        <v>0</v>
      </c>
      <c r="W497" s="488" t="n">
        <f aca="false">IF(OR(LEFT($D497,5)="MB-CL",LEFT($D497,6)="MB-RES"),0,$J497)</f>
        <v>0</v>
      </c>
      <c r="X497" s="101" t="str">
        <f aca="false">IF($E497="","",LEFT($E497,1))</f>
        <v/>
      </c>
      <c r="Y497" s="101" t="str">
        <f aca="false">IF($E497="","",LEFT($E497,2))</f>
        <v/>
      </c>
      <c r="Z497" s="101" t="str">
        <f aca="false">IF($E497="","",LEFT($E497,3))</f>
        <v/>
      </c>
      <c r="AA497" s="101" t="str">
        <f aca="false">IF($E497="","",LEFT($E497,4))</f>
        <v/>
      </c>
    </row>
    <row r="498" customFormat="false" ht="15" hidden="false" customHeight="true" outlineLevel="0" collapsed="false">
      <c r="A498" s="484" t="str">
        <f aca="false">IF(DITARI!$D502="","",ROW()-1)</f>
        <v/>
      </c>
      <c r="B498" s="485" t="str">
        <f aca="false">IF(DITARI!$D502="","",DITARI!$A502)</f>
        <v/>
      </c>
      <c r="C498" s="484" t="str">
        <f aca="false">IF(DITARI!$D502="","",DITARI!$B502)</f>
        <v/>
      </c>
      <c r="D498" s="484" t="str">
        <f aca="false">IF(DITARI!$D502="","",DITARI!$C502)</f>
        <v/>
      </c>
      <c r="E498" s="484" t="str">
        <f aca="false">IF(DITARI!$D502="","",TRIM(DITARI!$D502&amp;""))</f>
        <v/>
      </c>
      <c r="F498" s="484" t="str">
        <f aca="false">IF($E498="","",IFERROR(VLOOKUP($E498,PLANI_LLOGARIVE!$A:$I,2,FALSE()),DITARI!$E502))</f>
        <v/>
      </c>
      <c r="G498" s="484" t="str">
        <f aca="false">IF($E498="","",DITARI!$I502)</f>
        <v/>
      </c>
      <c r="H498" s="484" t="str">
        <f aca="false">IFERROR(IF($E498="","",DITARI!$H502),"")</f>
        <v/>
      </c>
      <c r="I498" s="487" t="n">
        <f aca="false">IF($E498="",0,IFERROR(DITARI!$F502,0))</f>
        <v>0</v>
      </c>
      <c r="J498" s="487" t="n">
        <f aca="false">IF($E498="",0,IFERROR(DITARI!$G502,0))</f>
        <v>0</v>
      </c>
      <c r="K498" s="484" t="str">
        <f aca="false">IF($E498="","",IFERROR(VLOOKUP($E498,PLANI_LLOGARIVE!$A:$I,9,FALSE()),""))</f>
        <v/>
      </c>
      <c r="L498" s="487" t="str">
        <f aca="false">IF($E498="","",$I498-$J498)</f>
        <v/>
      </c>
      <c r="M498" s="484" t="str">
        <f aca="false">IF($E498="","",IF($I498&gt;0,"DEBIT",IF($J498&gt;0,"KREDIT","ZERO")))</f>
        <v/>
      </c>
      <c r="N498" s="484" t="str">
        <f aca="false">IF($E498="","",TEXT($B498,"yyyymmdd")&amp;"-"&amp;TEXT(ROW(),"0000"))</f>
        <v/>
      </c>
      <c r="O498" s="101" t="str">
        <f aca="false">IF($E498="","",$E498&amp;"")</f>
        <v/>
      </c>
      <c r="P498" s="101" t="str">
        <f aca="false">IF(AND($O498&lt;&gt;"",$I498&lt;&gt;0),COUNTIFS($O$2:O498,$O498,$I$2:I498,"&gt;0"),"")</f>
        <v/>
      </c>
      <c r="Q498" s="101" t="str">
        <f aca="false">IF(AND($O498&lt;&gt;"",$J498&lt;&gt;0),COUNTIFS($O$2:O498,$O498,$J$2:J498,"&gt;0"),"")</f>
        <v/>
      </c>
      <c r="R498" s="101" t="str">
        <f aca="false">IF($P498="","",$O498&amp;"|"&amp;$P498)</f>
        <v/>
      </c>
      <c r="S498" s="101" t="str">
        <f aca="false">IF($Q498="","",$O498&amp;"|"&amp;$Q498)</f>
        <v/>
      </c>
      <c r="T498" s="101" t="str">
        <f aca="false">IF($O498="","",COUNTIF($O$2:O498,$O498))</f>
        <v/>
      </c>
      <c r="U498" s="101" t="str">
        <f aca="false">IF($O498="","",$O498&amp;"|"&amp;$T498)</f>
        <v/>
      </c>
      <c r="V498" s="488" t="n">
        <f aca="false">IF(OR(LEFT($D498,5)="MB-CL",LEFT($D498,6)="MB-RES"),0,$I498)</f>
        <v>0</v>
      </c>
      <c r="W498" s="488" t="n">
        <f aca="false">IF(OR(LEFT($D498,5)="MB-CL",LEFT($D498,6)="MB-RES"),0,$J498)</f>
        <v>0</v>
      </c>
      <c r="X498" s="101" t="str">
        <f aca="false">IF($E498="","",LEFT($E498,1))</f>
        <v/>
      </c>
      <c r="Y498" s="101" t="str">
        <f aca="false">IF($E498="","",LEFT($E498,2))</f>
        <v/>
      </c>
      <c r="Z498" s="101" t="str">
        <f aca="false">IF($E498="","",LEFT($E498,3))</f>
        <v/>
      </c>
      <c r="AA498" s="101" t="str">
        <f aca="false">IF($E498="","",LEFT($E498,4))</f>
        <v/>
      </c>
    </row>
    <row r="499" customFormat="false" ht="15" hidden="false" customHeight="true" outlineLevel="0" collapsed="false">
      <c r="A499" s="484" t="str">
        <f aca="false">IF(DITARI!$D503="","",ROW()-1)</f>
        <v/>
      </c>
      <c r="B499" s="485" t="str">
        <f aca="false">IF(DITARI!$D503="","",DITARI!$A503)</f>
        <v/>
      </c>
      <c r="C499" s="484" t="str">
        <f aca="false">IF(DITARI!$D503="","",DITARI!$B503)</f>
        <v/>
      </c>
      <c r="D499" s="484" t="str">
        <f aca="false">IF(DITARI!$D503="","",DITARI!$C503)</f>
        <v/>
      </c>
      <c r="E499" s="484" t="str">
        <f aca="false">IF(DITARI!$D503="","",TRIM(DITARI!$D503&amp;""))</f>
        <v/>
      </c>
      <c r="F499" s="484" t="str">
        <f aca="false">IF($E499="","",IFERROR(VLOOKUP($E499,PLANI_LLOGARIVE!$A:$I,2,FALSE()),DITARI!$E503))</f>
        <v/>
      </c>
      <c r="G499" s="484" t="str">
        <f aca="false">IF($E499="","",DITARI!$I503)</f>
        <v/>
      </c>
      <c r="H499" s="484" t="str">
        <f aca="false">IFERROR(IF($E499="","",DITARI!$H503),"")</f>
        <v/>
      </c>
      <c r="I499" s="487" t="n">
        <f aca="false">IF($E499="",0,IFERROR(DITARI!$F503,0))</f>
        <v>0</v>
      </c>
      <c r="J499" s="487" t="n">
        <f aca="false">IF($E499="",0,IFERROR(DITARI!$G503,0))</f>
        <v>0</v>
      </c>
      <c r="K499" s="484" t="str">
        <f aca="false">IF($E499="","",IFERROR(VLOOKUP($E499,PLANI_LLOGARIVE!$A:$I,9,FALSE()),""))</f>
        <v/>
      </c>
      <c r="L499" s="487" t="str">
        <f aca="false">IF($E499="","",$I499-$J499)</f>
        <v/>
      </c>
      <c r="M499" s="484" t="str">
        <f aca="false">IF($E499="","",IF($I499&gt;0,"DEBIT",IF($J499&gt;0,"KREDIT","ZERO")))</f>
        <v/>
      </c>
      <c r="N499" s="484" t="str">
        <f aca="false">IF($E499="","",TEXT($B499,"yyyymmdd")&amp;"-"&amp;TEXT(ROW(),"0000"))</f>
        <v/>
      </c>
      <c r="O499" s="101" t="str">
        <f aca="false">IF($E499="","",$E499&amp;"")</f>
        <v/>
      </c>
      <c r="P499" s="101" t="str">
        <f aca="false">IF(AND($O499&lt;&gt;"",$I499&lt;&gt;0),COUNTIFS($O$2:O499,$O499,$I$2:I499,"&gt;0"),"")</f>
        <v/>
      </c>
      <c r="Q499" s="101" t="str">
        <f aca="false">IF(AND($O499&lt;&gt;"",$J499&lt;&gt;0),COUNTIFS($O$2:O499,$O499,$J$2:J499,"&gt;0"),"")</f>
        <v/>
      </c>
      <c r="R499" s="101" t="str">
        <f aca="false">IF($P499="","",$O499&amp;"|"&amp;$P499)</f>
        <v/>
      </c>
      <c r="S499" s="101" t="str">
        <f aca="false">IF($Q499="","",$O499&amp;"|"&amp;$Q499)</f>
        <v/>
      </c>
      <c r="T499" s="101" t="str">
        <f aca="false">IF($O499="","",COUNTIF($O$2:O499,$O499))</f>
        <v/>
      </c>
      <c r="U499" s="101" t="str">
        <f aca="false">IF($O499="","",$O499&amp;"|"&amp;$T499)</f>
        <v/>
      </c>
      <c r="V499" s="488" t="n">
        <f aca="false">IF(OR(LEFT($D499,5)="MB-CL",LEFT($D499,6)="MB-RES"),0,$I499)</f>
        <v>0</v>
      </c>
      <c r="W499" s="488" t="n">
        <f aca="false">IF(OR(LEFT($D499,5)="MB-CL",LEFT($D499,6)="MB-RES"),0,$J499)</f>
        <v>0</v>
      </c>
      <c r="X499" s="101" t="str">
        <f aca="false">IF($E499="","",LEFT($E499,1))</f>
        <v/>
      </c>
      <c r="Y499" s="101" t="str">
        <f aca="false">IF($E499="","",LEFT($E499,2))</f>
        <v/>
      </c>
      <c r="Z499" s="101" t="str">
        <f aca="false">IF($E499="","",LEFT($E499,3))</f>
        <v/>
      </c>
      <c r="AA499" s="101" t="str">
        <f aca="false">IF($E499="","",LEFT($E499,4))</f>
        <v/>
      </c>
    </row>
    <row r="500" customFormat="false" ht="15" hidden="false" customHeight="true" outlineLevel="0" collapsed="false">
      <c r="A500" s="484" t="str">
        <f aca="false">IF(DITARI!$D504="","",ROW()-1)</f>
        <v/>
      </c>
      <c r="B500" s="485" t="str">
        <f aca="false">IF(DITARI!$D504="","",DITARI!$A504)</f>
        <v/>
      </c>
      <c r="C500" s="484" t="str">
        <f aca="false">IF(DITARI!$D504="","",DITARI!$B504)</f>
        <v/>
      </c>
      <c r="D500" s="484" t="str">
        <f aca="false">IF(DITARI!$D504="","",DITARI!$C504)</f>
        <v/>
      </c>
      <c r="E500" s="484" t="str">
        <f aca="false">IF(DITARI!$D504="","",TRIM(DITARI!$D504&amp;""))</f>
        <v/>
      </c>
      <c r="F500" s="484" t="str">
        <f aca="false">IF($E500="","",IFERROR(VLOOKUP($E500,PLANI_LLOGARIVE!$A:$I,2,FALSE()),DITARI!$E504))</f>
        <v/>
      </c>
      <c r="G500" s="484" t="str">
        <f aca="false">IF($E500="","",DITARI!$I504)</f>
        <v/>
      </c>
      <c r="H500" s="484" t="str">
        <f aca="false">IFERROR(IF($E500="","",DITARI!$H504),"")</f>
        <v/>
      </c>
      <c r="I500" s="487" t="n">
        <f aca="false">IF($E500="",0,IFERROR(DITARI!$F504,0))</f>
        <v>0</v>
      </c>
      <c r="J500" s="487" t="n">
        <f aca="false">IF($E500="",0,IFERROR(DITARI!$G504,0))</f>
        <v>0</v>
      </c>
      <c r="K500" s="484" t="str">
        <f aca="false">IF($E500="","",IFERROR(VLOOKUP($E500,PLANI_LLOGARIVE!$A:$I,9,FALSE()),""))</f>
        <v/>
      </c>
      <c r="L500" s="487" t="str">
        <f aca="false">IF($E500="","",$I500-$J500)</f>
        <v/>
      </c>
      <c r="M500" s="484" t="str">
        <f aca="false">IF($E500="","",IF($I500&gt;0,"DEBIT",IF($J500&gt;0,"KREDIT","ZERO")))</f>
        <v/>
      </c>
      <c r="N500" s="484" t="str">
        <f aca="false">IF($E500="","",TEXT($B500,"yyyymmdd")&amp;"-"&amp;TEXT(ROW(),"0000"))</f>
        <v/>
      </c>
      <c r="O500" s="101" t="str">
        <f aca="false">IF($E500="","",$E500&amp;"")</f>
        <v/>
      </c>
      <c r="P500" s="101" t="str">
        <f aca="false">IF(AND($O500&lt;&gt;"",$I500&lt;&gt;0),COUNTIFS($O$2:O500,$O500,$I$2:I500,"&gt;0"),"")</f>
        <v/>
      </c>
      <c r="Q500" s="101" t="str">
        <f aca="false">IF(AND($O500&lt;&gt;"",$J500&lt;&gt;0),COUNTIFS($O$2:O500,$O500,$J$2:J500,"&gt;0"),"")</f>
        <v/>
      </c>
      <c r="R500" s="101" t="str">
        <f aca="false">IF($P500="","",$O500&amp;"|"&amp;$P500)</f>
        <v/>
      </c>
      <c r="S500" s="101" t="str">
        <f aca="false">IF($Q500="","",$O500&amp;"|"&amp;$Q500)</f>
        <v/>
      </c>
      <c r="T500" s="101" t="str">
        <f aca="false">IF($O500="","",COUNTIF($O$2:O500,$O500))</f>
        <v/>
      </c>
      <c r="U500" s="101" t="str">
        <f aca="false">IF($O500="","",$O500&amp;"|"&amp;$T500)</f>
        <v/>
      </c>
      <c r="V500" s="488" t="n">
        <f aca="false">IF(OR(LEFT($D500,5)="MB-CL",LEFT($D500,6)="MB-RES"),0,$I500)</f>
        <v>0</v>
      </c>
      <c r="W500" s="488" t="n">
        <f aca="false">IF(OR(LEFT($D500,5)="MB-CL",LEFT($D500,6)="MB-RES"),0,$J500)</f>
        <v>0</v>
      </c>
      <c r="X500" s="101" t="str">
        <f aca="false">IF($E500="","",LEFT($E500,1))</f>
        <v/>
      </c>
      <c r="Y500" s="101" t="str">
        <f aca="false">IF($E500="","",LEFT($E500,2))</f>
        <v/>
      </c>
      <c r="Z500" s="101" t="str">
        <f aca="false">IF($E500="","",LEFT($E500,3))</f>
        <v/>
      </c>
      <c r="AA500" s="101" t="str">
        <f aca="false">IF($E500="","",LEFT($E500,4))</f>
        <v/>
      </c>
    </row>
    <row r="501" customFormat="false" ht="12.75" hidden="false" customHeight="true" outlineLevel="0" collapsed="false">
      <c r="A501" s="101" t="str">
        <f aca="false">IF(DITARI!$D505="","",ROW()-1)</f>
        <v/>
      </c>
      <c r="B501" s="101" t="str">
        <f aca="false">IF(DITARI!$D505="","",DITARI!$A505)</f>
        <v/>
      </c>
      <c r="C501" s="101" t="str">
        <f aca="false">IF(DITARI!$D505="","",DITARI!$B505)</f>
        <v/>
      </c>
      <c r="D501" s="101" t="str">
        <f aca="false">IF(DITARI!$D505="","",DITARI!$C505)</f>
        <v/>
      </c>
      <c r="E501" s="101" t="str">
        <f aca="false">IF(DITARI!$D505="","",TRIM(DITARI!$D505&amp;""))</f>
        <v/>
      </c>
      <c r="F501" s="101" t="str">
        <f aca="false">IF($E501="","",IFERROR(VLOOKUP($E501,PLANI_LLOGARIVE!$A:$I,2,FALSE()),DITARI!$E505))</f>
        <v/>
      </c>
      <c r="G501" s="101" t="str">
        <f aca="false">IF($E501="","",DITARI!$I505)</f>
        <v/>
      </c>
      <c r="H501" s="101" t="str">
        <f aca="false">IFERROR(IF($E501="","",DITARI!$H505),"")</f>
        <v/>
      </c>
      <c r="I501" s="101" t="n">
        <f aca="false">IF($E501="",0,IFERROR(DITARI!$F505,0))</f>
        <v>0</v>
      </c>
      <c r="J501" s="101" t="n">
        <f aca="false">IF($E501="",0,IFERROR(DITARI!$G505,0))</f>
        <v>0</v>
      </c>
      <c r="K501" s="101" t="str">
        <f aca="false">IF($E501="","",IFERROR(VLOOKUP($E501,PLANI_LLOGARIVE!$A:$I,9,FALSE()),""))</f>
        <v/>
      </c>
      <c r="L501" s="101" t="str">
        <f aca="false">IF($E501="","",$I501-$J501)</f>
        <v/>
      </c>
      <c r="M501" s="101" t="str">
        <f aca="false">IF($E501="","",IF($I501&gt;0,"DEBIT",IF($J501&gt;0,"KREDIT","ZERO")))</f>
        <v/>
      </c>
      <c r="N501" s="101" t="str">
        <f aca="false">IF($E501="","",TEXT($B501,"yyyymmdd")&amp;"-"&amp;TEXT(ROW(),"0000"))</f>
        <v/>
      </c>
      <c r="O501" s="101" t="str">
        <f aca="false">IF($E501="","",$E501&amp;"")</f>
        <v/>
      </c>
      <c r="P501" s="101" t="str">
        <f aca="false">IF(AND($O501&lt;&gt;"",$I501&lt;&gt;0),COUNTIFS($O$2:O501,$O501,$I$2:I501,"&gt;0"),"")</f>
        <v/>
      </c>
      <c r="Q501" s="101" t="str">
        <f aca="false">IF(AND($O501&lt;&gt;"",$J501&lt;&gt;0),COUNTIFS($O$2:O501,$O501,$J$2:J501,"&gt;0"),"")</f>
        <v/>
      </c>
      <c r="R501" s="101" t="str">
        <f aca="false">IF($P501="","",$O501&amp;"|"&amp;$P501)</f>
        <v/>
      </c>
      <c r="S501" s="101" t="str">
        <f aca="false">IF($Q501="","",$O501&amp;"|"&amp;$Q501)</f>
        <v/>
      </c>
      <c r="T501" s="101" t="str">
        <f aca="false">IF($O501="","",COUNTIF($O$2:O501,$O501))</f>
        <v/>
      </c>
      <c r="U501" s="101" t="str">
        <f aca="false">IF($O501="","",$O501&amp;"|"&amp;$T501)</f>
        <v/>
      </c>
      <c r="V501" s="490" t="n">
        <f aca="false">IF(OR(LEFT($D501,5)="MB-CL",LEFT($D501,6)="MB-RES"),0,$I501)</f>
        <v>0</v>
      </c>
      <c r="W501" s="490" t="n">
        <f aca="false">IF(OR(LEFT($D501,5)="MB-CL",LEFT($D501,6)="MB-RES"),0,$J501)</f>
        <v>0</v>
      </c>
      <c r="X501" s="490" t="str">
        <f aca="false">IF($E501="","",LEFT($E501,1))</f>
        <v/>
      </c>
      <c r="Y501" s="490" t="str">
        <f aca="false">IF($E501="","",LEFT($E501,2))</f>
        <v/>
      </c>
      <c r="Z501" s="490" t="str">
        <f aca="false">IF($E501="","",LEFT($E501,3))</f>
        <v/>
      </c>
      <c r="AA501" s="490" t="str">
        <f aca="false">IF($E501="","",LEFT($E501,4))</f>
        <v/>
      </c>
    </row>
    <row r="502" customFormat="false" ht="12.75" hidden="false" customHeight="true" outlineLevel="0" collapsed="false">
      <c r="A502" s="101" t="str">
        <f aca="false">IF(DITARI!$D506="","",ROW()-1)</f>
        <v/>
      </c>
      <c r="B502" s="101" t="str">
        <f aca="false">IF(DITARI!$D506="","",DITARI!$A506)</f>
        <v/>
      </c>
      <c r="C502" s="101" t="str">
        <f aca="false">IF(DITARI!$D506="","",DITARI!$B506)</f>
        <v/>
      </c>
      <c r="D502" s="101" t="str">
        <f aca="false">IF(DITARI!$D506="","",DITARI!$C506)</f>
        <v/>
      </c>
      <c r="E502" s="101" t="str">
        <f aca="false">IF(DITARI!$D506="","",TRIM(DITARI!$D506&amp;""))</f>
        <v/>
      </c>
      <c r="F502" s="101" t="str">
        <f aca="false">IF($E502="","",IFERROR(VLOOKUP($E502,PLANI_LLOGARIVE!$A:$I,2,FALSE()),DITARI!$E506))</f>
        <v/>
      </c>
      <c r="G502" s="101" t="str">
        <f aca="false">IF($E502="","",DITARI!$I506)</f>
        <v/>
      </c>
      <c r="H502" s="101" t="str">
        <f aca="false">IFERROR(IF($E502="","",DITARI!$H506),"")</f>
        <v/>
      </c>
      <c r="I502" s="101" t="n">
        <f aca="false">IF($E502="",0,IFERROR(DITARI!$F506,0))</f>
        <v>0</v>
      </c>
      <c r="J502" s="101" t="n">
        <f aca="false">IF($E502="",0,IFERROR(DITARI!$G506,0))</f>
        <v>0</v>
      </c>
      <c r="K502" s="101" t="str">
        <f aca="false">IF($E502="","",IFERROR(VLOOKUP($E502,PLANI_LLOGARIVE!$A:$I,9,FALSE()),""))</f>
        <v/>
      </c>
      <c r="L502" s="101" t="str">
        <f aca="false">IF($E502="","",$I502-$J502)</f>
        <v/>
      </c>
      <c r="M502" s="101" t="str">
        <f aca="false">IF($E502="","",IF($I502&gt;0,"DEBIT",IF($J502&gt;0,"KREDIT","ZERO")))</f>
        <v/>
      </c>
      <c r="N502" s="101" t="str">
        <f aca="false">IF($E502="","",TEXT($B502,"yyyymmdd")&amp;"-"&amp;TEXT(ROW(),"0000"))</f>
        <v/>
      </c>
      <c r="O502" s="101" t="str">
        <f aca="false">IF($E502="","",$E502&amp;"")</f>
        <v/>
      </c>
      <c r="P502" s="101" t="str">
        <f aca="false">IF(AND($O502&lt;&gt;"",$I502&lt;&gt;0),COUNTIFS($O$2:O502,$O502,$I$2:I502,"&gt;0"),"")</f>
        <v/>
      </c>
      <c r="Q502" s="101" t="str">
        <f aca="false">IF(AND($O502&lt;&gt;"",$J502&lt;&gt;0),COUNTIFS($O$2:O502,$O502,$J$2:J502,"&gt;0"),"")</f>
        <v/>
      </c>
      <c r="R502" s="101" t="str">
        <f aca="false">IF($P502="","",$O502&amp;"|"&amp;$P502)</f>
        <v/>
      </c>
      <c r="S502" s="101" t="str">
        <f aca="false">IF($Q502="","",$O502&amp;"|"&amp;$Q502)</f>
        <v/>
      </c>
      <c r="T502" s="101" t="str">
        <f aca="false">IF($O502="","",COUNTIF($O$2:O502,$O502))</f>
        <v/>
      </c>
      <c r="U502" s="101" t="str">
        <f aca="false">IF($O502="","",$O502&amp;"|"&amp;$T502)</f>
        <v/>
      </c>
      <c r="V502" s="490" t="n">
        <f aca="false">IF(OR(LEFT($D502,5)="MB-CL",LEFT($D502,6)="MB-RES"),0,$I502)</f>
        <v>0</v>
      </c>
      <c r="W502" s="490" t="n">
        <f aca="false">IF(OR(LEFT($D502,5)="MB-CL",LEFT($D502,6)="MB-RES"),0,$J502)</f>
        <v>0</v>
      </c>
      <c r="X502" s="490" t="str">
        <f aca="false">IF($E502="","",LEFT($E502,1))</f>
        <v/>
      </c>
      <c r="Y502" s="490" t="str">
        <f aca="false">IF($E502="","",LEFT($E502,2))</f>
        <v/>
      </c>
      <c r="Z502" s="490" t="str">
        <f aca="false">IF($E502="","",LEFT($E502,3))</f>
        <v/>
      </c>
      <c r="AA502" s="490" t="str">
        <f aca="false">IF($E502="","",LEFT($E502,4))</f>
        <v/>
      </c>
    </row>
    <row r="503" customFormat="false" ht="12.75" hidden="false" customHeight="true" outlineLevel="0" collapsed="false">
      <c r="A503" s="101" t="str">
        <f aca="false">IF(DITARI!$D507="","",ROW()-1)</f>
        <v/>
      </c>
      <c r="B503" s="101" t="str">
        <f aca="false">IF(DITARI!$D507="","",DITARI!$A507)</f>
        <v/>
      </c>
      <c r="C503" s="101" t="str">
        <f aca="false">IF(DITARI!$D507="","",DITARI!$B507)</f>
        <v/>
      </c>
      <c r="D503" s="101" t="str">
        <f aca="false">IF(DITARI!$D507="","",DITARI!$C507)</f>
        <v/>
      </c>
      <c r="E503" s="101" t="str">
        <f aca="false">IF(DITARI!$D507="","",TRIM(DITARI!$D507&amp;""))</f>
        <v/>
      </c>
      <c r="F503" s="101" t="str">
        <f aca="false">IF($E503="","",IFERROR(VLOOKUP($E503,PLANI_LLOGARIVE!$A:$I,2,FALSE()),DITARI!$E507))</f>
        <v/>
      </c>
      <c r="G503" s="101" t="str">
        <f aca="false">IF($E503="","",DITARI!$I507)</f>
        <v/>
      </c>
      <c r="H503" s="101" t="str">
        <f aca="false">IFERROR(IF($E503="","",DITARI!$H507),"")</f>
        <v/>
      </c>
      <c r="I503" s="101" t="n">
        <f aca="false">IF($E503="",0,IFERROR(DITARI!$F507,0))</f>
        <v>0</v>
      </c>
      <c r="J503" s="101" t="n">
        <f aca="false">IF($E503="",0,IFERROR(DITARI!$G507,0))</f>
        <v>0</v>
      </c>
      <c r="K503" s="101" t="str">
        <f aca="false">IF($E503="","",IFERROR(VLOOKUP($E503,PLANI_LLOGARIVE!$A:$I,9,FALSE()),""))</f>
        <v/>
      </c>
      <c r="L503" s="101" t="str">
        <f aca="false">IF($E503="","",$I503-$J503)</f>
        <v/>
      </c>
      <c r="M503" s="101" t="str">
        <f aca="false">IF($E503="","",IF($I503&gt;0,"DEBIT",IF($J503&gt;0,"KREDIT","ZERO")))</f>
        <v/>
      </c>
      <c r="N503" s="101" t="str">
        <f aca="false">IF($E503="","",TEXT($B503,"yyyymmdd")&amp;"-"&amp;TEXT(ROW(),"0000"))</f>
        <v/>
      </c>
      <c r="O503" s="101" t="str">
        <f aca="false">IF($E503="","",$E503&amp;"")</f>
        <v/>
      </c>
      <c r="P503" s="101" t="str">
        <f aca="false">IF(AND($O503&lt;&gt;"",$I503&lt;&gt;0),COUNTIFS($O$2:O503,$O503,$I$2:I503,"&gt;0"),"")</f>
        <v/>
      </c>
      <c r="Q503" s="101" t="str">
        <f aca="false">IF(AND($O503&lt;&gt;"",$J503&lt;&gt;0),COUNTIFS($O$2:O503,$O503,$J$2:J503,"&gt;0"),"")</f>
        <v/>
      </c>
      <c r="R503" s="101" t="str">
        <f aca="false">IF($P503="","",$O503&amp;"|"&amp;$P503)</f>
        <v/>
      </c>
      <c r="S503" s="101" t="str">
        <f aca="false">IF($Q503="","",$O503&amp;"|"&amp;$Q503)</f>
        <v/>
      </c>
      <c r="T503" s="101" t="str">
        <f aca="false">IF($O503="","",COUNTIF($O$2:O503,$O503))</f>
        <v/>
      </c>
      <c r="U503" s="101" t="str">
        <f aca="false">IF($O503="","",$O503&amp;"|"&amp;$T503)</f>
        <v/>
      </c>
      <c r="V503" s="490" t="n">
        <f aca="false">IF(OR(LEFT($D503,5)="MB-CL",LEFT($D503,6)="MB-RES"),0,$I503)</f>
        <v>0</v>
      </c>
      <c r="W503" s="490" t="n">
        <f aca="false">IF(OR(LEFT($D503,5)="MB-CL",LEFT($D503,6)="MB-RES"),0,$J503)</f>
        <v>0</v>
      </c>
      <c r="X503" s="490" t="str">
        <f aca="false">IF($E503="","",LEFT($E503,1))</f>
        <v/>
      </c>
      <c r="Y503" s="490" t="str">
        <f aca="false">IF($E503="","",LEFT($E503,2))</f>
        <v/>
      </c>
      <c r="Z503" s="490" t="str">
        <f aca="false">IF($E503="","",LEFT($E503,3))</f>
        <v/>
      </c>
      <c r="AA503" s="490" t="str">
        <f aca="false">IF($E503="","",LEFT($E503,4))</f>
        <v/>
      </c>
    </row>
    <row r="504" customFormat="false" ht="12.75" hidden="false" customHeight="true" outlineLevel="0" collapsed="false">
      <c r="A504" s="101" t="str">
        <f aca="false">IF(DITARI!$D508="","",ROW()-1)</f>
        <v/>
      </c>
      <c r="B504" s="101" t="str">
        <f aca="false">IF(DITARI!$D508="","",DITARI!$A508)</f>
        <v/>
      </c>
      <c r="C504" s="101" t="str">
        <f aca="false">IF(DITARI!$D508="","",DITARI!$B508)</f>
        <v/>
      </c>
      <c r="D504" s="101" t="str">
        <f aca="false">IF(DITARI!$D508="","",DITARI!$C508)</f>
        <v/>
      </c>
      <c r="E504" s="101" t="str">
        <f aca="false">IF(DITARI!$D508="","",TRIM(DITARI!$D508&amp;""))</f>
        <v/>
      </c>
      <c r="F504" s="101" t="str">
        <f aca="false">IF($E504="","",IFERROR(VLOOKUP($E504,PLANI_LLOGARIVE!$A:$I,2,FALSE()),DITARI!$E508))</f>
        <v/>
      </c>
      <c r="G504" s="101" t="str">
        <f aca="false">IF($E504="","",DITARI!$I508)</f>
        <v/>
      </c>
      <c r="H504" s="101" t="str">
        <f aca="false">IFERROR(IF($E504="","",DITARI!$H508),"")</f>
        <v/>
      </c>
      <c r="I504" s="101" t="n">
        <f aca="false">IF($E504="",0,IFERROR(DITARI!$F508,0))</f>
        <v>0</v>
      </c>
      <c r="J504" s="101" t="n">
        <f aca="false">IF($E504="",0,IFERROR(DITARI!$G508,0))</f>
        <v>0</v>
      </c>
      <c r="K504" s="101" t="str">
        <f aca="false">IF($E504="","",IFERROR(VLOOKUP($E504,PLANI_LLOGARIVE!$A:$I,9,FALSE()),""))</f>
        <v/>
      </c>
      <c r="L504" s="101" t="str">
        <f aca="false">IF($E504="","",$I504-$J504)</f>
        <v/>
      </c>
      <c r="M504" s="101" t="str">
        <f aca="false">IF($E504="","",IF($I504&gt;0,"DEBIT",IF($J504&gt;0,"KREDIT","ZERO")))</f>
        <v/>
      </c>
      <c r="N504" s="101" t="str">
        <f aca="false">IF($E504="","",TEXT($B504,"yyyymmdd")&amp;"-"&amp;TEXT(ROW(),"0000"))</f>
        <v/>
      </c>
      <c r="O504" s="101" t="str">
        <f aca="false">IF($E504="","",$E504&amp;"")</f>
        <v/>
      </c>
      <c r="P504" s="101" t="str">
        <f aca="false">IF(AND($O504&lt;&gt;"",$I504&lt;&gt;0),COUNTIFS($O$2:O504,$O504,$I$2:I504,"&gt;0"),"")</f>
        <v/>
      </c>
      <c r="Q504" s="101" t="str">
        <f aca="false">IF(AND($O504&lt;&gt;"",$J504&lt;&gt;0),COUNTIFS($O$2:O504,$O504,$J$2:J504,"&gt;0"),"")</f>
        <v/>
      </c>
      <c r="R504" s="101" t="str">
        <f aca="false">IF($P504="","",$O504&amp;"|"&amp;$P504)</f>
        <v/>
      </c>
      <c r="S504" s="101" t="str">
        <f aca="false">IF($Q504="","",$O504&amp;"|"&amp;$Q504)</f>
        <v/>
      </c>
      <c r="T504" s="101" t="str">
        <f aca="false">IF($O504="","",COUNTIF($O$2:O504,$O504))</f>
        <v/>
      </c>
      <c r="U504" s="101" t="str">
        <f aca="false">IF($O504="","",$O504&amp;"|"&amp;$T504)</f>
        <v/>
      </c>
      <c r="V504" s="490" t="n">
        <f aca="false">IF(OR(LEFT($D504,5)="MB-CL",LEFT($D504,6)="MB-RES"),0,$I504)</f>
        <v>0</v>
      </c>
      <c r="W504" s="490" t="n">
        <f aca="false">IF(OR(LEFT($D504,5)="MB-CL",LEFT($D504,6)="MB-RES"),0,$J504)</f>
        <v>0</v>
      </c>
      <c r="X504" s="490" t="str">
        <f aca="false">IF($E504="","",LEFT($E504,1))</f>
        <v/>
      </c>
      <c r="Y504" s="490" t="str">
        <f aca="false">IF($E504="","",LEFT($E504,2))</f>
        <v/>
      </c>
      <c r="Z504" s="490" t="str">
        <f aca="false">IF($E504="","",LEFT($E504,3))</f>
        <v/>
      </c>
      <c r="AA504" s="490" t="str">
        <f aca="false">IF($E504="","",LEFT($E504,4))</f>
        <v/>
      </c>
    </row>
    <row r="505" customFormat="false" ht="12.75" hidden="false" customHeight="true" outlineLevel="0" collapsed="false">
      <c r="A505" s="101" t="str">
        <f aca="false">IF(DITARI!$D509="","",ROW()-1)</f>
        <v/>
      </c>
      <c r="B505" s="101" t="str">
        <f aca="false">IF(DITARI!$D509="","",DITARI!$A509)</f>
        <v/>
      </c>
      <c r="C505" s="101" t="str">
        <f aca="false">IF(DITARI!$D509="","",DITARI!$B509)</f>
        <v/>
      </c>
      <c r="D505" s="101" t="str">
        <f aca="false">IF(DITARI!$D509="","",DITARI!$C509)</f>
        <v/>
      </c>
      <c r="E505" s="101" t="str">
        <f aca="false">IF(DITARI!$D509="","",TRIM(DITARI!$D509&amp;""))</f>
        <v/>
      </c>
      <c r="F505" s="101" t="str">
        <f aca="false">IF($E505="","",IFERROR(VLOOKUP($E505,PLANI_LLOGARIVE!$A:$I,2,FALSE()),DITARI!$E509))</f>
        <v/>
      </c>
      <c r="G505" s="101" t="str">
        <f aca="false">IF($E505="","",DITARI!$I509)</f>
        <v/>
      </c>
      <c r="H505" s="101" t="str">
        <f aca="false">IFERROR(IF($E505="","",DITARI!$H509),"")</f>
        <v/>
      </c>
      <c r="I505" s="101" t="n">
        <f aca="false">IF($E505="",0,IFERROR(DITARI!$F509,0))</f>
        <v>0</v>
      </c>
      <c r="J505" s="101" t="n">
        <f aca="false">IF($E505="",0,IFERROR(DITARI!$G509,0))</f>
        <v>0</v>
      </c>
      <c r="K505" s="101" t="str">
        <f aca="false">IF($E505="","",IFERROR(VLOOKUP($E505,PLANI_LLOGARIVE!$A:$I,9,FALSE()),""))</f>
        <v/>
      </c>
      <c r="L505" s="101" t="str">
        <f aca="false">IF($E505="","",$I505-$J505)</f>
        <v/>
      </c>
      <c r="M505" s="101" t="str">
        <f aca="false">IF($E505="","",IF($I505&gt;0,"DEBIT",IF($J505&gt;0,"KREDIT","ZERO")))</f>
        <v/>
      </c>
      <c r="N505" s="101" t="str">
        <f aca="false">IF($E505="","",TEXT($B505,"yyyymmdd")&amp;"-"&amp;TEXT(ROW(),"0000"))</f>
        <v/>
      </c>
      <c r="O505" s="101" t="str">
        <f aca="false">IF($E505="","",$E505&amp;"")</f>
        <v/>
      </c>
      <c r="P505" s="101" t="str">
        <f aca="false">IF(AND($O505&lt;&gt;"",$I505&lt;&gt;0),COUNTIFS($O$2:O505,$O505,$I$2:I505,"&gt;0"),"")</f>
        <v/>
      </c>
      <c r="Q505" s="101" t="str">
        <f aca="false">IF(AND($O505&lt;&gt;"",$J505&lt;&gt;0),COUNTIFS($O$2:O505,$O505,$J$2:J505,"&gt;0"),"")</f>
        <v/>
      </c>
      <c r="R505" s="101" t="str">
        <f aca="false">IF($P505="","",$O505&amp;"|"&amp;$P505)</f>
        <v/>
      </c>
      <c r="S505" s="101" t="str">
        <f aca="false">IF($Q505="","",$O505&amp;"|"&amp;$Q505)</f>
        <v/>
      </c>
      <c r="T505" s="101" t="str">
        <f aca="false">IF($O505="","",COUNTIF($O$2:O505,$O505))</f>
        <v/>
      </c>
      <c r="U505" s="101" t="str">
        <f aca="false">IF($O505="","",$O505&amp;"|"&amp;$T505)</f>
        <v/>
      </c>
      <c r="V505" s="490" t="n">
        <f aca="false">IF(OR(LEFT($D505,5)="MB-CL",LEFT($D505,6)="MB-RES"),0,$I505)</f>
        <v>0</v>
      </c>
      <c r="W505" s="490" t="n">
        <f aca="false">IF(OR(LEFT($D505,5)="MB-CL",LEFT($D505,6)="MB-RES"),0,$J505)</f>
        <v>0</v>
      </c>
      <c r="X505" s="490" t="str">
        <f aca="false">IF($E505="","",LEFT($E505,1))</f>
        <v/>
      </c>
      <c r="Y505" s="490" t="str">
        <f aca="false">IF($E505="","",LEFT($E505,2))</f>
        <v/>
      </c>
      <c r="Z505" s="490" t="str">
        <f aca="false">IF($E505="","",LEFT($E505,3))</f>
        <v/>
      </c>
      <c r="AA505" s="490" t="str">
        <f aca="false">IF($E505="","",LEFT($E505,4))</f>
        <v/>
      </c>
    </row>
    <row r="506" customFormat="false" ht="12.75" hidden="false" customHeight="true" outlineLevel="0" collapsed="false">
      <c r="A506" s="101" t="str">
        <f aca="false">IF(DITARI!$D510="","",ROW()-1)</f>
        <v/>
      </c>
      <c r="B506" s="101" t="str">
        <f aca="false">IF(DITARI!$D510="","",DITARI!$A510)</f>
        <v/>
      </c>
      <c r="C506" s="101" t="str">
        <f aca="false">IF(DITARI!$D510="","",DITARI!$B510)</f>
        <v/>
      </c>
      <c r="D506" s="101" t="str">
        <f aca="false">IF(DITARI!$D510="","",DITARI!$C510)</f>
        <v/>
      </c>
      <c r="E506" s="101" t="str">
        <f aca="false">IF(DITARI!$D510="","",TRIM(DITARI!$D510&amp;""))</f>
        <v/>
      </c>
      <c r="F506" s="101" t="str">
        <f aca="false">IF($E506="","",IFERROR(VLOOKUP($E506,PLANI_LLOGARIVE!$A:$I,2,FALSE()),DITARI!$E510))</f>
        <v/>
      </c>
      <c r="G506" s="101" t="str">
        <f aca="false">IF($E506="","",DITARI!$I510)</f>
        <v/>
      </c>
      <c r="H506" s="101" t="str">
        <f aca="false">IFERROR(IF($E506="","",DITARI!$H510),"")</f>
        <v/>
      </c>
      <c r="I506" s="101" t="n">
        <f aca="false">IF($E506="",0,IFERROR(DITARI!$F510,0))</f>
        <v>0</v>
      </c>
      <c r="J506" s="101" t="n">
        <f aca="false">IF($E506="",0,IFERROR(DITARI!$G510,0))</f>
        <v>0</v>
      </c>
      <c r="K506" s="101" t="str">
        <f aca="false">IF($E506="","",IFERROR(VLOOKUP($E506,PLANI_LLOGARIVE!$A:$I,9,FALSE()),""))</f>
        <v/>
      </c>
      <c r="L506" s="101" t="str">
        <f aca="false">IF($E506="","",$I506-$J506)</f>
        <v/>
      </c>
      <c r="M506" s="101" t="str">
        <f aca="false">IF($E506="","",IF($I506&gt;0,"DEBIT",IF($J506&gt;0,"KREDIT","ZERO")))</f>
        <v/>
      </c>
      <c r="N506" s="101" t="str">
        <f aca="false">IF($E506="","",TEXT($B506,"yyyymmdd")&amp;"-"&amp;TEXT(ROW(),"0000"))</f>
        <v/>
      </c>
      <c r="O506" s="101" t="str">
        <f aca="false">IF($E506="","",$E506&amp;"")</f>
        <v/>
      </c>
      <c r="P506" s="101" t="str">
        <f aca="false">IF(AND($O506&lt;&gt;"",$I506&lt;&gt;0),COUNTIFS($O$2:O506,$O506,$I$2:I506,"&gt;0"),"")</f>
        <v/>
      </c>
      <c r="Q506" s="101" t="str">
        <f aca="false">IF(AND($O506&lt;&gt;"",$J506&lt;&gt;0),COUNTIFS($O$2:O506,$O506,$J$2:J506,"&gt;0"),"")</f>
        <v/>
      </c>
      <c r="R506" s="101" t="str">
        <f aca="false">IF($P506="","",$O506&amp;"|"&amp;$P506)</f>
        <v/>
      </c>
      <c r="S506" s="101" t="str">
        <f aca="false">IF($Q506="","",$O506&amp;"|"&amp;$Q506)</f>
        <v/>
      </c>
      <c r="T506" s="101" t="str">
        <f aca="false">IF($O506="","",COUNTIF($O$2:O506,$O506))</f>
        <v/>
      </c>
      <c r="U506" s="101" t="str">
        <f aca="false">IF($O506="","",$O506&amp;"|"&amp;$T506)</f>
        <v/>
      </c>
      <c r="V506" s="490" t="n">
        <f aca="false">IF(OR(LEFT($D506,5)="MB-CL",LEFT($D506,6)="MB-RES"),0,$I506)</f>
        <v>0</v>
      </c>
      <c r="W506" s="490" t="n">
        <f aca="false">IF(OR(LEFT($D506,5)="MB-CL",LEFT($D506,6)="MB-RES"),0,$J506)</f>
        <v>0</v>
      </c>
      <c r="X506" s="490" t="str">
        <f aca="false">IF($E506="","",LEFT($E506,1))</f>
        <v/>
      </c>
      <c r="Y506" s="490" t="str">
        <f aca="false">IF($E506="","",LEFT($E506,2))</f>
        <v/>
      </c>
      <c r="Z506" s="490" t="str">
        <f aca="false">IF($E506="","",LEFT($E506,3))</f>
        <v/>
      </c>
      <c r="AA506" s="490" t="str">
        <f aca="false">IF($E506="","",LEFT($E506,4))</f>
        <v/>
      </c>
    </row>
    <row r="507" customFormat="false" ht="12.75" hidden="false" customHeight="true" outlineLevel="0" collapsed="false">
      <c r="A507" s="101" t="str">
        <f aca="false">IF(DITARI!$D511="","",ROW()-1)</f>
        <v/>
      </c>
      <c r="B507" s="101" t="str">
        <f aca="false">IF(DITARI!$D511="","",DITARI!$A511)</f>
        <v/>
      </c>
      <c r="C507" s="101" t="str">
        <f aca="false">IF(DITARI!$D511="","",DITARI!$B511)</f>
        <v/>
      </c>
      <c r="D507" s="101" t="str">
        <f aca="false">IF(DITARI!$D511="","",DITARI!$C511)</f>
        <v/>
      </c>
      <c r="E507" s="101" t="str">
        <f aca="false">IF(DITARI!$D511="","",TRIM(DITARI!$D511&amp;""))</f>
        <v/>
      </c>
      <c r="F507" s="101" t="str">
        <f aca="false">IF($E507="","",IFERROR(VLOOKUP($E507,PLANI_LLOGARIVE!$A:$I,2,FALSE()),DITARI!$E511))</f>
        <v/>
      </c>
      <c r="G507" s="101" t="str">
        <f aca="false">IF($E507="","",DITARI!$I511)</f>
        <v/>
      </c>
      <c r="H507" s="101" t="str">
        <f aca="false">IFERROR(IF($E507="","",DITARI!$H511),"")</f>
        <v/>
      </c>
      <c r="I507" s="101" t="n">
        <f aca="false">IF($E507="",0,IFERROR(DITARI!$F511,0))</f>
        <v>0</v>
      </c>
      <c r="J507" s="101" t="n">
        <f aca="false">IF($E507="",0,IFERROR(DITARI!$G511,0))</f>
        <v>0</v>
      </c>
      <c r="K507" s="101" t="str">
        <f aca="false">IF($E507="","",IFERROR(VLOOKUP($E507,PLANI_LLOGARIVE!$A:$I,9,FALSE()),""))</f>
        <v/>
      </c>
      <c r="L507" s="101" t="str">
        <f aca="false">IF($E507="","",$I507-$J507)</f>
        <v/>
      </c>
      <c r="M507" s="101" t="str">
        <f aca="false">IF($E507="","",IF($I507&gt;0,"DEBIT",IF($J507&gt;0,"KREDIT","ZERO")))</f>
        <v/>
      </c>
      <c r="N507" s="101" t="str">
        <f aca="false">IF($E507="","",TEXT($B507,"yyyymmdd")&amp;"-"&amp;TEXT(ROW(),"0000"))</f>
        <v/>
      </c>
      <c r="O507" s="101" t="str">
        <f aca="false">IF($E507="","",$E507&amp;"")</f>
        <v/>
      </c>
      <c r="P507" s="101" t="str">
        <f aca="false">IF(AND($O507&lt;&gt;"",$I507&lt;&gt;0),COUNTIFS($O$2:O507,$O507,$I$2:I507,"&gt;0"),"")</f>
        <v/>
      </c>
      <c r="Q507" s="101" t="str">
        <f aca="false">IF(AND($O507&lt;&gt;"",$J507&lt;&gt;0),COUNTIFS($O$2:O507,$O507,$J$2:J507,"&gt;0"),"")</f>
        <v/>
      </c>
      <c r="R507" s="101" t="str">
        <f aca="false">IF($P507="","",$O507&amp;"|"&amp;$P507)</f>
        <v/>
      </c>
      <c r="S507" s="101" t="str">
        <f aca="false">IF($Q507="","",$O507&amp;"|"&amp;$Q507)</f>
        <v/>
      </c>
      <c r="T507" s="101" t="str">
        <f aca="false">IF($O507="","",COUNTIF($O$2:O507,$O507))</f>
        <v/>
      </c>
      <c r="U507" s="101" t="str">
        <f aca="false">IF($O507="","",$O507&amp;"|"&amp;$T507)</f>
        <v/>
      </c>
      <c r="V507" s="490" t="n">
        <f aca="false">IF(OR(LEFT($D507,5)="MB-CL",LEFT($D507,6)="MB-RES"),0,$I507)</f>
        <v>0</v>
      </c>
      <c r="W507" s="490" t="n">
        <f aca="false">IF(OR(LEFT($D507,5)="MB-CL",LEFT($D507,6)="MB-RES"),0,$J507)</f>
        <v>0</v>
      </c>
      <c r="X507" s="490" t="str">
        <f aca="false">IF($E507="","",LEFT($E507,1))</f>
        <v/>
      </c>
      <c r="Y507" s="490" t="str">
        <f aca="false">IF($E507="","",LEFT($E507,2))</f>
        <v/>
      </c>
      <c r="Z507" s="490" t="str">
        <f aca="false">IF($E507="","",LEFT($E507,3))</f>
        <v/>
      </c>
      <c r="AA507" s="490" t="str">
        <f aca="false">IF($E507="","",LEFT($E507,4))</f>
        <v/>
      </c>
    </row>
    <row r="508" customFormat="false" ht="12.75" hidden="false" customHeight="true" outlineLevel="0" collapsed="false">
      <c r="A508" s="101" t="str">
        <f aca="false">IF(DITARI!$D512="","",ROW()-1)</f>
        <v/>
      </c>
      <c r="B508" s="101" t="str">
        <f aca="false">IF(DITARI!$D512="","",DITARI!$A512)</f>
        <v/>
      </c>
      <c r="C508" s="101" t="str">
        <f aca="false">IF(DITARI!$D512="","",DITARI!$B512)</f>
        <v/>
      </c>
      <c r="D508" s="101" t="str">
        <f aca="false">IF(DITARI!$D512="","",DITARI!$C512)</f>
        <v/>
      </c>
      <c r="E508" s="101" t="str">
        <f aca="false">IF(DITARI!$D512="","",TRIM(DITARI!$D512&amp;""))</f>
        <v/>
      </c>
      <c r="F508" s="101" t="str">
        <f aca="false">IF($E508="","",IFERROR(VLOOKUP($E508,PLANI_LLOGARIVE!$A:$I,2,FALSE()),DITARI!$E512))</f>
        <v/>
      </c>
      <c r="G508" s="101" t="str">
        <f aca="false">IF($E508="","",DITARI!$I512)</f>
        <v/>
      </c>
      <c r="H508" s="101" t="str">
        <f aca="false">IFERROR(IF($E508="","",DITARI!$H512),"")</f>
        <v/>
      </c>
      <c r="I508" s="101" t="n">
        <f aca="false">IF($E508="",0,IFERROR(DITARI!$F512,0))</f>
        <v>0</v>
      </c>
      <c r="J508" s="101" t="n">
        <f aca="false">IF($E508="",0,IFERROR(DITARI!$G512,0))</f>
        <v>0</v>
      </c>
      <c r="K508" s="101" t="str">
        <f aca="false">IF($E508="","",IFERROR(VLOOKUP($E508,PLANI_LLOGARIVE!$A:$I,9,FALSE()),""))</f>
        <v/>
      </c>
      <c r="L508" s="101" t="str">
        <f aca="false">IF($E508="","",$I508-$J508)</f>
        <v/>
      </c>
      <c r="M508" s="101" t="str">
        <f aca="false">IF($E508="","",IF($I508&gt;0,"DEBIT",IF($J508&gt;0,"KREDIT","ZERO")))</f>
        <v/>
      </c>
      <c r="N508" s="101" t="str">
        <f aca="false">IF($E508="","",TEXT($B508,"yyyymmdd")&amp;"-"&amp;TEXT(ROW(),"0000"))</f>
        <v/>
      </c>
      <c r="O508" s="101" t="str">
        <f aca="false">IF($E508="","",$E508&amp;"")</f>
        <v/>
      </c>
      <c r="P508" s="101" t="str">
        <f aca="false">IF(AND($O508&lt;&gt;"",$I508&lt;&gt;0),COUNTIFS($O$2:O508,$O508,$I$2:I508,"&gt;0"),"")</f>
        <v/>
      </c>
      <c r="Q508" s="101" t="str">
        <f aca="false">IF(AND($O508&lt;&gt;"",$J508&lt;&gt;0),COUNTIFS($O$2:O508,$O508,$J$2:J508,"&gt;0"),"")</f>
        <v/>
      </c>
      <c r="R508" s="101" t="str">
        <f aca="false">IF($P508="","",$O508&amp;"|"&amp;$P508)</f>
        <v/>
      </c>
      <c r="S508" s="101" t="str">
        <f aca="false">IF($Q508="","",$O508&amp;"|"&amp;$Q508)</f>
        <v/>
      </c>
      <c r="T508" s="101" t="str">
        <f aca="false">IF($O508="","",COUNTIF($O$2:O508,$O508))</f>
        <v/>
      </c>
      <c r="U508" s="101" t="str">
        <f aca="false">IF($O508="","",$O508&amp;"|"&amp;$T508)</f>
        <v/>
      </c>
      <c r="V508" s="490" t="n">
        <f aca="false">IF(OR(LEFT($D508,5)="MB-CL",LEFT($D508,6)="MB-RES"),0,$I508)</f>
        <v>0</v>
      </c>
      <c r="W508" s="490" t="n">
        <f aca="false">IF(OR(LEFT($D508,5)="MB-CL",LEFT($D508,6)="MB-RES"),0,$J508)</f>
        <v>0</v>
      </c>
      <c r="X508" s="490" t="str">
        <f aca="false">IF($E508="","",LEFT($E508,1))</f>
        <v/>
      </c>
      <c r="Y508" s="490" t="str">
        <f aca="false">IF($E508="","",LEFT($E508,2))</f>
        <v/>
      </c>
      <c r="Z508" s="490" t="str">
        <f aca="false">IF($E508="","",LEFT($E508,3))</f>
        <v/>
      </c>
      <c r="AA508" s="490" t="str">
        <f aca="false">IF($E508="","",LEFT($E508,4))</f>
        <v/>
      </c>
    </row>
    <row r="509" customFormat="false" ht="12.75" hidden="false" customHeight="true" outlineLevel="0" collapsed="false">
      <c r="A509" s="101" t="str">
        <f aca="false">IF(DITARI!$D513="","",ROW()-1)</f>
        <v/>
      </c>
      <c r="B509" s="101" t="str">
        <f aca="false">IF(DITARI!$D513="","",DITARI!$A513)</f>
        <v/>
      </c>
      <c r="C509" s="101" t="str">
        <f aca="false">IF(DITARI!$D513="","",DITARI!$B513)</f>
        <v/>
      </c>
      <c r="D509" s="101" t="str">
        <f aca="false">IF(DITARI!$D513="","",DITARI!$C513)</f>
        <v/>
      </c>
      <c r="E509" s="101" t="str">
        <f aca="false">IF(DITARI!$D513="","",TRIM(DITARI!$D513&amp;""))</f>
        <v/>
      </c>
      <c r="F509" s="101" t="str">
        <f aca="false">IF($E509="","",IFERROR(VLOOKUP($E509,PLANI_LLOGARIVE!$A:$I,2,FALSE()),DITARI!$E513))</f>
        <v/>
      </c>
      <c r="G509" s="101" t="str">
        <f aca="false">IF($E509="","",DITARI!$I513)</f>
        <v/>
      </c>
      <c r="H509" s="101" t="str">
        <f aca="false">IFERROR(IF($E509="","",DITARI!$H513),"")</f>
        <v/>
      </c>
      <c r="I509" s="101" t="n">
        <f aca="false">IF($E509="",0,IFERROR(DITARI!$F513,0))</f>
        <v>0</v>
      </c>
      <c r="J509" s="101" t="n">
        <f aca="false">IF($E509="",0,IFERROR(DITARI!$G513,0))</f>
        <v>0</v>
      </c>
      <c r="K509" s="101" t="str">
        <f aca="false">IF($E509="","",IFERROR(VLOOKUP($E509,PLANI_LLOGARIVE!$A:$I,9,FALSE()),""))</f>
        <v/>
      </c>
      <c r="L509" s="101" t="str">
        <f aca="false">IF($E509="","",$I509-$J509)</f>
        <v/>
      </c>
      <c r="M509" s="101" t="str">
        <f aca="false">IF($E509="","",IF($I509&gt;0,"DEBIT",IF($J509&gt;0,"KREDIT","ZERO")))</f>
        <v/>
      </c>
      <c r="N509" s="101" t="str">
        <f aca="false">IF($E509="","",TEXT($B509,"yyyymmdd")&amp;"-"&amp;TEXT(ROW(),"0000"))</f>
        <v/>
      </c>
      <c r="O509" s="101" t="str">
        <f aca="false">IF($E509="","",$E509&amp;"")</f>
        <v/>
      </c>
      <c r="P509" s="101" t="str">
        <f aca="false">IF(AND($O509&lt;&gt;"",$I509&lt;&gt;0),COUNTIFS($O$2:O509,$O509,$I$2:I509,"&gt;0"),"")</f>
        <v/>
      </c>
      <c r="Q509" s="101" t="str">
        <f aca="false">IF(AND($O509&lt;&gt;"",$J509&lt;&gt;0),COUNTIFS($O$2:O509,$O509,$J$2:J509,"&gt;0"),"")</f>
        <v/>
      </c>
      <c r="R509" s="101" t="str">
        <f aca="false">IF($P509="","",$O509&amp;"|"&amp;$P509)</f>
        <v/>
      </c>
      <c r="S509" s="101" t="str">
        <f aca="false">IF($Q509="","",$O509&amp;"|"&amp;$Q509)</f>
        <v/>
      </c>
      <c r="T509" s="101" t="str">
        <f aca="false">IF($O509="","",COUNTIF($O$2:O509,$O509))</f>
        <v/>
      </c>
      <c r="U509" s="101" t="str">
        <f aca="false">IF($O509="","",$O509&amp;"|"&amp;$T509)</f>
        <v/>
      </c>
      <c r="V509" s="490" t="n">
        <f aca="false">IF(OR(LEFT($D509,5)="MB-CL",LEFT($D509,6)="MB-RES"),0,$I509)</f>
        <v>0</v>
      </c>
      <c r="W509" s="490" t="n">
        <f aca="false">IF(OR(LEFT($D509,5)="MB-CL",LEFT($D509,6)="MB-RES"),0,$J509)</f>
        <v>0</v>
      </c>
      <c r="X509" s="490" t="str">
        <f aca="false">IF($E509="","",LEFT($E509,1))</f>
        <v/>
      </c>
      <c r="Y509" s="490" t="str">
        <f aca="false">IF($E509="","",LEFT($E509,2))</f>
        <v/>
      </c>
      <c r="Z509" s="490" t="str">
        <f aca="false">IF($E509="","",LEFT($E509,3))</f>
        <v/>
      </c>
      <c r="AA509" s="490" t="str">
        <f aca="false">IF($E509="","",LEFT($E509,4))</f>
        <v/>
      </c>
    </row>
    <row r="510" customFormat="false" ht="12.75" hidden="false" customHeight="true" outlineLevel="0" collapsed="false">
      <c r="A510" s="101" t="str">
        <f aca="false">IF(DITARI!$D514="","",ROW()-1)</f>
        <v/>
      </c>
      <c r="B510" s="101" t="str">
        <f aca="false">IF(DITARI!$D514="","",DITARI!$A514)</f>
        <v/>
      </c>
      <c r="C510" s="101" t="str">
        <f aca="false">IF(DITARI!$D514="","",DITARI!$B514)</f>
        <v/>
      </c>
      <c r="D510" s="101" t="str">
        <f aca="false">IF(DITARI!$D514="","",DITARI!$C514)</f>
        <v/>
      </c>
      <c r="E510" s="101" t="str">
        <f aca="false">IF(DITARI!$D514="","",TRIM(DITARI!$D514&amp;""))</f>
        <v/>
      </c>
      <c r="F510" s="101" t="str">
        <f aca="false">IF($E510="","",IFERROR(VLOOKUP($E510,PLANI_LLOGARIVE!$A:$I,2,FALSE()),DITARI!$E514))</f>
        <v/>
      </c>
      <c r="G510" s="101" t="str">
        <f aca="false">IF($E510="","",DITARI!$I514)</f>
        <v/>
      </c>
      <c r="H510" s="101" t="str">
        <f aca="false">IFERROR(IF($E510="","",DITARI!$H514),"")</f>
        <v/>
      </c>
      <c r="I510" s="101" t="n">
        <f aca="false">IF($E510="",0,IFERROR(DITARI!$F514,0))</f>
        <v>0</v>
      </c>
      <c r="J510" s="101" t="n">
        <f aca="false">IF($E510="",0,IFERROR(DITARI!$G514,0))</f>
        <v>0</v>
      </c>
      <c r="K510" s="101" t="str">
        <f aca="false">IF($E510="","",IFERROR(VLOOKUP($E510,PLANI_LLOGARIVE!$A:$I,9,FALSE()),""))</f>
        <v/>
      </c>
      <c r="L510" s="101" t="str">
        <f aca="false">IF($E510="","",$I510-$J510)</f>
        <v/>
      </c>
      <c r="M510" s="101" t="str">
        <f aca="false">IF($E510="","",IF($I510&gt;0,"DEBIT",IF($J510&gt;0,"KREDIT","ZERO")))</f>
        <v/>
      </c>
      <c r="N510" s="101" t="str">
        <f aca="false">IF($E510="","",TEXT($B510,"yyyymmdd")&amp;"-"&amp;TEXT(ROW(),"0000"))</f>
        <v/>
      </c>
      <c r="O510" s="101" t="str">
        <f aca="false">IF($E510="","",$E510&amp;"")</f>
        <v/>
      </c>
      <c r="P510" s="101" t="str">
        <f aca="false">IF(AND($O510&lt;&gt;"",$I510&lt;&gt;0),COUNTIFS($O$2:O510,$O510,$I$2:I510,"&gt;0"),"")</f>
        <v/>
      </c>
      <c r="Q510" s="101" t="str">
        <f aca="false">IF(AND($O510&lt;&gt;"",$J510&lt;&gt;0),COUNTIFS($O$2:O510,$O510,$J$2:J510,"&gt;0"),"")</f>
        <v/>
      </c>
      <c r="R510" s="101" t="str">
        <f aca="false">IF($P510="","",$O510&amp;"|"&amp;$P510)</f>
        <v/>
      </c>
      <c r="S510" s="101" t="str">
        <f aca="false">IF($Q510="","",$O510&amp;"|"&amp;$Q510)</f>
        <v/>
      </c>
      <c r="T510" s="101" t="str">
        <f aca="false">IF($O510="","",COUNTIF($O$2:O510,$O510))</f>
        <v/>
      </c>
      <c r="U510" s="101" t="str">
        <f aca="false">IF($O510="","",$O510&amp;"|"&amp;$T510)</f>
        <v/>
      </c>
      <c r="V510" s="490" t="n">
        <f aca="false">IF(OR(LEFT($D510,5)="MB-CL",LEFT($D510,6)="MB-RES"),0,$I510)</f>
        <v>0</v>
      </c>
      <c r="W510" s="490" t="n">
        <f aca="false">IF(OR(LEFT($D510,5)="MB-CL",LEFT($D510,6)="MB-RES"),0,$J510)</f>
        <v>0</v>
      </c>
      <c r="X510" s="490" t="str">
        <f aca="false">IF($E510="","",LEFT($E510,1))</f>
        <v/>
      </c>
      <c r="Y510" s="490" t="str">
        <f aca="false">IF($E510="","",LEFT($E510,2))</f>
        <v/>
      </c>
      <c r="Z510" s="490" t="str">
        <f aca="false">IF($E510="","",LEFT($E510,3))</f>
        <v/>
      </c>
      <c r="AA510" s="490" t="str">
        <f aca="false">IF($E510="","",LEFT($E510,4))</f>
        <v/>
      </c>
    </row>
    <row r="511" customFormat="false" ht="12.75" hidden="false" customHeight="true" outlineLevel="0" collapsed="false">
      <c r="A511" s="101" t="str">
        <f aca="false">IF(DITARI!$D515="","",ROW()-1)</f>
        <v/>
      </c>
      <c r="B511" s="101" t="str">
        <f aca="false">IF(DITARI!$D515="","",DITARI!$A515)</f>
        <v/>
      </c>
      <c r="C511" s="101" t="str">
        <f aca="false">IF(DITARI!$D515="","",DITARI!$B515)</f>
        <v/>
      </c>
      <c r="D511" s="101" t="str">
        <f aca="false">IF(DITARI!$D515="","",DITARI!$C515)</f>
        <v/>
      </c>
      <c r="E511" s="101" t="str">
        <f aca="false">IF(DITARI!$D515="","",TRIM(DITARI!$D515&amp;""))</f>
        <v/>
      </c>
      <c r="F511" s="101" t="str">
        <f aca="false">IF($E511="","",IFERROR(VLOOKUP($E511,PLANI_LLOGARIVE!$A:$I,2,FALSE()),DITARI!$E515))</f>
        <v/>
      </c>
      <c r="G511" s="101" t="str">
        <f aca="false">IF($E511="","",DITARI!$I515)</f>
        <v/>
      </c>
      <c r="H511" s="101" t="str">
        <f aca="false">IFERROR(IF($E511="","",DITARI!$H515),"")</f>
        <v/>
      </c>
      <c r="I511" s="101" t="n">
        <f aca="false">IF($E511="",0,IFERROR(DITARI!$F515,0))</f>
        <v>0</v>
      </c>
      <c r="J511" s="101" t="n">
        <f aca="false">IF($E511="",0,IFERROR(DITARI!$G515,0))</f>
        <v>0</v>
      </c>
      <c r="K511" s="101" t="str">
        <f aca="false">IF($E511="","",IFERROR(VLOOKUP($E511,PLANI_LLOGARIVE!$A:$I,9,FALSE()),""))</f>
        <v/>
      </c>
      <c r="L511" s="101" t="str">
        <f aca="false">IF($E511="","",$I511-$J511)</f>
        <v/>
      </c>
      <c r="M511" s="101" t="str">
        <f aca="false">IF($E511="","",IF($I511&gt;0,"DEBIT",IF($J511&gt;0,"KREDIT","ZERO")))</f>
        <v/>
      </c>
      <c r="N511" s="101" t="str">
        <f aca="false">IF($E511="","",TEXT($B511,"yyyymmdd")&amp;"-"&amp;TEXT(ROW(),"0000"))</f>
        <v/>
      </c>
      <c r="O511" s="101" t="str">
        <f aca="false">IF($E511="","",$E511&amp;"")</f>
        <v/>
      </c>
      <c r="P511" s="101" t="str">
        <f aca="false">IF(AND($O511&lt;&gt;"",$I511&lt;&gt;0),COUNTIFS($O$2:O511,$O511,$I$2:I511,"&gt;0"),"")</f>
        <v/>
      </c>
      <c r="Q511" s="101" t="str">
        <f aca="false">IF(AND($O511&lt;&gt;"",$J511&lt;&gt;0),COUNTIFS($O$2:O511,$O511,$J$2:J511,"&gt;0"),"")</f>
        <v/>
      </c>
      <c r="R511" s="101" t="str">
        <f aca="false">IF($P511="","",$O511&amp;"|"&amp;$P511)</f>
        <v/>
      </c>
      <c r="S511" s="101" t="str">
        <f aca="false">IF($Q511="","",$O511&amp;"|"&amp;$Q511)</f>
        <v/>
      </c>
      <c r="T511" s="101" t="str">
        <f aca="false">IF($O511="","",COUNTIF($O$2:O511,$O511))</f>
        <v/>
      </c>
      <c r="U511" s="101" t="str">
        <f aca="false">IF($O511="","",$O511&amp;"|"&amp;$T511)</f>
        <v/>
      </c>
      <c r="V511" s="490" t="n">
        <f aca="false">IF(OR(LEFT($D511,5)="MB-CL",LEFT($D511,6)="MB-RES"),0,$I511)</f>
        <v>0</v>
      </c>
      <c r="W511" s="490" t="n">
        <f aca="false">IF(OR(LEFT($D511,5)="MB-CL",LEFT($D511,6)="MB-RES"),0,$J511)</f>
        <v>0</v>
      </c>
      <c r="X511" s="490" t="str">
        <f aca="false">IF($E511="","",LEFT($E511,1))</f>
        <v/>
      </c>
      <c r="Y511" s="490" t="str">
        <f aca="false">IF($E511="","",LEFT($E511,2))</f>
        <v/>
      </c>
      <c r="Z511" s="490" t="str">
        <f aca="false">IF($E511="","",LEFT($E511,3))</f>
        <v/>
      </c>
      <c r="AA511" s="490" t="str">
        <f aca="false">IF($E511="","",LEFT($E511,4))</f>
        <v/>
      </c>
    </row>
    <row r="512" customFormat="false" ht="12.75" hidden="false" customHeight="true" outlineLevel="0" collapsed="false">
      <c r="A512" s="101" t="str">
        <f aca="false">IF(DITARI!$D516="","",ROW()-1)</f>
        <v/>
      </c>
      <c r="B512" s="101" t="str">
        <f aca="false">IF(DITARI!$D516="","",DITARI!$A516)</f>
        <v/>
      </c>
      <c r="C512" s="101" t="str">
        <f aca="false">IF(DITARI!$D516="","",DITARI!$B516)</f>
        <v/>
      </c>
      <c r="D512" s="101" t="str">
        <f aca="false">IF(DITARI!$D516="","",DITARI!$C516)</f>
        <v/>
      </c>
      <c r="E512" s="101" t="str">
        <f aca="false">IF(DITARI!$D516="","",TRIM(DITARI!$D516&amp;""))</f>
        <v/>
      </c>
      <c r="F512" s="101" t="str">
        <f aca="false">IF($E512="","",IFERROR(VLOOKUP($E512,PLANI_LLOGARIVE!$A:$I,2,FALSE()),DITARI!$E516))</f>
        <v/>
      </c>
      <c r="G512" s="101" t="str">
        <f aca="false">IF($E512="","",DITARI!$I516)</f>
        <v/>
      </c>
      <c r="H512" s="101" t="str">
        <f aca="false">IFERROR(IF($E512="","",DITARI!$H516),"")</f>
        <v/>
      </c>
      <c r="I512" s="101" t="n">
        <f aca="false">IF($E512="",0,IFERROR(DITARI!$F516,0))</f>
        <v>0</v>
      </c>
      <c r="J512" s="101" t="n">
        <f aca="false">IF($E512="",0,IFERROR(DITARI!$G516,0))</f>
        <v>0</v>
      </c>
      <c r="K512" s="101" t="str">
        <f aca="false">IF($E512="","",IFERROR(VLOOKUP($E512,PLANI_LLOGARIVE!$A:$I,9,FALSE()),""))</f>
        <v/>
      </c>
      <c r="L512" s="101" t="str">
        <f aca="false">IF($E512="","",$I512-$J512)</f>
        <v/>
      </c>
      <c r="M512" s="101" t="str">
        <f aca="false">IF($E512="","",IF($I512&gt;0,"DEBIT",IF($J512&gt;0,"KREDIT","ZERO")))</f>
        <v/>
      </c>
      <c r="N512" s="101" t="str">
        <f aca="false">IF($E512="","",TEXT($B512,"yyyymmdd")&amp;"-"&amp;TEXT(ROW(),"0000"))</f>
        <v/>
      </c>
      <c r="O512" s="101" t="str">
        <f aca="false">IF($E512="","",$E512&amp;"")</f>
        <v/>
      </c>
      <c r="P512" s="101" t="str">
        <f aca="false">IF(AND($O512&lt;&gt;"",$I512&lt;&gt;0),COUNTIFS($O$2:O512,$O512,$I$2:I512,"&gt;0"),"")</f>
        <v/>
      </c>
      <c r="Q512" s="101" t="str">
        <f aca="false">IF(AND($O512&lt;&gt;"",$J512&lt;&gt;0),COUNTIFS($O$2:O512,$O512,$J$2:J512,"&gt;0"),"")</f>
        <v/>
      </c>
      <c r="R512" s="101" t="str">
        <f aca="false">IF($P512="","",$O512&amp;"|"&amp;$P512)</f>
        <v/>
      </c>
      <c r="S512" s="101" t="str">
        <f aca="false">IF($Q512="","",$O512&amp;"|"&amp;$Q512)</f>
        <v/>
      </c>
      <c r="T512" s="101" t="str">
        <f aca="false">IF($O512="","",COUNTIF($O$2:O512,$O512))</f>
        <v/>
      </c>
      <c r="U512" s="101" t="str">
        <f aca="false">IF($O512="","",$O512&amp;"|"&amp;$T512)</f>
        <v/>
      </c>
      <c r="V512" s="490" t="n">
        <f aca="false">IF(OR(LEFT($D512,5)="MB-CL",LEFT($D512,6)="MB-RES"),0,$I512)</f>
        <v>0</v>
      </c>
      <c r="W512" s="490" t="n">
        <f aca="false">IF(OR(LEFT($D512,5)="MB-CL",LEFT($D512,6)="MB-RES"),0,$J512)</f>
        <v>0</v>
      </c>
      <c r="X512" s="490" t="str">
        <f aca="false">IF($E512="","",LEFT($E512,1))</f>
        <v/>
      </c>
      <c r="Y512" s="490" t="str">
        <f aca="false">IF($E512="","",LEFT($E512,2))</f>
        <v/>
      </c>
      <c r="Z512" s="490" t="str">
        <f aca="false">IF($E512="","",LEFT($E512,3))</f>
        <v/>
      </c>
      <c r="AA512" s="490" t="str">
        <f aca="false">IF($E512="","",LEFT($E512,4))</f>
        <v/>
      </c>
    </row>
    <row r="513" customFormat="false" ht="12.75" hidden="false" customHeight="true" outlineLevel="0" collapsed="false">
      <c r="A513" s="101" t="str">
        <f aca="false">IF(DITARI!$D517="","",ROW()-1)</f>
        <v/>
      </c>
      <c r="B513" s="101" t="str">
        <f aca="false">IF(DITARI!$D517="","",DITARI!$A517)</f>
        <v/>
      </c>
      <c r="C513" s="101" t="str">
        <f aca="false">IF(DITARI!$D517="","",DITARI!$B517)</f>
        <v/>
      </c>
      <c r="D513" s="101" t="str">
        <f aca="false">IF(DITARI!$D517="","",DITARI!$C517)</f>
        <v/>
      </c>
      <c r="E513" s="101" t="str">
        <f aca="false">IF(DITARI!$D517="","",TRIM(DITARI!$D517&amp;""))</f>
        <v/>
      </c>
      <c r="F513" s="101" t="str">
        <f aca="false">IF($E513="","",IFERROR(VLOOKUP($E513,PLANI_LLOGARIVE!$A:$I,2,FALSE()),DITARI!$E517))</f>
        <v/>
      </c>
      <c r="G513" s="101" t="str">
        <f aca="false">IF($E513="","",DITARI!$I517)</f>
        <v/>
      </c>
      <c r="H513" s="101" t="str">
        <f aca="false">IFERROR(IF($E513="","",DITARI!$H517),"")</f>
        <v/>
      </c>
      <c r="I513" s="101" t="n">
        <f aca="false">IF($E513="",0,IFERROR(DITARI!$F517,0))</f>
        <v>0</v>
      </c>
      <c r="J513" s="101" t="n">
        <f aca="false">IF($E513="",0,IFERROR(DITARI!$G517,0))</f>
        <v>0</v>
      </c>
      <c r="K513" s="101" t="str">
        <f aca="false">IF($E513="","",IFERROR(VLOOKUP($E513,PLANI_LLOGARIVE!$A:$I,9,FALSE()),""))</f>
        <v/>
      </c>
      <c r="L513" s="101" t="str">
        <f aca="false">IF($E513="","",$I513-$J513)</f>
        <v/>
      </c>
      <c r="M513" s="101" t="str">
        <f aca="false">IF($E513="","",IF($I513&gt;0,"DEBIT",IF($J513&gt;0,"KREDIT","ZERO")))</f>
        <v/>
      </c>
      <c r="N513" s="101" t="str">
        <f aca="false">IF($E513="","",TEXT($B513,"yyyymmdd")&amp;"-"&amp;TEXT(ROW(),"0000"))</f>
        <v/>
      </c>
      <c r="O513" s="101" t="str">
        <f aca="false">IF($E513="","",$E513&amp;"")</f>
        <v/>
      </c>
      <c r="P513" s="101" t="str">
        <f aca="false">IF(AND($O513&lt;&gt;"",$I513&lt;&gt;0),COUNTIFS($O$2:O513,$O513,$I$2:I513,"&gt;0"),"")</f>
        <v/>
      </c>
      <c r="Q513" s="101" t="str">
        <f aca="false">IF(AND($O513&lt;&gt;"",$J513&lt;&gt;0),COUNTIFS($O$2:O513,$O513,$J$2:J513,"&gt;0"),"")</f>
        <v/>
      </c>
      <c r="R513" s="101" t="str">
        <f aca="false">IF($P513="","",$O513&amp;"|"&amp;$P513)</f>
        <v/>
      </c>
      <c r="S513" s="101" t="str">
        <f aca="false">IF($Q513="","",$O513&amp;"|"&amp;$Q513)</f>
        <v/>
      </c>
      <c r="T513" s="101" t="str">
        <f aca="false">IF($O513="","",COUNTIF($O$2:O513,$O513))</f>
        <v/>
      </c>
      <c r="U513" s="101" t="str">
        <f aca="false">IF($O513="","",$O513&amp;"|"&amp;$T513)</f>
        <v/>
      </c>
      <c r="V513" s="490" t="n">
        <f aca="false">IF(OR(LEFT($D513,5)="MB-CL",LEFT($D513,6)="MB-RES"),0,$I513)</f>
        <v>0</v>
      </c>
      <c r="W513" s="490" t="n">
        <f aca="false">IF(OR(LEFT($D513,5)="MB-CL",LEFT($D513,6)="MB-RES"),0,$J513)</f>
        <v>0</v>
      </c>
      <c r="X513" s="490" t="str">
        <f aca="false">IF($E513="","",LEFT($E513,1))</f>
        <v/>
      </c>
      <c r="Y513" s="490" t="str">
        <f aca="false">IF($E513="","",LEFT($E513,2))</f>
        <v/>
      </c>
      <c r="Z513" s="490" t="str">
        <f aca="false">IF($E513="","",LEFT($E513,3))</f>
        <v/>
      </c>
      <c r="AA513" s="490" t="str">
        <f aca="false">IF($E513="","",LEFT($E513,4))</f>
        <v/>
      </c>
    </row>
    <row r="514" customFormat="false" ht="12.75" hidden="false" customHeight="true" outlineLevel="0" collapsed="false">
      <c r="A514" s="101" t="str">
        <f aca="false">IF(DITARI!$D518="","",ROW()-1)</f>
        <v/>
      </c>
      <c r="B514" s="101" t="str">
        <f aca="false">IF(DITARI!$D518="","",DITARI!$A518)</f>
        <v/>
      </c>
      <c r="C514" s="101" t="str">
        <f aca="false">IF(DITARI!$D518="","",DITARI!$B518)</f>
        <v/>
      </c>
      <c r="D514" s="101" t="str">
        <f aca="false">IF(DITARI!$D518="","",DITARI!$C518)</f>
        <v/>
      </c>
      <c r="E514" s="101" t="str">
        <f aca="false">IF(DITARI!$D518="","",TRIM(DITARI!$D518&amp;""))</f>
        <v/>
      </c>
      <c r="F514" s="101" t="str">
        <f aca="false">IF($E514="","",IFERROR(VLOOKUP($E514,PLANI_LLOGARIVE!$A:$I,2,FALSE()),DITARI!$E518))</f>
        <v/>
      </c>
      <c r="G514" s="101" t="str">
        <f aca="false">IF($E514="","",DITARI!$I518)</f>
        <v/>
      </c>
      <c r="H514" s="101" t="str">
        <f aca="false">IFERROR(IF($E514="","",DITARI!$H518),"")</f>
        <v/>
      </c>
      <c r="I514" s="101" t="n">
        <f aca="false">IF($E514="",0,IFERROR(DITARI!$F518,0))</f>
        <v>0</v>
      </c>
      <c r="J514" s="101" t="n">
        <f aca="false">IF($E514="",0,IFERROR(DITARI!$G518,0))</f>
        <v>0</v>
      </c>
      <c r="K514" s="101" t="str">
        <f aca="false">IF($E514="","",IFERROR(VLOOKUP($E514,PLANI_LLOGARIVE!$A:$I,9,FALSE()),""))</f>
        <v/>
      </c>
      <c r="L514" s="101" t="str">
        <f aca="false">IF($E514="","",$I514-$J514)</f>
        <v/>
      </c>
      <c r="M514" s="101" t="str">
        <f aca="false">IF($E514="","",IF($I514&gt;0,"DEBIT",IF($J514&gt;0,"KREDIT","ZERO")))</f>
        <v/>
      </c>
      <c r="N514" s="101" t="str">
        <f aca="false">IF($E514="","",TEXT($B514,"yyyymmdd")&amp;"-"&amp;TEXT(ROW(),"0000"))</f>
        <v/>
      </c>
      <c r="O514" s="101" t="str">
        <f aca="false">IF($E514="","",$E514&amp;"")</f>
        <v/>
      </c>
      <c r="P514" s="101" t="str">
        <f aca="false">IF(AND($O514&lt;&gt;"",$I514&lt;&gt;0),COUNTIFS($O$2:O514,$O514,$I$2:I514,"&gt;0"),"")</f>
        <v/>
      </c>
      <c r="Q514" s="101" t="str">
        <f aca="false">IF(AND($O514&lt;&gt;"",$J514&lt;&gt;0),COUNTIFS($O$2:O514,$O514,$J$2:J514,"&gt;0"),"")</f>
        <v/>
      </c>
      <c r="R514" s="101" t="str">
        <f aca="false">IF($P514="","",$O514&amp;"|"&amp;$P514)</f>
        <v/>
      </c>
      <c r="S514" s="101" t="str">
        <f aca="false">IF($Q514="","",$O514&amp;"|"&amp;$Q514)</f>
        <v/>
      </c>
      <c r="T514" s="101" t="str">
        <f aca="false">IF($O514="","",COUNTIF($O$2:O514,$O514))</f>
        <v/>
      </c>
      <c r="U514" s="101" t="str">
        <f aca="false">IF($O514="","",$O514&amp;"|"&amp;$T514)</f>
        <v/>
      </c>
      <c r="V514" s="490" t="n">
        <f aca="false">IF(OR(LEFT($D514,5)="MB-CL",LEFT($D514,6)="MB-RES"),0,$I514)</f>
        <v>0</v>
      </c>
      <c r="W514" s="490" t="n">
        <f aca="false">IF(OR(LEFT($D514,5)="MB-CL",LEFT($D514,6)="MB-RES"),0,$J514)</f>
        <v>0</v>
      </c>
      <c r="X514" s="490" t="str">
        <f aca="false">IF($E514="","",LEFT($E514,1))</f>
        <v/>
      </c>
      <c r="Y514" s="490" t="str">
        <f aca="false">IF($E514="","",LEFT($E514,2))</f>
        <v/>
      </c>
      <c r="Z514" s="490" t="str">
        <f aca="false">IF($E514="","",LEFT($E514,3))</f>
        <v/>
      </c>
      <c r="AA514" s="490" t="str">
        <f aca="false">IF($E514="","",LEFT($E514,4))</f>
        <v/>
      </c>
    </row>
    <row r="515" customFormat="false" ht="12.75" hidden="false" customHeight="true" outlineLevel="0" collapsed="false">
      <c r="A515" s="101" t="str">
        <f aca="false">IF(DITARI!$D519="","",ROW()-1)</f>
        <v/>
      </c>
      <c r="B515" s="101" t="str">
        <f aca="false">IF(DITARI!$D519="","",DITARI!$A519)</f>
        <v/>
      </c>
      <c r="C515" s="101" t="str">
        <f aca="false">IF(DITARI!$D519="","",DITARI!$B519)</f>
        <v/>
      </c>
      <c r="D515" s="101" t="str">
        <f aca="false">IF(DITARI!$D519="","",DITARI!$C519)</f>
        <v/>
      </c>
      <c r="E515" s="101" t="str">
        <f aca="false">IF(DITARI!$D519="","",TRIM(DITARI!$D519&amp;""))</f>
        <v/>
      </c>
      <c r="F515" s="101" t="str">
        <f aca="false">IF($E515="","",IFERROR(VLOOKUP($E515,PLANI_LLOGARIVE!$A:$I,2,FALSE()),DITARI!$E519))</f>
        <v/>
      </c>
      <c r="G515" s="101" t="str">
        <f aca="false">IF($E515="","",DITARI!$I519)</f>
        <v/>
      </c>
      <c r="H515" s="101" t="str">
        <f aca="false">IFERROR(IF($E515="","",DITARI!$H519),"")</f>
        <v/>
      </c>
      <c r="I515" s="101" t="n">
        <f aca="false">IF($E515="",0,IFERROR(DITARI!$F519,0))</f>
        <v>0</v>
      </c>
      <c r="J515" s="101" t="n">
        <f aca="false">IF($E515="",0,IFERROR(DITARI!$G519,0))</f>
        <v>0</v>
      </c>
      <c r="K515" s="101" t="str">
        <f aca="false">IF($E515="","",IFERROR(VLOOKUP($E515,PLANI_LLOGARIVE!$A:$I,9,FALSE()),""))</f>
        <v/>
      </c>
      <c r="L515" s="101" t="str">
        <f aca="false">IF($E515="","",$I515-$J515)</f>
        <v/>
      </c>
      <c r="M515" s="101" t="str">
        <f aca="false">IF($E515="","",IF($I515&gt;0,"DEBIT",IF($J515&gt;0,"KREDIT","ZERO")))</f>
        <v/>
      </c>
      <c r="N515" s="101" t="str">
        <f aca="false">IF($E515="","",TEXT($B515,"yyyymmdd")&amp;"-"&amp;TEXT(ROW(),"0000"))</f>
        <v/>
      </c>
      <c r="O515" s="101" t="str">
        <f aca="false">IF($E515="","",$E515&amp;"")</f>
        <v/>
      </c>
      <c r="P515" s="101" t="str">
        <f aca="false">IF(AND($O515&lt;&gt;"",$I515&lt;&gt;0),COUNTIFS($O$2:O515,$O515,$I$2:I515,"&gt;0"),"")</f>
        <v/>
      </c>
      <c r="Q515" s="101" t="str">
        <f aca="false">IF(AND($O515&lt;&gt;"",$J515&lt;&gt;0),COUNTIFS($O$2:O515,$O515,$J$2:J515,"&gt;0"),"")</f>
        <v/>
      </c>
      <c r="R515" s="101" t="str">
        <f aca="false">IF($P515="","",$O515&amp;"|"&amp;$P515)</f>
        <v/>
      </c>
      <c r="S515" s="101" t="str">
        <f aca="false">IF($Q515="","",$O515&amp;"|"&amp;$Q515)</f>
        <v/>
      </c>
      <c r="T515" s="101" t="str">
        <f aca="false">IF($O515="","",COUNTIF($O$2:O515,$O515))</f>
        <v/>
      </c>
      <c r="U515" s="101" t="str">
        <f aca="false">IF($O515="","",$O515&amp;"|"&amp;$T515)</f>
        <v/>
      </c>
      <c r="V515" s="490" t="n">
        <f aca="false">IF(OR(LEFT($D515,5)="MB-CL",LEFT($D515,6)="MB-RES"),0,$I515)</f>
        <v>0</v>
      </c>
      <c r="W515" s="490" t="n">
        <f aca="false">IF(OR(LEFT($D515,5)="MB-CL",LEFT($D515,6)="MB-RES"),0,$J515)</f>
        <v>0</v>
      </c>
      <c r="X515" s="490" t="str">
        <f aca="false">IF($E515="","",LEFT($E515,1))</f>
        <v/>
      </c>
      <c r="Y515" s="490" t="str">
        <f aca="false">IF($E515="","",LEFT($E515,2))</f>
        <v/>
      </c>
      <c r="Z515" s="490" t="str">
        <f aca="false">IF($E515="","",LEFT($E515,3))</f>
        <v/>
      </c>
      <c r="AA515" s="490" t="str">
        <f aca="false">IF($E515="","",LEFT($E515,4))</f>
        <v/>
      </c>
    </row>
    <row r="516" customFormat="false" ht="12.75" hidden="false" customHeight="true" outlineLevel="0" collapsed="false">
      <c r="A516" s="101" t="str">
        <f aca="false">IF(DITARI!$D520="","",ROW()-1)</f>
        <v/>
      </c>
      <c r="B516" s="101" t="str">
        <f aca="false">IF(DITARI!$D520="","",DITARI!$A520)</f>
        <v/>
      </c>
      <c r="C516" s="101" t="str">
        <f aca="false">IF(DITARI!$D520="","",DITARI!$B520)</f>
        <v/>
      </c>
      <c r="D516" s="101" t="str">
        <f aca="false">IF(DITARI!$D520="","",DITARI!$C520)</f>
        <v/>
      </c>
      <c r="E516" s="101" t="str">
        <f aca="false">IF(DITARI!$D520="","",TRIM(DITARI!$D520&amp;""))</f>
        <v/>
      </c>
      <c r="F516" s="101" t="str">
        <f aca="false">IF($E516="","",IFERROR(VLOOKUP($E516,PLANI_LLOGARIVE!$A:$I,2,FALSE()),DITARI!$E520))</f>
        <v/>
      </c>
      <c r="G516" s="101" t="str">
        <f aca="false">IF($E516="","",DITARI!$I520)</f>
        <v/>
      </c>
      <c r="H516" s="101" t="str">
        <f aca="false">IFERROR(IF($E516="","",DITARI!$H520),"")</f>
        <v/>
      </c>
      <c r="I516" s="101" t="n">
        <f aca="false">IF($E516="",0,IFERROR(DITARI!$F520,0))</f>
        <v>0</v>
      </c>
      <c r="J516" s="101" t="n">
        <f aca="false">IF($E516="",0,IFERROR(DITARI!$G520,0))</f>
        <v>0</v>
      </c>
      <c r="K516" s="101" t="str">
        <f aca="false">IF($E516="","",IFERROR(VLOOKUP($E516,PLANI_LLOGARIVE!$A:$I,9,FALSE()),""))</f>
        <v/>
      </c>
      <c r="L516" s="101" t="str">
        <f aca="false">IF($E516="","",$I516-$J516)</f>
        <v/>
      </c>
      <c r="M516" s="101" t="str">
        <f aca="false">IF($E516="","",IF($I516&gt;0,"DEBIT",IF($J516&gt;0,"KREDIT","ZERO")))</f>
        <v/>
      </c>
      <c r="N516" s="101" t="str">
        <f aca="false">IF($E516="","",TEXT($B516,"yyyymmdd")&amp;"-"&amp;TEXT(ROW(),"0000"))</f>
        <v/>
      </c>
      <c r="O516" s="101" t="str">
        <f aca="false">IF($E516="","",$E516&amp;"")</f>
        <v/>
      </c>
      <c r="P516" s="101" t="str">
        <f aca="false">IF(AND($O516&lt;&gt;"",$I516&lt;&gt;0),COUNTIFS($O$2:O516,$O516,$I$2:I516,"&gt;0"),"")</f>
        <v/>
      </c>
      <c r="Q516" s="101" t="str">
        <f aca="false">IF(AND($O516&lt;&gt;"",$J516&lt;&gt;0),COUNTIFS($O$2:O516,$O516,$J$2:J516,"&gt;0"),"")</f>
        <v/>
      </c>
      <c r="R516" s="101" t="str">
        <f aca="false">IF($P516="","",$O516&amp;"|"&amp;$P516)</f>
        <v/>
      </c>
      <c r="S516" s="101" t="str">
        <f aca="false">IF($Q516="","",$O516&amp;"|"&amp;$Q516)</f>
        <v/>
      </c>
      <c r="T516" s="101" t="str">
        <f aca="false">IF($O516="","",COUNTIF($O$2:O516,$O516))</f>
        <v/>
      </c>
      <c r="U516" s="101" t="str">
        <f aca="false">IF($O516="","",$O516&amp;"|"&amp;$T516)</f>
        <v/>
      </c>
      <c r="V516" s="490" t="n">
        <f aca="false">IF(OR(LEFT($D516,5)="MB-CL",LEFT($D516,6)="MB-RES"),0,$I516)</f>
        <v>0</v>
      </c>
      <c r="W516" s="490" t="n">
        <f aca="false">IF(OR(LEFT($D516,5)="MB-CL",LEFT($D516,6)="MB-RES"),0,$J516)</f>
        <v>0</v>
      </c>
      <c r="X516" s="490" t="str">
        <f aca="false">IF($E516="","",LEFT($E516,1))</f>
        <v/>
      </c>
      <c r="Y516" s="490" t="str">
        <f aca="false">IF($E516="","",LEFT($E516,2))</f>
        <v/>
      </c>
      <c r="Z516" s="490" t="str">
        <f aca="false">IF($E516="","",LEFT($E516,3))</f>
        <v/>
      </c>
      <c r="AA516" s="490" t="str">
        <f aca="false">IF($E516="","",LEFT($E516,4))</f>
        <v/>
      </c>
    </row>
    <row r="517" customFormat="false" ht="12.75" hidden="false" customHeight="true" outlineLevel="0" collapsed="false">
      <c r="A517" s="101" t="str">
        <f aca="false">IF(DITARI!$D521="","",ROW()-1)</f>
        <v/>
      </c>
      <c r="B517" s="101" t="str">
        <f aca="false">IF(DITARI!$D521="","",DITARI!$A521)</f>
        <v/>
      </c>
      <c r="C517" s="101" t="str">
        <f aca="false">IF(DITARI!$D521="","",DITARI!$B521)</f>
        <v/>
      </c>
      <c r="D517" s="101" t="str">
        <f aca="false">IF(DITARI!$D521="","",DITARI!$C521)</f>
        <v/>
      </c>
      <c r="E517" s="101" t="str">
        <f aca="false">IF(DITARI!$D521="","",TRIM(DITARI!$D521&amp;""))</f>
        <v/>
      </c>
      <c r="F517" s="101" t="str">
        <f aca="false">IF($E517="","",IFERROR(VLOOKUP($E517,PLANI_LLOGARIVE!$A:$I,2,FALSE()),DITARI!$E521))</f>
        <v/>
      </c>
      <c r="G517" s="101" t="str">
        <f aca="false">IF($E517="","",DITARI!$I521)</f>
        <v/>
      </c>
      <c r="H517" s="101" t="str">
        <f aca="false">IFERROR(IF($E517="","",DITARI!$H521),"")</f>
        <v/>
      </c>
      <c r="I517" s="101" t="n">
        <f aca="false">IF($E517="",0,IFERROR(DITARI!$F521,0))</f>
        <v>0</v>
      </c>
      <c r="J517" s="101" t="n">
        <f aca="false">IF($E517="",0,IFERROR(DITARI!$G521,0))</f>
        <v>0</v>
      </c>
      <c r="K517" s="101" t="str">
        <f aca="false">IF($E517="","",IFERROR(VLOOKUP($E517,PLANI_LLOGARIVE!$A:$I,9,FALSE()),""))</f>
        <v/>
      </c>
      <c r="L517" s="101" t="str">
        <f aca="false">IF($E517="","",$I517-$J517)</f>
        <v/>
      </c>
      <c r="M517" s="101" t="str">
        <f aca="false">IF($E517="","",IF($I517&gt;0,"DEBIT",IF($J517&gt;0,"KREDIT","ZERO")))</f>
        <v/>
      </c>
      <c r="N517" s="101" t="str">
        <f aca="false">IF($E517="","",TEXT($B517,"yyyymmdd")&amp;"-"&amp;TEXT(ROW(),"0000"))</f>
        <v/>
      </c>
      <c r="O517" s="101" t="str">
        <f aca="false">IF($E517="","",$E517&amp;"")</f>
        <v/>
      </c>
      <c r="P517" s="101" t="str">
        <f aca="false">IF(AND($O517&lt;&gt;"",$I517&lt;&gt;0),COUNTIFS($O$2:O517,$O517,$I$2:I517,"&gt;0"),"")</f>
        <v/>
      </c>
      <c r="Q517" s="101" t="str">
        <f aca="false">IF(AND($O517&lt;&gt;"",$J517&lt;&gt;0),COUNTIFS($O$2:O517,$O517,$J$2:J517,"&gt;0"),"")</f>
        <v/>
      </c>
      <c r="R517" s="101" t="str">
        <f aca="false">IF($P517="","",$O517&amp;"|"&amp;$P517)</f>
        <v/>
      </c>
      <c r="S517" s="101" t="str">
        <f aca="false">IF($Q517="","",$O517&amp;"|"&amp;$Q517)</f>
        <v/>
      </c>
      <c r="T517" s="101" t="str">
        <f aca="false">IF($O517="","",COUNTIF($O$2:O517,$O517))</f>
        <v/>
      </c>
      <c r="U517" s="101" t="str">
        <f aca="false">IF($O517="","",$O517&amp;"|"&amp;$T517)</f>
        <v/>
      </c>
      <c r="V517" s="490" t="n">
        <f aca="false">IF(OR(LEFT($D517,5)="MB-CL",LEFT($D517,6)="MB-RES"),0,$I517)</f>
        <v>0</v>
      </c>
      <c r="W517" s="490" t="n">
        <f aca="false">IF(OR(LEFT($D517,5)="MB-CL",LEFT($D517,6)="MB-RES"),0,$J517)</f>
        <v>0</v>
      </c>
      <c r="X517" s="490" t="str">
        <f aca="false">IF($E517="","",LEFT($E517,1))</f>
        <v/>
      </c>
      <c r="Y517" s="490" t="str">
        <f aca="false">IF($E517="","",LEFT($E517,2))</f>
        <v/>
      </c>
      <c r="Z517" s="490" t="str">
        <f aca="false">IF($E517="","",LEFT($E517,3))</f>
        <v/>
      </c>
      <c r="AA517" s="490" t="str">
        <f aca="false">IF($E517="","",LEFT($E517,4))</f>
        <v/>
      </c>
    </row>
    <row r="518" customFormat="false" ht="12.75" hidden="false" customHeight="true" outlineLevel="0" collapsed="false">
      <c r="A518" s="101" t="str">
        <f aca="false">IF(DITARI!$D522="","",ROW()-1)</f>
        <v/>
      </c>
      <c r="B518" s="101" t="str">
        <f aca="false">IF(DITARI!$D522="","",DITARI!$A522)</f>
        <v/>
      </c>
      <c r="C518" s="101" t="str">
        <f aca="false">IF(DITARI!$D522="","",DITARI!$B522)</f>
        <v/>
      </c>
      <c r="D518" s="101" t="str">
        <f aca="false">IF(DITARI!$D522="","",DITARI!$C522)</f>
        <v/>
      </c>
      <c r="E518" s="101" t="str">
        <f aca="false">IF(DITARI!$D522="","",TRIM(DITARI!$D522&amp;""))</f>
        <v/>
      </c>
      <c r="F518" s="101" t="str">
        <f aca="false">IF($E518="","",IFERROR(VLOOKUP($E518,PLANI_LLOGARIVE!$A:$I,2,FALSE()),DITARI!$E522))</f>
        <v/>
      </c>
      <c r="G518" s="101" t="str">
        <f aca="false">IF($E518="","",DITARI!$I522)</f>
        <v/>
      </c>
      <c r="H518" s="101" t="str">
        <f aca="false">IFERROR(IF($E518="","",DITARI!$H522),"")</f>
        <v/>
      </c>
      <c r="I518" s="101" t="n">
        <f aca="false">IF($E518="",0,IFERROR(DITARI!$F522,0))</f>
        <v>0</v>
      </c>
      <c r="J518" s="101" t="n">
        <f aca="false">IF($E518="",0,IFERROR(DITARI!$G522,0))</f>
        <v>0</v>
      </c>
      <c r="K518" s="101" t="str">
        <f aca="false">IF($E518="","",IFERROR(VLOOKUP($E518,PLANI_LLOGARIVE!$A:$I,9,FALSE()),""))</f>
        <v/>
      </c>
      <c r="L518" s="101" t="str">
        <f aca="false">IF($E518="","",$I518-$J518)</f>
        <v/>
      </c>
      <c r="M518" s="101" t="str">
        <f aca="false">IF($E518="","",IF($I518&gt;0,"DEBIT",IF($J518&gt;0,"KREDIT","ZERO")))</f>
        <v/>
      </c>
      <c r="N518" s="101" t="str">
        <f aca="false">IF($E518="","",TEXT($B518,"yyyymmdd")&amp;"-"&amp;TEXT(ROW(),"0000"))</f>
        <v/>
      </c>
      <c r="O518" s="101" t="str">
        <f aca="false">IF($E518="","",$E518&amp;"")</f>
        <v/>
      </c>
      <c r="P518" s="101" t="str">
        <f aca="false">IF(AND($O518&lt;&gt;"",$I518&lt;&gt;0),COUNTIFS($O$2:O518,$O518,$I$2:I518,"&gt;0"),"")</f>
        <v/>
      </c>
      <c r="Q518" s="101" t="str">
        <f aca="false">IF(AND($O518&lt;&gt;"",$J518&lt;&gt;0),COUNTIFS($O$2:O518,$O518,$J$2:J518,"&gt;0"),"")</f>
        <v/>
      </c>
      <c r="R518" s="101" t="str">
        <f aca="false">IF($P518="","",$O518&amp;"|"&amp;$P518)</f>
        <v/>
      </c>
      <c r="S518" s="101" t="str">
        <f aca="false">IF($Q518="","",$O518&amp;"|"&amp;$Q518)</f>
        <v/>
      </c>
      <c r="T518" s="101" t="str">
        <f aca="false">IF($O518="","",COUNTIF($O$2:O518,$O518))</f>
        <v/>
      </c>
      <c r="U518" s="101" t="str">
        <f aca="false">IF($O518="","",$O518&amp;"|"&amp;$T518)</f>
        <v/>
      </c>
      <c r="V518" s="490" t="n">
        <f aca="false">IF(OR(LEFT($D518,5)="MB-CL",LEFT($D518,6)="MB-RES"),0,$I518)</f>
        <v>0</v>
      </c>
      <c r="W518" s="490" t="n">
        <f aca="false">IF(OR(LEFT($D518,5)="MB-CL",LEFT($D518,6)="MB-RES"),0,$J518)</f>
        <v>0</v>
      </c>
      <c r="X518" s="490" t="str">
        <f aca="false">IF($E518="","",LEFT($E518,1))</f>
        <v/>
      </c>
      <c r="Y518" s="490" t="str">
        <f aca="false">IF($E518="","",LEFT($E518,2))</f>
        <v/>
      </c>
      <c r="Z518" s="490" t="str">
        <f aca="false">IF($E518="","",LEFT($E518,3))</f>
        <v/>
      </c>
      <c r="AA518" s="490" t="str">
        <f aca="false">IF($E518="","",LEFT($E518,4))</f>
        <v/>
      </c>
    </row>
    <row r="519" customFormat="false" ht="12.75" hidden="false" customHeight="true" outlineLevel="0" collapsed="false">
      <c r="A519" s="101" t="str">
        <f aca="false">IF(DITARI!$D523="","",ROW()-1)</f>
        <v/>
      </c>
      <c r="B519" s="101" t="str">
        <f aca="false">IF(DITARI!$D523="","",DITARI!$A523)</f>
        <v/>
      </c>
      <c r="C519" s="101" t="str">
        <f aca="false">IF(DITARI!$D523="","",DITARI!$B523)</f>
        <v/>
      </c>
      <c r="D519" s="101" t="str">
        <f aca="false">IF(DITARI!$D523="","",DITARI!$C523)</f>
        <v/>
      </c>
      <c r="E519" s="101" t="str">
        <f aca="false">IF(DITARI!$D523="","",TRIM(DITARI!$D523&amp;""))</f>
        <v/>
      </c>
      <c r="F519" s="101" t="str">
        <f aca="false">IF($E519="","",IFERROR(VLOOKUP($E519,PLANI_LLOGARIVE!$A:$I,2,FALSE()),DITARI!$E523))</f>
        <v/>
      </c>
      <c r="G519" s="101" t="str">
        <f aca="false">IF($E519="","",DITARI!$I523)</f>
        <v/>
      </c>
      <c r="H519" s="101" t="str">
        <f aca="false">IFERROR(IF($E519="","",DITARI!$H523),"")</f>
        <v/>
      </c>
      <c r="I519" s="101" t="n">
        <f aca="false">IF($E519="",0,IFERROR(DITARI!$F523,0))</f>
        <v>0</v>
      </c>
      <c r="J519" s="101" t="n">
        <f aca="false">IF($E519="",0,IFERROR(DITARI!$G523,0))</f>
        <v>0</v>
      </c>
      <c r="K519" s="101" t="str">
        <f aca="false">IF($E519="","",IFERROR(VLOOKUP($E519,PLANI_LLOGARIVE!$A:$I,9,FALSE()),""))</f>
        <v/>
      </c>
      <c r="L519" s="101" t="str">
        <f aca="false">IF($E519="","",$I519-$J519)</f>
        <v/>
      </c>
      <c r="M519" s="101" t="str">
        <f aca="false">IF($E519="","",IF($I519&gt;0,"DEBIT",IF($J519&gt;0,"KREDIT","ZERO")))</f>
        <v/>
      </c>
      <c r="N519" s="101" t="str">
        <f aca="false">IF($E519="","",TEXT($B519,"yyyymmdd")&amp;"-"&amp;TEXT(ROW(),"0000"))</f>
        <v/>
      </c>
      <c r="O519" s="101" t="str">
        <f aca="false">IF($E519="","",$E519&amp;"")</f>
        <v/>
      </c>
      <c r="P519" s="101" t="str">
        <f aca="false">IF(AND($O519&lt;&gt;"",$I519&lt;&gt;0),COUNTIFS($O$2:O519,$O519,$I$2:I519,"&gt;0"),"")</f>
        <v/>
      </c>
      <c r="Q519" s="101" t="str">
        <f aca="false">IF(AND($O519&lt;&gt;"",$J519&lt;&gt;0),COUNTIFS($O$2:O519,$O519,$J$2:J519,"&gt;0"),"")</f>
        <v/>
      </c>
      <c r="R519" s="101" t="str">
        <f aca="false">IF($P519="","",$O519&amp;"|"&amp;$P519)</f>
        <v/>
      </c>
      <c r="S519" s="101" t="str">
        <f aca="false">IF($Q519="","",$O519&amp;"|"&amp;$Q519)</f>
        <v/>
      </c>
      <c r="T519" s="101" t="str">
        <f aca="false">IF($O519="","",COUNTIF($O$2:O519,$O519))</f>
        <v/>
      </c>
      <c r="U519" s="101" t="str">
        <f aca="false">IF($O519="","",$O519&amp;"|"&amp;$T519)</f>
        <v/>
      </c>
      <c r="V519" s="490" t="n">
        <f aca="false">IF(OR(LEFT($D519,5)="MB-CL",LEFT($D519,6)="MB-RES"),0,$I519)</f>
        <v>0</v>
      </c>
      <c r="W519" s="490" t="n">
        <f aca="false">IF(OR(LEFT($D519,5)="MB-CL",LEFT($D519,6)="MB-RES"),0,$J519)</f>
        <v>0</v>
      </c>
      <c r="X519" s="490" t="str">
        <f aca="false">IF($E519="","",LEFT($E519,1))</f>
        <v/>
      </c>
      <c r="Y519" s="490" t="str">
        <f aca="false">IF($E519="","",LEFT($E519,2))</f>
        <v/>
      </c>
      <c r="Z519" s="490" t="str">
        <f aca="false">IF($E519="","",LEFT($E519,3))</f>
        <v/>
      </c>
      <c r="AA519" s="490" t="str">
        <f aca="false">IF($E519="","",LEFT($E519,4))</f>
        <v/>
      </c>
    </row>
    <row r="520" customFormat="false" ht="12.75" hidden="false" customHeight="true" outlineLevel="0" collapsed="false">
      <c r="A520" s="101" t="str">
        <f aca="false">IF(DITARI!$D524="","",ROW()-1)</f>
        <v/>
      </c>
      <c r="B520" s="101" t="str">
        <f aca="false">IF(DITARI!$D524="","",DITARI!$A524)</f>
        <v/>
      </c>
      <c r="C520" s="101" t="str">
        <f aca="false">IF(DITARI!$D524="","",DITARI!$B524)</f>
        <v/>
      </c>
      <c r="D520" s="101" t="str">
        <f aca="false">IF(DITARI!$D524="","",DITARI!$C524)</f>
        <v/>
      </c>
      <c r="E520" s="101" t="str">
        <f aca="false">IF(DITARI!$D524="","",TRIM(DITARI!$D524&amp;""))</f>
        <v/>
      </c>
      <c r="F520" s="101" t="str">
        <f aca="false">IF($E520="","",IFERROR(VLOOKUP($E520,PLANI_LLOGARIVE!$A:$I,2,FALSE()),DITARI!$E524))</f>
        <v/>
      </c>
      <c r="G520" s="101" t="str">
        <f aca="false">IF($E520="","",DITARI!$I524)</f>
        <v/>
      </c>
      <c r="H520" s="101" t="str">
        <f aca="false">IFERROR(IF($E520="","",DITARI!$H524),"")</f>
        <v/>
      </c>
      <c r="I520" s="101" t="n">
        <f aca="false">IF($E520="",0,IFERROR(DITARI!$F524,0))</f>
        <v>0</v>
      </c>
      <c r="J520" s="101" t="n">
        <f aca="false">IF($E520="",0,IFERROR(DITARI!$G524,0))</f>
        <v>0</v>
      </c>
      <c r="K520" s="101" t="str">
        <f aca="false">IF($E520="","",IFERROR(VLOOKUP($E520,PLANI_LLOGARIVE!$A:$I,9,FALSE()),""))</f>
        <v/>
      </c>
      <c r="L520" s="101" t="str">
        <f aca="false">IF($E520="","",$I520-$J520)</f>
        <v/>
      </c>
      <c r="M520" s="101" t="str">
        <f aca="false">IF($E520="","",IF($I520&gt;0,"DEBIT",IF($J520&gt;0,"KREDIT","ZERO")))</f>
        <v/>
      </c>
      <c r="N520" s="101" t="str">
        <f aca="false">IF($E520="","",TEXT($B520,"yyyymmdd")&amp;"-"&amp;TEXT(ROW(),"0000"))</f>
        <v/>
      </c>
      <c r="O520" s="101" t="str">
        <f aca="false">IF($E520="","",$E520&amp;"")</f>
        <v/>
      </c>
      <c r="P520" s="101" t="str">
        <f aca="false">IF(AND($O520&lt;&gt;"",$I520&lt;&gt;0),COUNTIFS($O$2:O520,$O520,$I$2:I520,"&gt;0"),"")</f>
        <v/>
      </c>
      <c r="Q520" s="101" t="str">
        <f aca="false">IF(AND($O520&lt;&gt;"",$J520&lt;&gt;0),COUNTIFS($O$2:O520,$O520,$J$2:J520,"&gt;0"),"")</f>
        <v/>
      </c>
      <c r="R520" s="101" t="str">
        <f aca="false">IF($P520="","",$O520&amp;"|"&amp;$P520)</f>
        <v/>
      </c>
      <c r="S520" s="101" t="str">
        <f aca="false">IF($Q520="","",$O520&amp;"|"&amp;$Q520)</f>
        <v/>
      </c>
      <c r="T520" s="101" t="str">
        <f aca="false">IF($O520="","",COUNTIF($O$2:O520,$O520))</f>
        <v/>
      </c>
      <c r="U520" s="101" t="str">
        <f aca="false">IF($O520="","",$O520&amp;"|"&amp;$T520)</f>
        <v/>
      </c>
      <c r="V520" s="490" t="n">
        <f aca="false">IF(OR(LEFT($D520,5)="MB-CL",LEFT($D520,6)="MB-RES"),0,$I520)</f>
        <v>0</v>
      </c>
      <c r="W520" s="490" t="n">
        <f aca="false">IF(OR(LEFT($D520,5)="MB-CL",LEFT($D520,6)="MB-RES"),0,$J520)</f>
        <v>0</v>
      </c>
      <c r="X520" s="490" t="str">
        <f aca="false">IF($E520="","",LEFT($E520,1))</f>
        <v/>
      </c>
      <c r="Y520" s="490" t="str">
        <f aca="false">IF($E520="","",LEFT($E520,2))</f>
        <v/>
      </c>
      <c r="Z520" s="490" t="str">
        <f aca="false">IF($E520="","",LEFT($E520,3))</f>
        <v/>
      </c>
      <c r="AA520" s="490" t="str">
        <f aca="false">IF($E520="","",LEFT($E520,4))</f>
        <v/>
      </c>
    </row>
    <row r="521" customFormat="false" ht="12.75" hidden="false" customHeight="true" outlineLevel="0" collapsed="false">
      <c r="A521" s="101" t="str">
        <f aca="false">IF(DITARI!$D525="","",ROW()-1)</f>
        <v/>
      </c>
      <c r="B521" s="101" t="str">
        <f aca="false">IF(DITARI!$D525="","",DITARI!$A525)</f>
        <v/>
      </c>
      <c r="C521" s="101" t="str">
        <f aca="false">IF(DITARI!$D525="","",DITARI!$B525)</f>
        <v/>
      </c>
      <c r="D521" s="101" t="str">
        <f aca="false">IF(DITARI!$D525="","",DITARI!$C525)</f>
        <v/>
      </c>
      <c r="E521" s="101" t="str">
        <f aca="false">IF(DITARI!$D525="","",TRIM(DITARI!$D525&amp;""))</f>
        <v/>
      </c>
      <c r="F521" s="101" t="str">
        <f aca="false">IF($E521="","",IFERROR(VLOOKUP($E521,PLANI_LLOGARIVE!$A:$I,2,FALSE()),DITARI!$E525))</f>
        <v/>
      </c>
      <c r="G521" s="101" t="str">
        <f aca="false">IF($E521="","",DITARI!$I525)</f>
        <v/>
      </c>
      <c r="H521" s="101" t="str">
        <f aca="false">IFERROR(IF($E521="","",DITARI!$H525),"")</f>
        <v/>
      </c>
      <c r="I521" s="101" t="n">
        <f aca="false">IF($E521="",0,IFERROR(DITARI!$F525,0))</f>
        <v>0</v>
      </c>
      <c r="J521" s="101" t="n">
        <f aca="false">IF($E521="",0,IFERROR(DITARI!$G525,0))</f>
        <v>0</v>
      </c>
      <c r="K521" s="101" t="str">
        <f aca="false">IF($E521="","",IFERROR(VLOOKUP($E521,PLANI_LLOGARIVE!$A:$I,9,FALSE()),""))</f>
        <v/>
      </c>
      <c r="L521" s="101" t="str">
        <f aca="false">IF($E521="","",$I521-$J521)</f>
        <v/>
      </c>
      <c r="M521" s="101" t="str">
        <f aca="false">IF($E521="","",IF($I521&gt;0,"DEBIT",IF($J521&gt;0,"KREDIT","ZERO")))</f>
        <v/>
      </c>
      <c r="N521" s="101" t="str">
        <f aca="false">IF($E521="","",TEXT($B521,"yyyymmdd")&amp;"-"&amp;TEXT(ROW(),"0000"))</f>
        <v/>
      </c>
      <c r="O521" s="101" t="str">
        <f aca="false">IF($E521="","",$E521&amp;"")</f>
        <v/>
      </c>
      <c r="P521" s="101" t="str">
        <f aca="false">IF(AND($O521&lt;&gt;"",$I521&lt;&gt;0),COUNTIFS($O$2:O521,$O521,$I$2:I521,"&gt;0"),"")</f>
        <v/>
      </c>
      <c r="Q521" s="101" t="str">
        <f aca="false">IF(AND($O521&lt;&gt;"",$J521&lt;&gt;0),COUNTIFS($O$2:O521,$O521,$J$2:J521,"&gt;0"),"")</f>
        <v/>
      </c>
      <c r="R521" s="101" t="str">
        <f aca="false">IF($P521="","",$O521&amp;"|"&amp;$P521)</f>
        <v/>
      </c>
      <c r="S521" s="101" t="str">
        <f aca="false">IF($Q521="","",$O521&amp;"|"&amp;$Q521)</f>
        <v/>
      </c>
      <c r="T521" s="101" t="str">
        <f aca="false">IF($O521="","",COUNTIF($O$2:O521,$O521))</f>
        <v/>
      </c>
      <c r="U521" s="101" t="str">
        <f aca="false">IF($O521="","",$O521&amp;"|"&amp;$T521)</f>
        <v/>
      </c>
      <c r="V521" s="490" t="n">
        <f aca="false">IF(OR(LEFT($D521,5)="MB-CL",LEFT($D521,6)="MB-RES"),0,$I521)</f>
        <v>0</v>
      </c>
      <c r="W521" s="490" t="n">
        <f aca="false">IF(OR(LEFT($D521,5)="MB-CL",LEFT($D521,6)="MB-RES"),0,$J521)</f>
        <v>0</v>
      </c>
      <c r="X521" s="490" t="str">
        <f aca="false">IF($E521="","",LEFT($E521,1))</f>
        <v/>
      </c>
      <c r="Y521" s="490" t="str">
        <f aca="false">IF($E521="","",LEFT($E521,2))</f>
        <v/>
      </c>
      <c r="Z521" s="490" t="str">
        <f aca="false">IF($E521="","",LEFT($E521,3))</f>
        <v/>
      </c>
      <c r="AA521" s="490" t="str">
        <f aca="false">IF($E521="","",LEFT($E521,4))</f>
        <v/>
      </c>
    </row>
    <row r="522" customFormat="false" ht="12.75" hidden="false" customHeight="true" outlineLevel="0" collapsed="false">
      <c r="A522" s="101" t="str">
        <f aca="false">IF(DITARI!$D526="","",ROW()-1)</f>
        <v/>
      </c>
      <c r="B522" s="101" t="str">
        <f aca="false">IF(DITARI!$D526="","",DITARI!$A526)</f>
        <v/>
      </c>
      <c r="C522" s="101" t="str">
        <f aca="false">IF(DITARI!$D526="","",DITARI!$B526)</f>
        <v/>
      </c>
      <c r="D522" s="101" t="str">
        <f aca="false">IF(DITARI!$D526="","",DITARI!$C526)</f>
        <v/>
      </c>
      <c r="E522" s="101" t="str">
        <f aca="false">IF(DITARI!$D526="","",TRIM(DITARI!$D526&amp;""))</f>
        <v/>
      </c>
      <c r="F522" s="101" t="str">
        <f aca="false">IF($E522="","",IFERROR(VLOOKUP($E522,PLANI_LLOGARIVE!$A:$I,2,FALSE()),DITARI!$E526))</f>
        <v/>
      </c>
      <c r="G522" s="101" t="str">
        <f aca="false">IF($E522="","",DITARI!$I526)</f>
        <v/>
      </c>
      <c r="H522" s="101" t="str">
        <f aca="false">IFERROR(IF($E522="","",DITARI!$H526),"")</f>
        <v/>
      </c>
      <c r="I522" s="101" t="n">
        <f aca="false">IF($E522="",0,IFERROR(DITARI!$F526,0))</f>
        <v>0</v>
      </c>
      <c r="J522" s="101" t="n">
        <f aca="false">IF($E522="",0,IFERROR(DITARI!$G526,0))</f>
        <v>0</v>
      </c>
      <c r="K522" s="101" t="str">
        <f aca="false">IF($E522="","",IFERROR(VLOOKUP($E522,PLANI_LLOGARIVE!$A:$I,9,FALSE()),""))</f>
        <v/>
      </c>
      <c r="L522" s="101" t="str">
        <f aca="false">IF($E522="","",$I522-$J522)</f>
        <v/>
      </c>
      <c r="M522" s="101" t="str">
        <f aca="false">IF($E522="","",IF($I522&gt;0,"DEBIT",IF($J522&gt;0,"KREDIT","ZERO")))</f>
        <v/>
      </c>
      <c r="N522" s="101" t="str">
        <f aca="false">IF($E522="","",TEXT($B522,"yyyymmdd")&amp;"-"&amp;TEXT(ROW(),"0000"))</f>
        <v/>
      </c>
      <c r="O522" s="101" t="str">
        <f aca="false">IF($E522="","",$E522&amp;"")</f>
        <v/>
      </c>
      <c r="P522" s="101" t="str">
        <f aca="false">IF(AND($O522&lt;&gt;"",$I522&lt;&gt;0),COUNTIFS($O$2:O522,$O522,$I$2:I522,"&gt;0"),"")</f>
        <v/>
      </c>
      <c r="Q522" s="101" t="str">
        <f aca="false">IF(AND($O522&lt;&gt;"",$J522&lt;&gt;0),COUNTIFS($O$2:O522,$O522,$J$2:J522,"&gt;0"),"")</f>
        <v/>
      </c>
      <c r="R522" s="101" t="str">
        <f aca="false">IF($P522="","",$O522&amp;"|"&amp;$P522)</f>
        <v/>
      </c>
      <c r="S522" s="101" t="str">
        <f aca="false">IF($Q522="","",$O522&amp;"|"&amp;$Q522)</f>
        <v/>
      </c>
      <c r="T522" s="101" t="str">
        <f aca="false">IF($O522="","",COUNTIF($O$2:O522,$O522))</f>
        <v/>
      </c>
      <c r="U522" s="101" t="str">
        <f aca="false">IF($O522="","",$O522&amp;"|"&amp;$T522)</f>
        <v/>
      </c>
      <c r="V522" s="490" t="n">
        <f aca="false">IF(OR(LEFT($D522,5)="MB-CL",LEFT($D522,6)="MB-RES"),0,$I522)</f>
        <v>0</v>
      </c>
      <c r="W522" s="490" t="n">
        <f aca="false">IF(OR(LEFT($D522,5)="MB-CL",LEFT($D522,6)="MB-RES"),0,$J522)</f>
        <v>0</v>
      </c>
      <c r="X522" s="490" t="str">
        <f aca="false">IF($E522="","",LEFT($E522,1))</f>
        <v/>
      </c>
      <c r="Y522" s="490" t="str">
        <f aca="false">IF($E522="","",LEFT($E522,2))</f>
        <v/>
      </c>
      <c r="Z522" s="490" t="str">
        <f aca="false">IF($E522="","",LEFT($E522,3))</f>
        <v/>
      </c>
      <c r="AA522" s="490" t="str">
        <f aca="false">IF($E522="","",LEFT($E522,4))</f>
        <v/>
      </c>
    </row>
    <row r="523" customFormat="false" ht="12.75" hidden="false" customHeight="true" outlineLevel="0" collapsed="false">
      <c r="A523" s="101" t="str">
        <f aca="false">IF(DITARI!$D527="","",ROW()-1)</f>
        <v/>
      </c>
      <c r="B523" s="101" t="str">
        <f aca="false">IF(DITARI!$D527="","",DITARI!$A527)</f>
        <v/>
      </c>
      <c r="C523" s="101" t="str">
        <f aca="false">IF(DITARI!$D527="","",DITARI!$B527)</f>
        <v/>
      </c>
      <c r="D523" s="101" t="str">
        <f aca="false">IF(DITARI!$D527="","",DITARI!$C527)</f>
        <v/>
      </c>
      <c r="E523" s="101" t="str">
        <f aca="false">IF(DITARI!$D527="","",TRIM(DITARI!$D527&amp;""))</f>
        <v/>
      </c>
      <c r="F523" s="101" t="str">
        <f aca="false">IF($E523="","",IFERROR(VLOOKUP($E523,PLANI_LLOGARIVE!$A:$I,2,FALSE()),DITARI!$E527))</f>
        <v/>
      </c>
      <c r="G523" s="101" t="str">
        <f aca="false">IF($E523="","",DITARI!$I527)</f>
        <v/>
      </c>
      <c r="H523" s="101" t="str">
        <f aca="false">IFERROR(IF($E523="","",DITARI!$H527),"")</f>
        <v/>
      </c>
      <c r="I523" s="101" t="n">
        <f aca="false">IF($E523="",0,IFERROR(DITARI!$F527,0))</f>
        <v>0</v>
      </c>
      <c r="J523" s="101" t="n">
        <f aca="false">IF($E523="",0,IFERROR(DITARI!$G527,0))</f>
        <v>0</v>
      </c>
      <c r="K523" s="101" t="str">
        <f aca="false">IF($E523="","",IFERROR(VLOOKUP($E523,PLANI_LLOGARIVE!$A:$I,9,FALSE()),""))</f>
        <v/>
      </c>
      <c r="L523" s="101" t="str">
        <f aca="false">IF($E523="","",$I523-$J523)</f>
        <v/>
      </c>
      <c r="M523" s="101" t="str">
        <f aca="false">IF($E523="","",IF($I523&gt;0,"DEBIT",IF($J523&gt;0,"KREDIT","ZERO")))</f>
        <v/>
      </c>
      <c r="N523" s="101" t="str">
        <f aca="false">IF($E523="","",TEXT($B523,"yyyymmdd")&amp;"-"&amp;TEXT(ROW(),"0000"))</f>
        <v/>
      </c>
      <c r="O523" s="101" t="str">
        <f aca="false">IF($E523="","",$E523&amp;"")</f>
        <v/>
      </c>
      <c r="P523" s="101" t="str">
        <f aca="false">IF(AND($O523&lt;&gt;"",$I523&lt;&gt;0),COUNTIFS($O$2:O523,$O523,$I$2:I523,"&gt;0"),"")</f>
        <v/>
      </c>
      <c r="Q523" s="101" t="str">
        <f aca="false">IF(AND($O523&lt;&gt;"",$J523&lt;&gt;0),COUNTIFS($O$2:O523,$O523,$J$2:J523,"&gt;0"),"")</f>
        <v/>
      </c>
      <c r="R523" s="101" t="str">
        <f aca="false">IF($P523="","",$O523&amp;"|"&amp;$P523)</f>
        <v/>
      </c>
      <c r="S523" s="101" t="str">
        <f aca="false">IF($Q523="","",$O523&amp;"|"&amp;$Q523)</f>
        <v/>
      </c>
      <c r="T523" s="101" t="str">
        <f aca="false">IF($O523="","",COUNTIF($O$2:O523,$O523))</f>
        <v/>
      </c>
      <c r="U523" s="101" t="str">
        <f aca="false">IF($O523="","",$O523&amp;"|"&amp;$T523)</f>
        <v/>
      </c>
      <c r="V523" s="490" t="n">
        <f aca="false">IF(OR(LEFT($D523,5)="MB-CL",LEFT($D523,6)="MB-RES"),0,$I523)</f>
        <v>0</v>
      </c>
      <c r="W523" s="490" t="n">
        <f aca="false">IF(OR(LEFT($D523,5)="MB-CL",LEFT($D523,6)="MB-RES"),0,$J523)</f>
        <v>0</v>
      </c>
      <c r="X523" s="490" t="str">
        <f aca="false">IF($E523="","",LEFT($E523,1))</f>
        <v/>
      </c>
      <c r="Y523" s="490" t="str">
        <f aca="false">IF($E523="","",LEFT($E523,2))</f>
        <v/>
      </c>
      <c r="Z523" s="490" t="str">
        <f aca="false">IF($E523="","",LEFT($E523,3))</f>
        <v/>
      </c>
      <c r="AA523" s="490" t="str">
        <f aca="false">IF($E523="","",LEFT($E523,4))</f>
        <v/>
      </c>
    </row>
    <row r="524" customFormat="false" ht="12.75" hidden="false" customHeight="true" outlineLevel="0" collapsed="false">
      <c r="A524" s="101" t="str">
        <f aca="false">IF(DITARI!$D528="","",ROW()-1)</f>
        <v/>
      </c>
      <c r="B524" s="101" t="str">
        <f aca="false">IF(DITARI!$D528="","",DITARI!$A528)</f>
        <v/>
      </c>
      <c r="C524" s="101" t="str">
        <f aca="false">IF(DITARI!$D528="","",DITARI!$B528)</f>
        <v/>
      </c>
      <c r="D524" s="101" t="str">
        <f aca="false">IF(DITARI!$D528="","",DITARI!$C528)</f>
        <v/>
      </c>
      <c r="E524" s="101" t="str">
        <f aca="false">IF(DITARI!$D528="","",TRIM(DITARI!$D528&amp;""))</f>
        <v/>
      </c>
      <c r="F524" s="101" t="str">
        <f aca="false">IF($E524="","",IFERROR(VLOOKUP($E524,PLANI_LLOGARIVE!$A:$I,2,FALSE()),DITARI!$E528))</f>
        <v/>
      </c>
      <c r="G524" s="101" t="str">
        <f aca="false">IF($E524="","",DITARI!$I528)</f>
        <v/>
      </c>
      <c r="H524" s="101" t="str">
        <f aca="false">IFERROR(IF($E524="","",DITARI!$H528),"")</f>
        <v/>
      </c>
      <c r="I524" s="101" t="n">
        <f aca="false">IF($E524="",0,IFERROR(DITARI!$F528,0))</f>
        <v>0</v>
      </c>
      <c r="J524" s="101" t="n">
        <f aca="false">IF($E524="",0,IFERROR(DITARI!$G528,0))</f>
        <v>0</v>
      </c>
      <c r="K524" s="101" t="str">
        <f aca="false">IF($E524="","",IFERROR(VLOOKUP($E524,PLANI_LLOGARIVE!$A:$I,9,FALSE()),""))</f>
        <v/>
      </c>
      <c r="L524" s="101" t="str">
        <f aca="false">IF($E524="","",$I524-$J524)</f>
        <v/>
      </c>
      <c r="M524" s="101" t="str">
        <f aca="false">IF($E524="","",IF($I524&gt;0,"DEBIT",IF($J524&gt;0,"KREDIT","ZERO")))</f>
        <v/>
      </c>
      <c r="N524" s="101" t="str">
        <f aca="false">IF($E524="","",TEXT($B524,"yyyymmdd")&amp;"-"&amp;TEXT(ROW(),"0000"))</f>
        <v/>
      </c>
      <c r="O524" s="101" t="str">
        <f aca="false">IF($E524="","",$E524&amp;"")</f>
        <v/>
      </c>
      <c r="P524" s="101" t="str">
        <f aca="false">IF(AND($O524&lt;&gt;"",$I524&lt;&gt;0),COUNTIFS($O$2:O524,$O524,$I$2:I524,"&gt;0"),"")</f>
        <v/>
      </c>
      <c r="Q524" s="101" t="str">
        <f aca="false">IF(AND($O524&lt;&gt;"",$J524&lt;&gt;0),COUNTIFS($O$2:O524,$O524,$J$2:J524,"&gt;0"),"")</f>
        <v/>
      </c>
      <c r="R524" s="101" t="str">
        <f aca="false">IF($P524="","",$O524&amp;"|"&amp;$P524)</f>
        <v/>
      </c>
      <c r="S524" s="101" t="str">
        <f aca="false">IF($Q524="","",$O524&amp;"|"&amp;$Q524)</f>
        <v/>
      </c>
      <c r="T524" s="101" t="str">
        <f aca="false">IF($O524="","",COUNTIF($O$2:O524,$O524))</f>
        <v/>
      </c>
      <c r="U524" s="101" t="str">
        <f aca="false">IF($O524="","",$O524&amp;"|"&amp;$T524)</f>
        <v/>
      </c>
      <c r="V524" s="490" t="n">
        <f aca="false">IF(OR(LEFT($D524,5)="MB-CL",LEFT($D524,6)="MB-RES"),0,$I524)</f>
        <v>0</v>
      </c>
      <c r="W524" s="490" t="n">
        <f aca="false">IF(OR(LEFT($D524,5)="MB-CL",LEFT($D524,6)="MB-RES"),0,$J524)</f>
        <v>0</v>
      </c>
      <c r="X524" s="490" t="str">
        <f aca="false">IF($E524="","",LEFT($E524,1))</f>
        <v/>
      </c>
      <c r="Y524" s="490" t="str">
        <f aca="false">IF($E524="","",LEFT($E524,2))</f>
        <v/>
      </c>
      <c r="Z524" s="490" t="str">
        <f aca="false">IF($E524="","",LEFT($E524,3))</f>
        <v/>
      </c>
      <c r="AA524" s="490" t="str">
        <f aca="false">IF($E524="","",LEFT($E524,4))</f>
        <v/>
      </c>
    </row>
    <row r="525" customFormat="false" ht="12.75" hidden="false" customHeight="true" outlineLevel="0" collapsed="false">
      <c r="A525" s="101" t="str">
        <f aca="false">IF(DITARI!$D529="","",ROW()-1)</f>
        <v/>
      </c>
      <c r="B525" s="101" t="str">
        <f aca="false">IF(DITARI!$D529="","",DITARI!$A529)</f>
        <v/>
      </c>
      <c r="C525" s="101" t="str">
        <f aca="false">IF(DITARI!$D529="","",DITARI!$B529)</f>
        <v/>
      </c>
      <c r="D525" s="101" t="str">
        <f aca="false">IF(DITARI!$D529="","",DITARI!$C529)</f>
        <v/>
      </c>
      <c r="E525" s="101" t="str">
        <f aca="false">IF(DITARI!$D529="","",TRIM(DITARI!$D529&amp;""))</f>
        <v/>
      </c>
      <c r="F525" s="101" t="str">
        <f aca="false">IF($E525="","",IFERROR(VLOOKUP($E525,PLANI_LLOGARIVE!$A:$I,2,FALSE()),DITARI!$E529))</f>
        <v/>
      </c>
      <c r="G525" s="101" t="str">
        <f aca="false">IF($E525="","",DITARI!$I529)</f>
        <v/>
      </c>
      <c r="H525" s="101" t="str">
        <f aca="false">IFERROR(IF($E525="","",DITARI!$H529),"")</f>
        <v/>
      </c>
      <c r="I525" s="101" t="n">
        <f aca="false">IF($E525="",0,IFERROR(DITARI!$F529,0))</f>
        <v>0</v>
      </c>
      <c r="J525" s="101" t="n">
        <f aca="false">IF($E525="",0,IFERROR(DITARI!$G529,0))</f>
        <v>0</v>
      </c>
      <c r="K525" s="101" t="str">
        <f aca="false">IF($E525="","",IFERROR(VLOOKUP($E525,PLANI_LLOGARIVE!$A:$I,9,FALSE()),""))</f>
        <v/>
      </c>
      <c r="L525" s="101" t="str">
        <f aca="false">IF($E525="","",$I525-$J525)</f>
        <v/>
      </c>
      <c r="M525" s="101" t="str">
        <f aca="false">IF($E525="","",IF($I525&gt;0,"DEBIT",IF($J525&gt;0,"KREDIT","ZERO")))</f>
        <v/>
      </c>
      <c r="N525" s="101" t="str">
        <f aca="false">IF($E525="","",TEXT($B525,"yyyymmdd")&amp;"-"&amp;TEXT(ROW(),"0000"))</f>
        <v/>
      </c>
      <c r="O525" s="101" t="str">
        <f aca="false">IF($E525="","",$E525&amp;"")</f>
        <v/>
      </c>
      <c r="P525" s="101" t="str">
        <f aca="false">IF(AND($O525&lt;&gt;"",$I525&lt;&gt;0),COUNTIFS($O$2:O525,$O525,$I$2:I525,"&gt;0"),"")</f>
        <v/>
      </c>
      <c r="Q525" s="101" t="str">
        <f aca="false">IF(AND($O525&lt;&gt;"",$J525&lt;&gt;0),COUNTIFS($O$2:O525,$O525,$J$2:J525,"&gt;0"),"")</f>
        <v/>
      </c>
      <c r="R525" s="101" t="str">
        <f aca="false">IF($P525="","",$O525&amp;"|"&amp;$P525)</f>
        <v/>
      </c>
      <c r="S525" s="101" t="str">
        <f aca="false">IF($Q525="","",$O525&amp;"|"&amp;$Q525)</f>
        <v/>
      </c>
      <c r="T525" s="101" t="str">
        <f aca="false">IF($O525="","",COUNTIF($O$2:O525,$O525))</f>
        <v/>
      </c>
      <c r="U525" s="101" t="str">
        <f aca="false">IF($O525="","",$O525&amp;"|"&amp;$T525)</f>
        <v/>
      </c>
      <c r="V525" s="490" t="n">
        <f aca="false">IF(OR(LEFT($D525,5)="MB-CL",LEFT($D525,6)="MB-RES"),0,$I525)</f>
        <v>0</v>
      </c>
      <c r="W525" s="490" t="n">
        <f aca="false">IF(OR(LEFT($D525,5)="MB-CL",LEFT($D525,6)="MB-RES"),0,$J525)</f>
        <v>0</v>
      </c>
      <c r="X525" s="490" t="str">
        <f aca="false">IF($E525="","",LEFT($E525,1))</f>
        <v/>
      </c>
      <c r="Y525" s="490" t="str">
        <f aca="false">IF($E525="","",LEFT($E525,2))</f>
        <v/>
      </c>
      <c r="Z525" s="490" t="str">
        <f aca="false">IF($E525="","",LEFT($E525,3))</f>
        <v/>
      </c>
      <c r="AA525" s="490" t="str">
        <f aca="false">IF($E525="","",LEFT($E525,4))</f>
        <v/>
      </c>
    </row>
    <row r="526" customFormat="false" ht="12.75" hidden="false" customHeight="true" outlineLevel="0" collapsed="false">
      <c r="A526" s="101" t="str">
        <f aca="false">IF(DITARI!$D530="","",ROW()-1)</f>
        <v/>
      </c>
      <c r="B526" s="101" t="str">
        <f aca="false">IF(DITARI!$D530="","",DITARI!$A530)</f>
        <v/>
      </c>
      <c r="C526" s="101" t="str">
        <f aca="false">IF(DITARI!$D530="","",DITARI!$B530)</f>
        <v/>
      </c>
      <c r="D526" s="101" t="str">
        <f aca="false">IF(DITARI!$D530="","",DITARI!$C530)</f>
        <v/>
      </c>
      <c r="E526" s="101" t="str">
        <f aca="false">IF(DITARI!$D530="","",TRIM(DITARI!$D530&amp;""))</f>
        <v/>
      </c>
      <c r="F526" s="101" t="str">
        <f aca="false">IF($E526="","",IFERROR(VLOOKUP($E526,PLANI_LLOGARIVE!$A:$I,2,FALSE()),DITARI!$E530))</f>
        <v/>
      </c>
      <c r="G526" s="101" t="str">
        <f aca="false">IF($E526="","",DITARI!$I530)</f>
        <v/>
      </c>
      <c r="H526" s="101" t="str">
        <f aca="false">IFERROR(IF($E526="","",DITARI!$H530),"")</f>
        <v/>
      </c>
      <c r="I526" s="101" t="n">
        <f aca="false">IF($E526="",0,IFERROR(DITARI!$F530,0))</f>
        <v>0</v>
      </c>
      <c r="J526" s="101" t="n">
        <f aca="false">IF($E526="",0,IFERROR(DITARI!$G530,0))</f>
        <v>0</v>
      </c>
      <c r="K526" s="101" t="str">
        <f aca="false">IF($E526="","",IFERROR(VLOOKUP($E526,PLANI_LLOGARIVE!$A:$I,9,FALSE()),""))</f>
        <v/>
      </c>
      <c r="L526" s="101" t="str">
        <f aca="false">IF($E526="","",$I526-$J526)</f>
        <v/>
      </c>
      <c r="M526" s="101" t="str">
        <f aca="false">IF($E526="","",IF($I526&gt;0,"DEBIT",IF($J526&gt;0,"KREDIT","ZERO")))</f>
        <v/>
      </c>
      <c r="N526" s="101" t="str">
        <f aca="false">IF($E526="","",TEXT($B526,"yyyymmdd")&amp;"-"&amp;TEXT(ROW(),"0000"))</f>
        <v/>
      </c>
      <c r="O526" s="101" t="str">
        <f aca="false">IF($E526="","",$E526&amp;"")</f>
        <v/>
      </c>
      <c r="P526" s="101" t="str">
        <f aca="false">IF(AND($O526&lt;&gt;"",$I526&lt;&gt;0),COUNTIFS($O$2:O526,$O526,$I$2:I526,"&gt;0"),"")</f>
        <v/>
      </c>
      <c r="Q526" s="101" t="str">
        <f aca="false">IF(AND($O526&lt;&gt;"",$J526&lt;&gt;0),COUNTIFS($O$2:O526,$O526,$J$2:J526,"&gt;0"),"")</f>
        <v/>
      </c>
      <c r="R526" s="101" t="str">
        <f aca="false">IF($P526="","",$O526&amp;"|"&amp;$P526)</f>
        <v/>
      </c>
      <c r="S526" s="101" t="str">
        <f aca="false">IF($Q526="","",$O526&amp;"|"&amp;$Q526)</f>
        <v/>
      </c>
      <c r="T526" s="101" t="str">
        <f aca="false">IF($O526="","",COUNTIF($O$2:O526,$O526))</f>
        <v/>
      </c>
      <c r="U526" s="101" t="str">
        <f aca="false">IF($O526="","",$O526&amp;"|"&amp;$T526)</f>
        <v/>
      </c>
      <c r="V526" s="490" t="n">
        <f aca="false">IF(OR(LEFT($D526,5)="MB-CL",LEFT($D526,6)="MB-RES"),0,$I526)</f>
        <v>0</v>
      </c>
      <c r="W526" s="490" t="n">
        <f aca="false">IF(OR(LEFT($D526,5)="MB-CL",LEFT($D526,6)="MB-RES"),0,$J526)</f>
        <v>0</v>
      </c>
      <c r="X526" s="490" t="str">
        <f aca="false">IF($E526="","",LEFT($E526,1))</f>
        <v/>
      </c>
      <c r="Y526" s="490" t="str">
        <f aca="false">IF($E526="","",LEFT($E526,2))</f>
        <v/>
      </c>
      <c r="Z526" s="490" t="str">
        <f aca="false">IF($E526="","",LEFT($E526,3))</f>
        <v/>
      </c>
      <c r="AA526" s="490" t="str">
        <f aca="false">IF($E526="","",LEFT($E526,4))</f>
        <v/>
      </c>
    </row>
    <row r="527" customFormat="false" ht="12.75" hidden="false" customHeight="true" outlineLevel="0" collapsed="false">
      <c r="A527" s="101" t="str">
        <f aca="false">IF(DITARI!$D531="","",ROW()-1)</f>
        <v/>
      </c>
      <c r="B527" s="101" t="str">
        <f aca="false">IF(DITARI!$D531="","",DITARI!$A531)</f>
        <v/>
      </c>
      <c r="C527" s="101" t="str">
        <f aca="false">IF(DITARI!$D531="","",DITARI!$B531)</f>
        <v/>
      </c>
      <c r="D527" s="101" t="str">
        <f aca="false">IF(DITARI!$D531="","",DITARI!$C531)</f>
        <v/>
      </c>
      <c r="E527" s="101" t="str">
        <f aca="false">IF(DITARI!$D531="","",TRIM(DITARI!$D531&amp;""))</f>
        <v/>
      </c>
      <c r="F527" s="101" t="str">
        <f aca="false">IF($E527="","",IFERROR(VLOOKUP($E527,PLANI_LLOGARIVE!$A:$I,2,FALSE()),DITARI!$E531))</f>
        <v/>
      </c>
      <c r="G527" s="101" t="str">
        <f aca="false">IF($E527="","",DITARI!$I531)</f>
        <v/>
      </c>
      <c r="H527" s="101" t="str">
        <f aca="false">IFERROR(IF($E527="","",DITARI!$H531),"")</f>
        <v/>
      </c>
      <c r="I527" s="101" t="n">
        <f aca="false">IF($E527="",0,IFERROR(DITARI!$F531,0))</f>
        <v>0</v>
      </c>
      <c r="J527" s="101" t="n">
        <f aca="false">IF($E527="",0,IFERROR(DITARI!$G531,0))</f>
        <v>0</v>
      </c>
      <c r="K527" s="101" t="str">
        <f aca="false">IF($E527="","",IFERROR(VLOOKUP($E527,PLANI_LLOGARIVE!$A:$I,9,FALSE()),""))</f>
        <v/>
      </c>
      <c r="L527" s="101" t="str">
        <f aca="false">IF($E527="","",$I527-$J527)</f>
        <v/>
      </c>
      <c r="M527" s="101" t="str">
        <f aca="false">IF($E527="","",IF($I527&gt;0,"DEBIT",IF($J527&gt;0,"KREDIT","ZERO")))</f>
        <v/>
      </c>
      <c r="N527" s="101" t="str">
        <f aca="false">IF($E527="","",TEXT($B527,"yyyymmdd")&amp;"-"&amp;TEXT(ROW(),"0000"))</f>
        <v/>
      </c>
      <c r="O527" s="101" t="str">
        <f aca="false">IF($E527="","",$E527&amp;"")</f>
        <v/>
      </c>
      <c r="P527" s="101" t="str">
        <f aca="false">IF(AND($O527&lt;&gt;"",$I527&lt;&gt;0),COUNTIFS($O$2:O527,$O527,$I$2:I527,"&gt;0"),"")</f>
        <v/>
      </c>
      <c r="Q527" s="101" t="str">
        <f aca="false">IF(AND($O527&lt;&gt;"",$J527&lt;&gt;0),COUNTIFS($O$2:O527,$O527,$J$2:J527,"&gt;0"),"")</f>
        <v/>
      </c>
      <c r="R527" s="101" t="str">
        <f aca="false">IF($P527="","",$O527&amp;"|"&amp;$P527)</f>
        <v/>
      </c>
      <c r="S527" s="101" t="str">
        <f aca="false">IF($Q527="","",$O527&amp;"|"&amp;$Q527)</f>
        <v/>
      </c>
      <c r="T527" s="101" t="str">
        <f aca="false">IF($O527="","",COUNTIF($O$2:O527,$O527))</f>
        <v/>
      </c>
      <c r="U527" s="101" t="str">
        <f aca="false">IF($O527="","",$O527&amp;"|"&amp;$T527)</f>
        <v/>
      </c>
      <c r="V527" s="490" t="n">
        <f aca="false">IF(OR(LEFT($D527,5)="MB-CL",LEFT($D527,6)="MB-RES"),0,$I527)</f>
        <v>0</v>
      </c>
      <c r="W527" s="490" t="n">
        <f aca="false">IF(OR(LEFT($D527,5)="MB-CL",LEFT($D527,6)="MB-RES"),0,$J527)</f>
        <v>0</v>
      </c>
      <c r="X527" s="490" t="str">
        <f aca="false">IF($E527="","",LEFT($E527,1))</f>
        <v/>
      </c>
      <c r="Y527" s="490" t="str">
        <f aca="false">IF($E527="","",LEFT($E527,2))</f>
        <v/>
      </c>
      <c r="Z527" s="490" t="str">
        <f aca="false">IF($E527="","",LEFT($E527,3))</f>
        <v/>
      </c>
      <c r="AA527" s="490" t="str">
        <f aca="false">IF($E527="","",LEFT($E527,4))</f>
        <v/>
      </c>
    </row>
    <row r="528" customFormat="false" ht="12.75" hidden="false" customHeight="true" outlineLevel="0" collapsed="false">
      <c r="A528" s="101" t="str">
        <f aca="false">IF(DITARI!$D532="","",ROW()-1)</f>
        <v/>
      </c>
      <c r="B528" s="101" t="str">
        <f aca="false">IF(DITARI!$D532="","",DITARI!$A532)</f>
        <v/>
      </c>
      <c r="C528" s="101" t="str">
        <f aca="false">IF(DITARI!$D532="","",DITARI!$B532)</f>
        <v/>
      </c>
      <c r="D528" s="101" t="str">
        <f aca="false">IF(DITARI!$D532="","",DITARI!$C532)</f>
        <v/>
      </c>
      <c r="E528" s="101" t="str">
        <f aca="false">IF(DITARI!$D532="","",TRIM(DITARI!$D532&amp;""))</f>
        <v/>
      </c>
      <c r="F528" s="101" t="str">
        <f aca="false">IF($E528="","",IFERROR(VLOOKUP($E528,PLANI_LLOGARIVE!$A:$I,2,FALSE()),DITARI!$E532))</f>
        <v/>
      </c>
      <c r="G528" s="101" t="str">
        <f aca="false">IF($E528="","",DITARI!$I532)</f>
        <v/>
      </c>
      <c r="H528" s="101" t="str">
        <f aca="false">IFERROR(IF($E528="","",DITARI!$H532),"")</f>
        <v/>
      </c>
      <c r="I528" s="101" t="n">
        <f aca="false">IF($E528="",0,IFERROR(DITARI!$F532,0))</f>
        <v>0</v>
      </c>
      <c r="J528" s="101" t="n">
        <f aca="false">IF($E528="",0,IFERROR(DITARI!$G532,0))</f>
        <v>0</v>
      </c>
      <c r="K528" s="101" t="str">
        <f aca="false">IF($E528="","",IFERROR(VLOOKUP($E528,PLANI_LLOGARIVE!$A:$I,9,FALSE()),""))</f>
        <v/>
      </c>
      <c r="L528" s="101" t="str">
        <f aca="false">IF($E528="","",$I528-$J528)</f>
        <v/>
      </c>
      <c r="M528" s="101" t="str">
        <f aca="false">IF($E528="","",IF($I528&gt;0,"DEBIT",IF($J528&gt;0,"KREDIT","ZERO")))</f>
        <v/>
      </c>
      <c r="N528" s="101" t="str">
        <f aca="false">IF($E528="","",TEXT($B528,"yyyymmdd")&amp;"-"&amp;TEXT(ROW(),"0000"))</f>
        <v/>
      </c>
      <c r="O528" s="101" t="str">
        <f aca="false">IF($E528="","",$E528&amp;"")</f>
        <v/>
      </c>
      <c r="P528" s="101" t="str">
        <f aca="false">IF(AND($O528&lt;&gt;"",$I528&lt;&gt;0),COUNTIFS($O$2:O528,$O528,$I$2:I528,"&gt;0"),"")</f>
        <v/>
      </c>
      <c r="Q528" s="101" t="str">
        <f aca="false">IF(AND($O528&lt;&gt;"",$J528&lt;&gt;0),COUNTIFS($O$2:O528,$O528,$J$2:J528,"&gt;0"),"")</f>
        <v/>
      </c>
      <c r="R528" s="101" t="str">
        <f aca="false">IF($P528="","",$O528&amp;"|"&amp;$P528)</f>
        <v/>
      </c>
      <c r="S528" s="101" t="str">
        <f aca="false">IF($Q528="","",$O528&amp;"|"&amp;$Q528)</f>
        <v/>
      </c>
      <c r="T528" s="101" t="str">
        <f aca="false">IF($O528="","",COUNTIF($O$2:O528,$O528))</f>
        <v/>
      </c>
      <c r="U528" s="101" t="str">
        <f aca="false">IF($O528="","",$O528&amp;"|"&amp;$T528)</f>
        <v/>
      </c>
      <c r="V528" s="490" t="n">
        <f aca="false">IF(OR(LEFT($D528,5)="MB-CL",LEFT($D528,6)="MB-RES"),0,$I528)</f>
        <v>0</v>
      </c>
      <c r="W528" s="490" t="n">
        <f aca="false">IF(OR(LEFT($D528,5)="MB-CL",LEFT($D528,6)="MB-RES"),0,$J528)</f>
        <v>0</v>
      </c>
      <c r="X528" s="490" t="str">
        <f aca="false">IF($E528="","",LEFT($E528,1))</f>
        <v/>
      </c>
      <c r="Y528" s="490" t="str">
        <f aca="false">IF($E528="","",LEFT($E528,2))</f>
        <v/>
      </c>
      <c r="Z528" s="490" t="str">
        <f aca="false">IF($E528="","",LEFT($E528,3))</f>
        <v/>
      </c>
      <c r="AA528" s="490" t="str">
        <f aca="false">IF($E528="","",LEFT($E528,4))</f>
        <v/>
      </c>
    </row>
    <row r="529" customFormat="false" ht="12.75" hidden="false" customHeight="true" outlineLevel="0" collapsed="false">
      <c r="A529" s="101" t="str">
        <f aca="false">IF(DITARI!$D533="","",ROW()-1)</f>
        <v/>
      </c>
      <c r="B529" s="101" t="str">
        <f aca="false">IF(DITARI!$D533="","",DITARI!$A533)</f>
        <v/>
      </c>
      <c r="C529" s="101" t="str">
        <f aca="false">IF(DITARI!$D533="","",DITARI!$B533)</f>
        <v/>
      </c>
      <c r="D529" s="101" t="str">
        <f aca="false">IF(DITARI!$D533="","",DITARI!$C533)</f>
        <v/>
      </c>
      <c r="E529" s="101" t="str">
        <f aca="false">IF(DITARI!$D533="","",TRIM(DITARI!$D533&amp;""))</f>
        <v/>
      </c>
      <c r="F529" s="101" t="str">
        <f aca="false">IF($E529="","",IFERROR(VLOOKUP($E529,PLANI_LLOGARIVE!$A:$I,2,FALSE()),DITARI!$E533))</f>
        <v/>
      </c>
      <c r="G529" s="101" t="str">
        <f aca="false">IF($E529="","",DITARI!$I533)</f>
        <v/>
      </c>
      <c r="H529" s="101" t="str">
        <f aca="false">IFERROR(IF($E529="","",DITARI!$H533),"")</f>
        <v/>
      </c>
      <c r="I529" s="101" t="n">
        <f aca="false">IF($E529="",0,IFERROR(DITARI!$F533,0))</f>
        <v>0</v>
      </c>
      <c r="J529" s="101" t="n">
        <f aca="false">IF($E529="",0,IFERROR(DITARI!$G533,0))</f>
        <v>0</v>
      </c>
      <c r="K529" s="101" t="str">
        <f aca="false">IF($E529="","",IFERROR(VLOOKUP($E529,PLANI_LLOGARIVE!$A:$I,9,FALSE()),""))</f>
        <v/>
      </c>
      <c r="L529" s="101" t="str">
        <f aca="false">IF($E529="","",$I529-$J529)</f>
        <v/>
      </c>
      <c r="M529" s="101" t="str">
        <f aca="false">IF($E529="","",IF($I529&gt;0,"DEBIT",IF($J529&gt;0,"KREDIT","ZERO")))</f>
        <v/>
      </c>
      <c r="N529" s="101" t="str">
        <f aca="false">IF($E529="","",TEXT($B529,"yyyymmdd")&amp;"-"&amp;TEXT(ROW(),"0000"))</f>
        <v/>
      </c>
      <c r="O529" s="101" t="str">
        <f aca="false">IF($E529="","",$E529&amp;"")</f>
        <v/>
      </c>
      <c r="P529" s="101" t="str">
        <f aca="false">IF(AND($O529&lt;&gt;"",$I529&lt;&gt;0),COUNTIFS($O$2:O529,$O529,$I$2:I529,"&gt;0"),"")</f>
        <v/>
      </c>
      <c r="Q529" s="101" t="str">
        <f aca="false">IF(AND($O529&lt;&gt;"",$J529&lt;&gt;0),COUNTIFS($O$2:O529,$O529,$J$2:J529,"&gt;0"),"")</f>
        <v/>
      </c>
      <c r="R529" s="101" t="str">
        <f aca="false">IF($P529="","",$O529&amp;"|"&amp;$P529)</f>
        <v/>
      </c>
      <c r="S529" s="101" t="str">
        <f aca="false">IF($Q529="","",$O529&amp;"|"&amp;$Q529)</f>
        <v/>
      </c>
      <c r="T529" s="101" t="str">
        <f aca="false">IF($O529="","",COUNTIF($O$2:O529,$O529))</f>
        <v/>
      </c>
      <c r="U529" s="101" t="str">
        <f aca="false">IF($O529="","",$O529&amp;"|"&amp;$T529)</f>
        <v/>
      </c>
      <c r="V529" s="490" t="n">
        <f aca="false">IF(OR(LEFT($D529,5)="MB-CL",LEFT($D529,6)="MB-RES"),0,$I529)</f>
        <v>0</v>
      </c>
      <c r="W529" s="490" t="n">
        <f aca="false">IF(OR(LEFT($D529,5)="MB-CL",LEFT($D529,6)="MB-RES"),0,$J529)</f>
        <v>0</v>
      </c>
      <c r="X529" s="490" t="str">
        <f aca="false">IF($E529="","",LEFT($E529,1))</f>
        <v/>
      </c>
      <c r="Y529" s="490" t="str">
        <f aca="false">IF($E529="","",LEFT($E529,2))</f>
        <v/>
      </c>
      <c r="Z529" s="490" t="str">
        <f aca="false">IF($E529="","",LEFT($E529,3))</f>
        <v/>
      </c>
      <c r="AA529" s="490" t="str">
        <f aca="false">IF($E529="","",LEFT($E529,4))</f>
        <v/>
      </c>
    </row>
    <row r="530" customFormat="false" ht="12.75" hidden="false" customHeight="true" outlineLevel="0" collapsed="false">
      <c r="A530" s="101" t="str">
        <f aca="false">IF(DITARI!$D534="","",ROW()-1)</f>
        <v/>
      </c>
      <c r="B530" s="101" t="str">
        <f aca="false">IF(DITARI!$D534="","",DITARI!$A534)</f>
        <v/>
      </c>
      <c r="C530" s="101" t="str">
        <f aca="false">IF(DITARI!$D534="","",DITARI!$B534)</f>
        <v/>
      </c>
      <c r="D530" s="101" t="str">
        <f aca="false">IF(DITARI!$D534="","",DITARI!$C534)</f>
        <v/>
      </c>
      <c r="E530" s="101" t="str">
        <f aca="false">IF(DITARI!$D534="","",TRIM(DITARI!$D534&amp;""))</f>
        <v/>
      </c>
      <c r="F530" s="101" t="str">
        <f aca="false">IF($E530="","",IFERROR(VLOOKUP($E530,PLANI_LLOGARIVE!$A:$I,2,FALSE()),DITARI!$E534))</f>
        <v/>
      </c>
      <c r="G530" s="101" t="str">
        <f aca="false">IF($E530="","",DITARI!$I534)</f>
        <v/>
      </c>
      <c r="H530" s="101" t="str">
        <f aca="false">IFERROR(IF($E530="","",DITARI!$H534),"")</f>
        <v/>
      </c>
      <c r="I530" s="101" t="n">
        <f aca="false">IF($E530="",0,IFERROR(DITARI!$F534,0))</f>
        <v>0</v>
      </c>
      <c r="J530" s="101" t="n">
        <f aca="false">IF($E530="",0,IFERROR(DITARI!$G534,0))</f>
        <v>0</v>
      </c>
      <c r="K530" s="101" t="str">
        <f aca="false">IF($E530="","",IFERROR(VLOOKUP($E530,PLANI_LLOGARIVE!$A:$I,9,FALSE()),""))</f>
        <v/>
      </c>
      <c r="L530" s="101" t="str">
        <f aca="false">IF($E530="","",$I530-$J530)</f>
        <v/>
      </c>
      <c r="M530" s="101" t="str">
        <f aca="false">IF($E530="","",IF($I530&gt;0,"DEBIT",IF($J530&gt;0,"KREDIT","ZERO")))</f>
        <v/>
      </c>
      <c r="N530" s="101" t="str">
        <f aca="false">IF($E530="","",TEXT($B530,"yyyymmdd")&amp;"-"&amp;TEXT(ROW(),"0000"))</f>
        <v/>
      </c>
      <c r="O530" s="101" t="str">
        <f aca="false">IF($E530="","",$E530&amp;"")</f>
        <v/>
      </c>
      <c r="P530" s="101" t="str">
        <f aca="false">IF(AND($O530&lt;&gt;"",$I530&lt;&gt;0),COUNTIFS($O$2:O530,$O530,$I$2:I530,"&gt;0"),"")</f>
        <v/>
      </c>
      <c r="Q530" s="101" t="str">
        <f aca="false">IF(AND($O530&lt;&gt;"",$J530&lt;&gt;0),COUNTIFS($O$2:O530,$O530,$J$2:J530,"&gt;0"),"")</f>
        <v/>
      </c>
      <c r="R530" s="101" t="str">
        <f aca="false">IF($P530="","",$O530&amp;"|"&amp;$P530)</f>
        <v/>
      </c>
      <c r="S530" s="101" t="str">
        <f aca="false">IF($Q530="","",$O530&amp;"|"&amp;$Q530)</f>
        <v/>
      </c>
      <c r="T530" s="101" t="str">
        <f aca="false">IF($O530="","",COUNTIF($O$2:O530,$O530))</f>
        <v/>
      </c>
      <c r="U530" s="101" t="str">
        <f aca="false">IF($O530="","",$O530&amp;"|"&amp;$T530)</f>
        <v/>
      </c>
      <c r="V530" s="490" t="n">
        <f aca="false">IF(OR(LEFT($D530,5)="MB-CL",LEFT($D530,6)="MB-RES"),0,$I530)</f>
        <v>0</v>
      </c>
      <c r="W530" s="490" t="n">
        <f aca="false">IF(OR(LEFT($D530,5)="MB-CL",LEFT($D530,6)="MB-RES"),0,$J530)</f>
        <v>0</v>
      </c>
      <c r="X530" s="490" t="str">
        <f aca="false">IF($E530="","",LEFT($E530,1))</f>
        <v/>
      </c>
      <c r="Y530" s="490" t="str">
        <f aca="false">IF($E530="","",LEFT($E530,2))</f>
        <v/>
      </c>
      <c r="Z530" s="490" t="str">
        <f aca="false">IF($E530="","",LEFT($E530,3))</f>
        <v/>
      </c>
      <c r="AA530" s="490" t="str">
        <f aca="false">IF($E530="","",LEFT($E530,4))</f>
        <v/>
      </c>
    </row>
    <row r="531" customFormat="false" ht="12.75" hidden="false" customHeight="true" outlineLevel="0" collapsed="false">
      <c r="A531" s="101" t="str">
        <f aca="false">IF(DITARI!$D535="","",ROW()-1)</f>
        <v/>
      </c>
      <c r="B531" s="101" t="str">
        <f aca="false">IF(DITARI!$D535="","",DITARI!$A535)</f>
        <v/>
      </c>
      <c r="C531" s="101" t="str">
        <f aca="false">IF(DITARI!$D535="","",DITARI!$B535)</f>
        <v/>
      </c>
      <c r="D531" s="101" t="str">
        <f aca="false">IF(DITARI!$D535="","",DITARI!$C535)</f>
        <v/>
      </c>
      <c r="E531" s="101" t="str">
        <f aca="false">IF(DITARI!$D535="","",TRIM(DITARI!$D535&amp;""))</f>
        <v/>
      </c>
      <c r="F531" s="101" t="str">
        <f aca="false">IF($E531="","",IFERROR(VLOOKUP($E531,PLANI_LLOGARIVE!$A:$I,2,FALSE()),DITARI!$E535))</f>
        <v/>
      </c>
      <c r="G531" s="101" t="str">
        <f aca="false">IF($E531="","",DITARI!$I535)</f>
        <v/>
      </c>
      <c r="H531" s="101" t="str">
        <f aca="false">IFERROR(IF($E531="","",DITARI!$H535),"")</f>
        <v/>
      </c>
      <c r="I531" s="101" t="n">
        <f aca="false">IF($E531="",0,IFERROR(DITARI!$F535,0))</f>
        <v>0</v>
      </c>
      <c r="J531" s="101" t="n">
        <f aca="false">IF($E531="",0,IFERROR(DITARI!$G535,0))</f>
        <v>0</v>
      </c>
      <c r="K531" s="101" t="str">
        <f aca="false">IF($E531="","",IFERROR(VLOOKUP($E531,PLANI_LLOGARIVE!$A:$I,9,FALSE()),""))</f>
        <v/>
      </c>
      <c r="L531" s="101" t="str">
        <f aca="false">IF($E531="","",$I531-$J531)</f>
        <v/>
      </c>
      <c r="M531" s="101" t="str">
        <f aca="false">IF($E531="","",IF($I531&gt;0,"DEBIT",IF($J531&gt;0,"KREDIT","ZERO")))</f>
        <v/>
      </c>
      <c r="N531" s="101" t="str">
        <f aca="false">IF($E531="","",TEXT($B531,"yyyymmdd")&amp;"-"&amp;TEXT(ROW(),"0000"))</f>
        <v/>
      </c>
      <c r="O531" s="101" t="str">
        <f aca="false">IF($E531="","",$E531&amp;"")</f>
        <v/>
      </c>
      <c r="P531" s="101" t="str">
        <f aca="false">IF(AND($O531&lt;&gt;"",$I531&lt;&gt;0),COUNTIFS($O$2:O531,$O531,$I$2:I531,"&gt;0"),"")</f>
        <v/>
      </c>
      <c r="Q531" s="101" t="str">
        <f aca="false">IF(AND($O531&lt;&gt;"",$J531&lt;&gt;0),COUNTIFS($O$2:O531,$O531,$J$2:J531,"&gt;0"),"")</f>
        <v/>
      </c>
      <c r="R531" s="101" t="str">
        <f aca="false">IF($P531="","",$O531&amp;"|"&amp;$P531)</f>
        <v/>
      </c>
      <c r="S531" s="101" t="str">
        <f aca="false">IF($Q531="","",$O531&amp;"|"&amp;$Q531)</f>
        <v/>
      </c>
      <c r="T531" s="101" t="str">
        <f aca="false">IF($O531="","",COUNTIF($O$2:O531,$O531))</f>
        <v/>
      </c>
      <c r="U531" s="101" t="str">
        <f aca="false">IF($O531="","",$O531&amp;"|"&amp;$T531)</f>
        <v/>
      </c>
      <c r="V531" s="490" t="n">
        <f aca="false">IF(OR(LEFT($D531,5)="MB-CL",LEFT($D531,6)="MB-RES"),0,$I531)</f>
        <v>0</v>
      </c>
      <c r="W531" s="490" t="n">
        <f aca="false">IF(OR(LEFT($D531,5)="MB-CL",LEFT($D531,6)="MB-RES"),0,$J531)</f>
        <v>0</v>
      </c>
      <c r="X531" s="490" t="str">
        <f aca="false">IF($E531="","",LEFT($E531,1))</f>
        <v/>
      </c>
      <c r="Y531" s="490" t="str">
        <f aca="false">IF($E531="","",LEFT($E531,2))</f>
        <v/>
      </c>
      <c r="Z531" s="490" t="str">
        <f aca="false">IF($E531="","",LEFT($E531,3))</f>
        <v/>
      </c>
      <c r="AA531" s="490" t="str">
        <f aca="false">IF($E531="","",LEFT($E531,4))</f>
        <v/>
      </c>
    </row>
    <row r="532" customFormat="false" ht="12.75" hidden="false" customHeight="true" outlineLevel="0" collapsed="false">
      <c r="A532" s="101" t="str">
        <f aca="false">IF(DITARI!$D536="","",ROW()-1)</f>
        <v/>
      </c>
      <c r="B532" s="101" t="str">
        <f aca="false">IF(DITARI!$D536="","",DITARI!$A536)</f>
        <v/>
      </c>
      <c r="C532" s="101" t="str">
        <f aca="false">IF(DITARI!$D536="","",DITARI!$B536)</f>
        <v/>
      </c>
      <c r="D532" s="101" t="str">
        <f aca="false">IF(DITARI!$D536="","",DITARI!$C536)</f>
        <v/>
      </c>
      <c r="E532" s="101" t="str">
        <f aca="false">IF(DITARI!$D536="","",TRIM(DITARI!$D536&amp;""))</f>
        <v/>
      </c>
      <c r="F532" s="101" t="str">
        <f aca="false">IF($E532="","",IFERROR(VLOOKUP($E532,PLANI_LLOGARIVE!$A:$I,2,FALSE()),DITARI!$E536))</f>
        <v/>
      </c>
      <c r="G532" s="101" t="str">
        <f aca="false">IF($E532="","",DITARI!$I536)</f>
        <v/>
      </c>
      <c r="H532" s="101" t="str">
        <f aca="false">IFERROR(IF($E532="","",DITARI!$H536),"")</f>
        <v/>
      </c>
      <c r="I532" s="101" t="n">
        <f aca="false">IF($E532="",0,IFERROR(DITARI!$F536,0))</f>
        <v>0</v>
      </c>
      <c r="J532" s="101" t="n">
        <f aca="false">IF($E532="",0,IFERROR(DITARI!$G536,0))</f>
        <v>0</v>
      </c>
      <c r="K532" s="101" t="str">
        <f aca="false">IF($E532="","",IFERROR(VLOOKUP($E532,PLANI_LLOGARIVE!$A:$I,9,FALSE()),""))</f>
        <v/>
      </c>
      <c r="L532" s="101" t="str">
        <f aca="false">IF($E532="","",$I532-$J532)</f>
        <v/>
      </c>
      <c r="M532" s="101" t="str">
        <f aca="false">IF($E532="","",IF($I532&gt;0,"DEBIT",IF($J532&gt;0,"KREDIT","ZERO")))</f>
        <v/>
      </c>
      <c r="N532" s="101" t="str">
        <f aca="false">IF($E532="","",TEXT($B532,"yyyymmdd")&amp;"-"&amp;TEXT(ROW(),"0000"))</f>
        <v/>
      </c>
      <c r="O532" s="101" t="str">
        <f aca="false">IF($E532="","",$E532&amp;"")</f>
        <v/>
      </c>
      <c r="P532" s="101" t="str">
        <f aca="false">IF(AND($O532&lt;&gt;"",$I532&lt;&gt;0),COUNTIFS($O$2:O532,$O532,$I$2:I532,"&gt;0"),"")</f>
        <v/>
      </c>
      <c r="Q532" s="101" t="str">
        <f aca="false">IF(AND($O532&lt;&gt;"",$J532&lt;&gt;0),COUNTIFS($O$2:O532,$O532,$J$2:J532,"&gt;0"),"")</f>
        <v/>
      </c>
      <c r="R532" s="101" t="str">
        <f aca="false">IF($P532="","",$O532&amp;"|"&amp;$P532)</f>
        <v/>
      </c>
      <c r="S532" s="101" t="str">
        <f aca="false">IF($Q532="","",$O532&amp;"|"&amp;$Q532)</f>
        <v/>
      </c>
      <c r="T532" s="101" t="str">
        <f aca="false">IF($O532="","",COUNTIF($O$2:O532,$O532))</f>
        <v/>
      </c>
      <c r="U532" s="101" t="str">
        <f aca="false">IF($O532="","",$O532&amp;"|"&amp;$T532)</f>
        <v/>
      </c>
      <c r="V532" s="490" t="n">
        <f aca="false">IF(OR(LEFT($D532,5)="MB-CL",LEFT($D532,6)="MB-RES"),0,$I532)</f>
        <v>0</v>
      </c>
      <c r="W532" s="490" t="n">
        <f aca="false">IF(OR(LEFT($D532,5)="MB-CL",LEFT($D532,6)="MB-RES"),0,$J532)</f>
        <v>0</v>
      </c>
      <c r="X532" s="490" t="str">
        <f aca="false">IF($E532="","",LEFT($E532,1))</f>
        <v/>
      </c>
      <c r="Y532" s="490" t="str">
        <f aca="false">IF($E532="","",LEFT($E532,2))</f>
        <v/>
      </c>
      <c r="Z532" s="490" t="str">
        <f aca="false">IF($E532="","",LEFT($E532,3))</f>
        <v/>
      </c>
      <c r="AA532" s="490" t="str">
        <f aca="false">IF($E532="","",LEFT($E532,4))</f>
        <v/>
      </c>
    </row>
    <row r="533" customFormat="false" ht="12.75" hidden="false" customHeight="true" outlineLevel="0" collapsed="false">
      <c r="A533" s="101" t="str">
        <f aca="false">IF(DITARI!$D537="","",ROW()-1)</f>
        <v/>
      </c>
      <c r="B533" s="101" t="str">
        <f aca="false">IF(DITARI!$D537="","",DITARI!$A537)</f>
        <v/>
      </c>
      <c r="C533" s="101" t="str">
        <f aca="false">IF(DITARI!$D537="","",DITARI!$B537)</f>
        <v/>
      </c>
      <c r="D533" s="101" t="str">
        <f aca="false">IF(DITARI!$D537="","",DITARI!$C537)</f>
        <v/>
      </c>
      <c r="E533" s="101" t="str">
        <f aca="false">IF(DITARI!$D537="","",TRIM(DITARI!$D537&amp;""))</f>
        <v/>
      </c>
      <c r="F533" s="101" t="str">
        <f aca="false">IF($E533="","",IFERROR(VLOOKUP($E533,PLANI_LLOGARIVE!$A:$I,2,FALSE()),DITARI!$E537))</f>
        <v/>
      </c>
      <c r="G533" s="101" t="str">
        <f aca="false">IF($E533="","",DITARI!$I537)</f>
        <v/>
      </c>
      <c r="H533" s="101" t="str">
        <f aca="false">IFERROR(IF($E533="","",DITARI!$H537),"")</f>
        <v/>
      </c>
      <c r="I533" s="101" t="n">
        <f aca="false">IF($E533="",0,IFERROR(DITARI!$F537,0))</f>
        <v>0</v>
      </c>
      <c r="J533" s="101" t="n">
        <f aca="false">IF($E533="",0,IFERROR(DITARI!$G537,0))</f>
        <v>0</v>
      </c>
      <c r="K533" s="101" t="str">
        <f aca="false">IF($E533="","",IFERROR(VLOOKUP($E533,PLANI_LLOGARIVE!$A:$I,9,FALSE()),""))</f>
        <v/>
      </c>
      <c r="L533" s="101" t="str">
        <f aca="false">IF($E533="","",$I533-$J533)</f>
        <v/>
      </c>
      <c r="M533" s="101" t="str">
        <f aca="false">IF($E533="","",IF($I533&gt;0,"DEBIT",IF($J533&gt;0,"KREDIT","ZERO")))</f>
        <v/>
      </c>
      <c r="N533" s="101" t="str">
        <f aca="false">IF($E533="","",TEXT($B533,"yyyymmdd")&amp;"-"&amp;TEXT(ROW(),"0000"))</f>
        <v/>
      </c>
      <c r="O533" s="101" t="str">
        <f aca="false">IF($E533="","",$E533&amp;"")</f>
        <v/>
      </c>
      <c r="P533" s="101" t="str">
        <f aca="false">IF(AND($O533&lt;&gt;"",$I533&lt;&gt;0),COUNTIFS($O$2:O533,$O533,$I$2:I533,"&gt;0"),"")</f>
        <v/>
      </c>
      <c r="Q533" s="101" t="str">
        <f aca="false">IF(AND($O533&lt;&gt;"",$J533&lt;&gt;0),COUNTIFS($O$2:O533,$O533,$J$2:J533,"&gt;0"),"")</f>
        <v/>
      </c>
      <c r="R533" s="101" t="str">
        <f aca="false">IF($P533="","",$O533&amp;"|"&amp;$P533)</f>
        <v/>
      </c>
      <c r="S533" s="101" t="str">
        <f aca="false">IF($Q533="","",$O533&amp;"|"&amp;$Q533)</f>
        <v/>
      </c>
      <c r="T533" s="101" t="str">
        <f aca="false">IF($O533="","",COUNTIF($O$2:O533,$O533))</f>
        <v/>
      </c>
      <c r="U533" s="101" t="str">
        <f aca="false">IF($O533="","",$O533&amp;"|"&amp;$T533)</f>
        <v/>
      </c>
      <c r="V533" s="490" t="n">
        <f aca="false">IF(OR(LEFT($D533,5)="MB-CL",LEFT($D533,6)="MB-RES"),0,$I533)</f>
        <v>0</v>
      </c>
      <c r="W533" s="490" t="n">
        <f aca="false">IF(OR(LEFT($D533,5)="MB-CL",LEFT($D533,6)="MB-RES"),0,$J533)</f>
        <v>0</v>
      </c>
      <c r="X533" s="490" t="str">
        <f aca="false">IF($E533="","",LEFT($E533,1))</f>
        <v/>
      </c>
      <c r="Y533" s="490" t="str">
        <f aca="false">IF($E533="","",LEFT($E533,2))</f>
        <v/>
      </c>
      <c r="Z533" s="490" t="str">
        <f aca="false">IF($E533="","",LEFT($E533,3))</f>
        <v/>
      </c>
      <c r="AA533" s="490" t="str">
        <f aca="false">IF($E533="","",LEFT($E533,4))</f>
        <v/>
      </c>
    </row>
    <row r="534" customFormat="false" ht="12.75" hidden="false" customHeight="true" outlineLevel="0" collapsed="false">
      <c r="A534" s="101" t="str">
        <f aca="false">IF(DITARI!$D538="","",ROW()-1)</f>
        <v/>
      </c>
      <c r="B534" s="101" t="str">
        <f aca="false">IF(DITARI!$D538="","",DITARI!$A538)</f>
        <v/>
      </c>
      <c r="C534" s="101" t="str">
        <f aca="false">IF(DITARI!$D538="","",DITARI!$B538)</f>
        <v/>
      </c>
      <c r="D534" s="101" t="str">
        <f aca="false">IF(DITARI!$D538="","",DITARI!$C538)</f>
        <v/>
      </c>
      <c r="E534" s="101" t="str">
        <f aca="false">IF(DITARI!$D538="","",TRIM(DITARI!$D538&amp;""))</f>
        <v/>
      </c>
      <c r="F534" s="101" t="str">
        <f aca="false">IF($E534="","",IFERROR(VLOOKUP($E534,PLANI_LLOGARIVE!$A:$I,2,FALSE()),DITARI!$E538))</f>
        <v/>
      </c>
      <c r="G534" s="101" t="str">
        <f aca="false">IF($E534="","",DITARI!$I538)</f>
        <v/>
      </c>
      <c r="H534" s="101" t="str">
        <f aca="false">IFERROR(IF($E534="","",DITARI!$H538),"")</f>
        <v/>
      </c>
      <c r="I534" s="101" t="n">
        <f aca="false">IF($E534="",0,IFERROR(DITARI!$F538,0))</f>
        <v>0</v>
      </c>
      <c r="J534" s="101" t="n">
        <f aca="false">IF($E534="",0,IFERROR(DITARI!$G538,0))</f>
        <v>0</v>
      </c>
      <c r="K534" s="101" t="str">
        <f aca="false">IF($E534="","",IFERROR(VLOOKUP($E534,PLANI_LLOGARIVE!$A:$I,9,FALSE()),""))</f>
        <v/>
      </c>
      <c r="L534" s="101" t="str">
        <f aca="false">IF($E534="","",$I534-$J534)</f>
        <v/>
      </c>
      <c r="M534" s="101" t="str">
        <f aca="false">IF($E534="","",IF($I534&gt;0,"DEBIT",IF($J534&gt;0,"KREDIT","ZERO")))</f>
        <v/>
      </c>
      <c r="N534" s="101" t="str">
        <f aca="false">IF($E534="","",TEXT($B534,"yyyymmdd")&amp;"-"&amp;TEXT(ROW(),"0000"))</f>
        <v/>
      </c>
      <c r="O534" s="101" t="str">
        <f aca="false">IF($E534="","",$E534&amp;"")</f>
        <v/>
      </c>
      <c r="P534" s="101" t="str">
        <f aca="false">IF(AND($O534&lt;&gt;"",$I534&lt;&gt;0),COUNTIFS($O$2:O534,$O534,$I$2:I534,"&gt;0"),"")</f>
        <v/>
      </c>
      <c r="Q534" s="101" t="str">
        <f aca="false">IF(AND($O534&lt;&gt;"",$J534&lt;&gt;0),COUNTIFS($O$2:O534,$O534,$J$2:J534,"&gt;0"),"")</f>
        <v/>
      </c>
      <c r="R534" s="101" t="str">
        <f aca="false">IF($P534="","",$O534&amp;"|"&amp;$P534)</f>
        <v/>
      </c>
      <c r="S534" s="101" t="str">
        <f aca="false">IF($Q534="","",$O534&amp;"|"&amp;$Q534)</f>
        <v/>
      </c>
      <c r="T534" s="101" t="str">
        <f aca="false">IF($O534="","",COUNTIF($O$2:O534,$O534))</f>
        <v/>
      </c>
      <c r="U534" s="101" t="str">
        <f aca="false">IF($O534="","",$O534&amp;"|"&amp;$T534)</f>
        <v/>
      </c>
      <c r="V534" s="490" t="n">
        <f aca="false">IF(OR(LEFT($D534,5)="MB-CL",LEFT($D534,6)="MB-RES"),0,$I534)</f>
        <v>0</v>
      </c>
      <c r="W534" s="490" t="n">
        <f aca="false">IF(OR(LEFT($D534,5)="MB-CL",LEFT($D534,6)="MB-RES"),0,$J534)</f>
        <v>0</v>
      </c>
      <c r="X534" s="490" t="str">
        <f aca="false">IF($E534="","",LEFT($E534,1))</f>
        <v/>
      </c>
      <c r="Y534" s="490" t="str">
        <f aca="false">IF($E534="","",LEFT($E534,2))</f>
        <v/>
      </c>
      <c r="Z534" s="490" t="str">
        <f aca="false">IF($E534="","",LEFT($E534,3))</f>
        <v/>
      </c>
      <c r="AA534" s="490" t="str">
        <f aca="false">IF($E534="","",LEFT($E534,4))</f>
        <v/>
      </c>
    </row>
    <row r="535" customFormat="false" ht="12.75" hidden="false" customHeight="true" outlineLevel="0" collapsed="false">
      <c r="A535" s="101" t="str">
        <f aca="false">IF(DITARI!$D539="","",ROW()-1)</f>
        <v/>
      </c>
      <c r="B535" s="101" t="str">
        <f aca="false">IF(DITARI!$D539="","",DITARI!$A539)</f>
        <v/>
      </c>
      <c r="C535" s="101" t="str">
        <f aca="false">IF(DITARI!$D539="","",DITARI!$B539)</f>
        <v/>
      </c>
      <c r="D535" s="101" t="str">
        <f aca="false">IF(DITARI!$D539="","",DITARI!$C539)</f>
        <v/>
      </c>
      <c r="E535" s="101" t="str">
        <f aca="false">IF(DITARI!$D539="","",TRIM(DITARI!$D539&amp;""))</f>
        <v/>
      </c>
      <c r="F535" s="101" t="str">
        <f aca="false">IF($E535="","",IFERROR(VLOOKUP($E535,PLANI_LLOGARIVE!$A:$I,2,FALSE()),DITARI!$E539))</f>
        <v/>
      </c>
      <c r="G535" s="101" t="str">
        <f aca="false">IF($E535="","",DITARI!$I539)</f>
        <v/>
      </c>
      <c r="H535" s="101" t="str">
        <f aca="false">IFERROR(IF($E535="","",DITARI!$H539),"")</f>
        <v/>
      </c>
      <c r="I535" s="101" t="n">
        <f aca="false">IF($E535="",0,IFERROR(DITARI!$F539,0))</f>
        <v>0</v>
      </c>
      <c r="J535" s="101" t="n">
        <f aca="false">IF($E535="",0,IFERROR(DITARI!$G539,0))</f>
        <v>0</v>
      </c>
      <c r="K535" s="101" t="str">
        <f aca="false">IF($E535="","",IFERROR(VLOOKUP($E535,PLANI_LLOGARIVE!$A:$I,9,FALSE()),""))</f>
        <v/>
      </c>
      <c r="L535" s="101" t="str">
        <f aca="false">IF($E535="","",$I535-$J535)</f>
        <v/>
      </c>
      <c r="M535" s="101" t="str">
        <f aca="false">IF($E535="","",IF($I535&gt;0,"DEBIT",IF($J535&gt;0,"KREDIT","ZERO")))</f>
        <v/>
      </c>
      <c r="N535" s="101" t="str">
        <f aca="false">IF($E535="","",TEXT($B535,"yyyymmdd")&amp;"-"&amp;TEXT(ROW(),"0000"))</f>
        <v/>
      </c>
      <c r="O535" s="101" t="str">
        <f aca="false">IF($E535="","",$E535&amp;"")</f>
        <v/>
      </c>
      <c r="P535" s="101" t="str">
        <f aca="false">IF(AND($O535&lt;&gt;"",$I535&lt;&gt;0),COUNTIFS($O$2:O535,$O535,$I$2:I535,"&gt;0"),"")</f>
        <v/>
      </c>
      <c r="Q535" s="101" t="str">
        <f aca="false">IF(AND($O535&lt;&gt;"",$J535&lt;&gt;0),COUNTIFS($O$2:O535,$O535,$J$2:J535,"&gt;0"),"")</f>
        <v/>
      </c>
      <c r="R535" s="101" t="str">
        <f aca="false">IF($P535="","",$O535&amp;"|"&amp;$P535)</f>
        <v/>
      </c>
      <c r="S535" s="101" t="str">
        <f aca="false">IF($Q535="","",$O535&amp;"|"&amp;$Q535)</f>
        <v/>
      </c>
      <c r="T535" s="101" t="str">
        <f aca="false">IF($O535="","",COUNTIF($O$2:O535,$O535))</f>
        <v/>
      </c>
      <c r="U535" s="101" t="str">
        <f aca="false">IF($O535="","",$O535&amp;"|"&amp;$T535)</f>
        <v/>
      </c>
      <c r="V535" s="490" t="n">
        <f aca="false">IF(OR(LEFT($D535,5)="MB-CL",LEFT($D535,6)="MB-RES"),0,$I535)</f>
        <v>0</v>
      </c>
      <c r="W535" s="490" t="n">
        <f aca="false">IF(OR(LEFT($D535,5)="MB-CL",LEFT($D535,6)="MB-RES"),0,$J535)</f>
        <v>0</v>
      </c>
      <c r="X535" s="490" t="str">
        <f aca="false">IF($E535="","",LEFT($E535,1))</f>
        <v/>
      </c>
      <c r="Y535" s="490" t="str">
        <f aca="false">IF($E535="","",LEFT($E535,2))</f>
        <v/>
      </c>
      <c r="Z535" s="490" t="str">
        <f aca="false">IF($E535="","",LEFT($E535,3))</f>
        <v/>
      </c>
      <c r="AA535" s="490" t="str">
        <f aca="false">IF($E535="","",LEFT($E535,4))</f>
        <v/>
      </c>
    </row>
    <row r="536" customFormat="false" ht="12.75" hidden="false" customHeight="true" outlineLevel="0" collapsed="false">
      <c r="A536" s="101" t="str">
        <f aca="false">IF(DITARI!$D540="","",ROW()-1)</f>
        <v/>
      </c>
      <c r="B536" s="101" t="str">
        <f aca="false">IF(DITARI!$D540="","",DITARI!$A540)</f>
        <v/>
      </c>
      <c r="C536" s="101" t="str">
        <f aca="false">IF(DITARI!$D540="","",DITARI!$B540)</f>
        <v/>
      </c>
      <c r="D536" s="101" t="str">
        <f aca="false">IF(DITARI!$D540="","",DITARI!$C540)</f>
        <v/>
      </c>
      <c r="E536" s="101" t="str">
        <f aca="false">IF(DITARI!$D540="","",TRIM(DITARI!$D540&amp;""))</f>
        <v/>
      </c>
      <c r="F536" s="101" t="str">
        <f aca="false">IF($E536="","",IFERROR(VLOOKUP($E536,PLANI_LLOGARIVE!$A:$I,2,FALSE()),DITARI!$E540))</f>
        <v/>
      </c>
      <c r="G536" s="101" t="str">
        <f aca="false">IF($E536="","",DITARI!$I540)</f>
        <v/>
      </c>
      <c r="H536" s="101" t="str">
        <f aca="false">IFERROR(IF($E536="","",DITARI!$H540),"")</f>
        <v/>
      </c>
      <c r="I536" s="101" t="n">
        <f aca="false">IF($E536="",0,IFERROR(DITARI!$F540,0))</f>
        <v>0</v>
      </c>
      <c r="J536" s="101" t="n">
        <f aca="false">IF($E536="",0,IFERROR(DITARI!$G540,0))</f>
        <v>0</v>
      </c>
      <c r="K536" s="101" t="str">
        <f aca="false">IF($E536="","",IFERROR(VLOOKUP($E536,PLANI_LLOGARIVE!$A:$I,9,FALSE()),""))</f>
        <v/>
      </c>
      <c r="L536" s="101" t="str">
        <f aca="false">IF($E536="","",$I536-$J536)</f>
        <v/>
      </c>
      <c r="M536" s="101" t="str">
        <f aca="false">IF($E536="","",IF($I536&gt;0,"DEBIT",IF($J536&gt;0,"KREDIT","ZERO")))</f>
        <v/>
      </c>
      <c r="N536" s="101" t="str">
        <f aca="false">IF($E536="","",TEXT($B536,"yyyymmdd")&amp;"-"&amp;TEXT(ROW(),"0000"))</f>
        <v/>
      </c>
      <c r="O536" s="101" t="str">
        <f aca="false">IF($E536="","",$E536&amp;"")</f>
        <v/>
      </c>
      <c r="P536" s="101" t="str">
        <f aca="false">IF(AND($O536&lt;&gt;"",$I536&lt;&gt;0),COUNTIFS($O$2:O536,$O536,$I$2:I536,"&gt;0"),"")</f>
        <v/>
      </c>
      <c r="Q536" s="101" t="str">
        <f aca="false">IF(AND($O536&lt;&gt;"",$J536&lt;&gt;0),COUNTIFS($O$2:O536,$O536,$J$2:J536,"&gt;0"),"")</f>
        <v/>
      </c>
      <c r="R536" s="101" t="str">
        <f aca="false">IF($P536="","",$O536&amp;"|"&amp;$P536)</f>
        <v/>
      </c>
      <c r="S536" s="101" t="str">
        <f aca="false">IF($Q536="","",$O536&amp;"|"&amp;$Q536)</f>
        <v/>
      </c>
      <c r="T536" s="101" t="str">
        <f aca="false">IF($O536="","",COUNTIF($O$2:O536,$O536))</f>
        <v/>
      </c>
      <c r="U536" s="101" t="str">
        <f aca="false">IF($O536="","",$O536&amp;"|"&amp;$T536)</f>
        <v/>
      </c>
      <c r="V536" s="490" t="n">
        <f aca="false">IF(OR(LEFT($D536,5)="MB-CL",LEFT($D536,6)="MB-RES"),0,$I536)</f>
        <v>0</v>
      </c>
      <c r="W536" s="490" t="n">
        <f aca="false">IF(OR(LEFT($D536,5)="MB-CL",LEFT($D536,6)="MB-RES"),0,$J536)</f>
        <v>0</v>
      </c>
      <c r="X536" s="490" t="str">
        <f aca="false">IF($E536="","",LEFT($E536,1))</f>
        <v/>
      </c>
      <c r="Y536" s="490" t="str">
        <f aca="false">IF($E536="","",LEFT($E536,2))</f>
        <v/>
      </c>
      <c r="Z536" s="490" t="str">
        <f aca="false">IF($E536="","",LEFT($E536,3))</f>
        <v/>
      </c>
      <c r="AA536" s="490" t="str">
        <f aca="false">IF($E536="","",LEFT($E536,4))</f>
        <v/>
      </c>
    </row>
    <row r="537" customFormat="false" ht="12.75" hidden="false" customHeight="true" outlineLevel="0" collapsed="false">
      <c r="A537" s="101" t="str">
        <f aca="false">IF(DITARI!$D541="","",ROW()-1)</f>
        <v/>
      </c>
      <c r="B537" s="101" t="str">
        <f aca="false">IF(DITARI!$D541="","",DITARI!$A541)</f>
        <v/>
      </c>
      <c r="C537" s="101" t="str">
        <f aca="false">IF(DITARI!$D541="","",DITARI!$B541)</f>
        <v/>
      </c>
      <c r="D537" s="101" t="str">
        <f aca="false">IF(DITARI!$D541="","",DITARI!$C541)</f>
        <v/>
      </c>
      <c r="E537" s="101" t="str">
        <f aca="false">IF(DITARI!$D541="","",TRIM(DITARI!$D541&amp;""))</f>
        <v/>
      </c>
      <c r="F537" s="101" t="str">
        <f aca="false">IF($E537="","",IFERROR(VLOOKUP($E537,PLANI_LLOGARIVE!$A:$I,2,FALSE()),DITARI!$E541))</f>
        <v/>
      </c>
      <c r="G537" s="101" t="str">
        <f aca="false">IF($E537="","",DITARI!$I541)</f>
        <v/>
      </c>
      <c r="H537" s="101" t="str">
        <f aca="false">IFERROR(IF($E537="","",DITARI!$H541),"")</f>
        <v/>
      </c>
      <c r="I537" s="101" t="n">
        <f aca="false">IF($E537="",0,IFERROR(DITARI!$F541,0))</f>
        <v>0</v>
      </c>
      <c r="J537" s="101" t="n">
        <f aca="false">IF($E537="",0,IFERROR(DITARI!$G541,0))</f>
        <v>0</v>
      </c>
      <c r="K537" s="101" t="str">
        <f aca="false">IF($E537="","",IFERROR(VLOOKUP($E537,PLANI_LLOGARIVE!$A:$I,9,FALSE()),""))</f>
        <v/>
      </c>
      <c r="L537" s="101" t="str">
        <f aca="false">IF($E537="","",$I537-$J537)</f>
        <v/>
      </c>
      <c r="M537" s="101" t="str">
        <f aca="false">IF($E537="","",IF($I537&gt;0,"DEBIT",IF($J537&gt;0,"KREDIT","ZERO")))</f>
        <v/>
      </c>
      <c r="N537" s="101" t="str">
        <f aca="false">IF($E537="","",TEXT($B537,"yyyymmdd")&amp;"-"&amp;TEXT(ROW(),"0000"))</f>
        <v/>
      </c>
      <c r="O537" s="101" t="str">
        <f aca="false">IF($E537="","",$E537&amp;"")</f>
        <v/>
      </c>
      <c r="P537" s="101" t="str">
        <f aca="false">IF(AND($O537&lt;&gt;"",$I537&lt;&gt;0),COUNTIFS($O$2:O537,$O537,$I$2:I537,"&gt;0"),"")</f>
        <v/>
      </c>
      <c r="Q537" s="101" t="str">
        <f aca="false">IF(AND($O537&lt;&gt;"",$J537&lt;&gt;0),COUNTIFS($O$2:O537,$O537,$J$2:J537,"&gt;0"),"")</f>
        <v/>
      </c>
      <c r="R537" s="101" t="str">
        <f aca="false">IF($P537="","",$O537&amp;"|"&amp;$P537)</f>
        <v/>
      </c>
      <c r="S537" s="101" t="str">
        <f aca="false">IF($Q537="","",$O537&amp;"|"&amp;$Q537)</f>
        <v/>
      </c>
      <c r="T537" s="101" t="str">
        <f aca="false">IF($O537="","",COUNTIF($O$2:O537,$O537))</f>
        <v/>
      </c>
      <c r="U537" s="101" t="str">
        <f aca="false">IF($O537="","",$O537&amp;"|"&amp;$T537)</f>
        <v/>
      </c>
      <c r="V537" s="490" t="n">
        <f aca="false">IF(OR(LEFT($D537,5)="MB-CL",LEFT($D537,6)="MB-RES"),0,$I537)</f>
        <v>0</v>
      </c>
      <c r="W537" s="490" t="n">
        <f aca="false">IF(OR(LEFT($D537,5)="MB-CL",LEFT($D537,6)="MB-RES"),0,$J537)</f>
        <v>0</v>
      </c>
      <c r="X537" s="490" t="str">
        <f aca="false">IF($E537="","",LEFT($E537,1))</f>
        <v/>
      </c>
      <c r="Y537" s="490" t="str">
        <f aca="false">IF($E537="","",LEFT($E537,2))</f>
        <v/>
      </c>
      <c r="Z537" s="490" t="str">
        <f aca="false">IF($E537="","",LEFT($E537,3))</f>
        <v/>
      </c>
      <c r="AA537" s="490" t="str">
        <f aca="false">IF($E537="","",LEFT($E537,4))</f>
        <v/>
      </c>
    </row>
    <row r="538" customFormat="false" ht="12.75" hidden="false" customHeight="true" outlineLevel="0" collapsed="false">
      <c r="A538" s="101" t="str">
        <f aca="false">IF(DITARI!$D542="","",ROW()-1)</f>
        <v/>
      </c>
      <c r="B538" s="101" t="str">
        <f aca="false">IF(DITARI!$D542="","",DITARI!$A542)</f>
        <v/>
      </c>
      <c r="C538" s="101" t="str">
        <f aca="false">IF(DITARI!$D542="","",DITARI!$B542)</f>
        <v/>
      </c>
      <c r="D538" s="101" t="str">
        <f aca="false">IF(DITARI!$D542="","",DITARI!$C542)</f>
        <v/>
      </c>
      <c r="E538" s="101" t="str">
        <f aca="false">IF(DITARI!$D542="","",TRIM(DITARI!$D542&amp;""))</f>
        <v/>
      </c>
      <c r="F538" s="101" t="str">
        <f aca="false">IF($E538="","",IFERROR(VLOOKUP($E538,PLANI_LLOGARIVE!$A:$I,2,FALSE()),DITARI!$E542))</f>
        <v/>
      </c>
      <c r="G538" s="101" t="str">
        <f aca="false">IF($E538="","",DITARI!$I542)</f>
        <v/>
      </c>
      <c r="H538" s="101" t="str">
        <f aca="false">IFERROR(IF($E538="","",DITARI!$H542),"")</f>
        <v/>
      </c>
      <c r="I538" s="101" t="n">
        <f aca="false">IF($E538="",0,IFERROR(DITARI!$F542,0))</f>
        <v>0</v>
      </c>
      <c r="J538" s="101" t="n">
        <f aca="false">IF($E538="",0,IFERROR(DITARI!$G542,0))</f>
        <v>0</v>
      </c>
      <c r="K538" s="101" t="str">
        <f aca="false">IF($E538="","",IFERROR(VLOOKUP($E538,PLANI_LLOGARIVE!$A:$I,9,FALSE()),""))</f>
        <v/>
      </c>
      <c r="L538" s="101" t="str">
        <f aca="false">IF($E538="","",$I538-$J538)</f>
        <v/>
      </c>
      <c r="M538" s="101" t="str">
        <f aca="false">IF($E538="","",IF($I538&gt;0,"DEBIT",IF($J538&gt;0,"KREDIT","ZERO")))</f>
        <v/>
      </c>
      <c r="N538" s="101" t="str">
        <f aca="false">IF($E538="","",TEXT($B538,"yyyymmdd")&amp;"-"&amp;TEXT(ROW(),"0000"))</f>
        <v/>
      </c>
      <c r="O538" s="101" t="str">
        <f aca="false">IF($E538="","",$E538&amp;"")</f>
        <v/>
      </c>
      <c r="P538" s="101" t="str">
        <f aca="false">IF(AND($O538&lt;&gt;"",$I538&lt;&gt;0),COUNTIFS($O$2:O538,$O538,$I$2:I538,"&gt;0"),"")</f>
        <v/>
      </c>
      <c r="Q538" s="101" t="str">
        <f aca="false">IF(AND($O538&lt;&gt;"",$J538&lt;&gt;0),COUNTIFS($O$2:O538,$O538,$J$2:J538,"&gt;0"),"")</f>
        <v/>
      </c>
      <c r="R538" s="101" t="str">
        <f aca="false">IF($P538="","",$O538&amp;"|"&amp;$P538)</f>
        <v/>
      </c>
      <c r="S538" s="101" t="str">
        <f aca="false">IF($Q538="","",$O538&amp;"|"&amp;$Q538)</f>
        <v/>
      </c>
      <c r="T538" s="101" t="str">
        <f aca="false">IF($O538="","",COUNTIF($O$2:O538,$O538))</f>
        <v/>
      </c>
      <c r="U538" s="101" t="str">
        <f aca="false">IF($O538="","",$O538&amp;"|"&amp;$T538)</f>
        <v/>
      </c>
      <c r="V538" s="490" t="n">
        <f aca="false">IF(OR(LEFT($D538,5)="MB-CL",LEFT($D538,6)="MB-RES"),0,$I538)</f>
        <v>0</v>
      </c>
      <c r="W538" s="490" t="n">
        <f aca="false">IF(OR(LEFT($D538,5)="MB-CL",LEFT($D538,6)="MB-RES"),0,$J538)</f>
        <v>0</v>
      </c>
      <c r="X538" s="490" t="str">
        <f aca="false">IF($E538="","",LEFT($E538,1))</f>
        <v/>
      </c>
      <c r="Y538" s="490" t="str">
        <f aca="false">IF($E538="","",LEFT($E538,2))</f>
        <v/>
      </c>
      <c r="Z538" s="490" t="str">
        <f aca="false">IF($E538="","",LEFT($E538,3))</f>
        <v/>
      </c>
      <c r="AA538" s="490" t="str">
        <f aca="false">IF($E538="","",LEFT($E538,4))</f>
        <v/>
      </c>
    </row>
    <row r="539" customFormat="false" ht="12.75" hidden="false" customHeight="true" outlineLevel="0" collapsed="false">
      <c r="A539" s="101" t="str">
        <f aca="false">IF(DITARI!$D543="","",ROW()-1)</f>
        <v/>
      </c>
      <c r="B539" s="101" t="str">
        <f aca="false">IF(DITARI!$D543="","",DITARI!$A543)</f>
        <v/>
      </c>
      <c r="C539" s="101" t="str">
        <f aca="false">IF(DITARI!$D543="","",DITARI!$B543)</f>
        <v/>
      </c>
      <c r="D539" s="101" t="str">
        <f aca="false">IF(DITARI!$D543="","",DITARI!$C543)</f>
        <v/>
      </c>
      <c r="E539" s="101" t="str">
        <f aca="false">IF(DITARI!$D543="","",TRIM(DITARI!$D543&amp;""))</f>
        <v/>
      </c>
      <c r="F539" s="101" t="str">
        <f aca="false">IF($E539="","",IFERROR(VLOOKUP($E539,PLANI_LLOGARIVE!$A:$I,2,FALSE()),DITARI!$E543))</f>
        <v/>
      </c>
      <c r="G539" s="101" t="str">
        <f aca="false">IF($E539="","",DITARI!$I543)</f>
        <v/>
      </c>
      <c r="H539" s="101" t="str">
        <f aca="false">IFERROR(IF($E539="","",DITARI!$H543),"")</f>
        <v/>
      </c>
      <c r="I539" s="101" t="n">
        <f aca="false">IF($E539="",0,IFERROR(DITARI!$F543,0))</f>
        <v>0</v>
      </c>
      <c r="J539" s="101" t="n">
        <f aca="false">IF($E539="",0,IFERROR(DITARI!$G543,0))</f>
        <v>0</v>
      </c>
      <c r="K539" s="101" t="str">
        <f aca="false">IF($E539="","",IFERROR(VLOOKUP($E539,PLANI_LLOGARIVE!$A:$I,9,FALSE()),""))</f>
        <v/>
      </c>
      <c r="L539" s="101" t="str">
        <f aca="false">IF($E539="","",$I539-$J539)</f>
        <v/>
      </c>
      <c r="M539" s="101" t="str">
        <f aca="false">IF($E539="","",IF($I539&gt;0,"DEBIT",IF($J539&gt;0,"KREDIT","ZERO")))</f>
        <v/>
      </c>
      <c r="N539" s="101" t="str">
        <f aca="false">IF($E539="","",TEXT($B539,"yyyymmdd")&amp;"-"&amp;TEXT(ROW(),"0000"))</f>
        <v/>
      </c>
      <c r="O539" s="101" t="str">
        <f aca="false">IF($E539="","",$E539&amp;"")</f>
        <v/>
      </c>
      <c r="P539" s="101" t="str">
        <f aca="false">IF(AND($O539&lt;&gt;"",$I539&lt;&gt;0),COUNTIFS($O$2:O539,$O539,$I$2:I539,"&gt;0"),"")</f>
        <v/>
      </c>
      <c r="Q539" s="101" t="str">
        <f aca="false">IF(AND($O539&lt;&gt;"",$J539&lt;&gt;0),COUNTIFS($O$2:O539,$O539,$J$2:J539,"&gt;0"),"")</f>
        <v/>
      </c>
      <c r="R539" s="101" t="str">
        <f aca="false">IF($P539="","",$O539&amp;"|"&amp;$P539)</f>
        <v/>
      </c>
      <c r="S539" s="101" t="str">
        <f aca="false">IF($Q539="","",$O539&amp;"|"&amp;$Q539)</f>
        <v/>
      </c>
      <c r="T539" s="101" t="str">
        <f aca="false">IF($O539="","",COUNTIF($O$2:O539,$O539))</f>
        <v/>
      </c>
      <c r="U539" s="101" t="str">
        <f aca="false">IF($O539="","",$O539&amp;"|"&amp;$T539)</f>
        <v/>
      </c>
      <c r="V539" s="490" t="n">
        <f aca="false">IF(OR(LEFT($D539,5)="MB-CL",LEFT($D539,6)="MB-RES"),0,$I539)</f>
        <v>0</v>
      </c>
      <c r="W539" s="490" t="n">
        <f aca="false">IF(OR(LEFT($D539,5)="MB-CL",LEFT($D539,6)="MB-RES"),0,$J539)</f>
        <v>0</v>
      </c>
      <c r="X539" s="490" t="str">
        <f aca="false">IF($E539="","",LEFT($E539,1))</f>
        <v/>
      </c>
      <c r="Y539" s="490" t="str">
        <f aca="false">IF($E539="","",LEFT($E539,2))</f>
        <v/>
      </c>
      <c r="Z539" s="490" t="str">
        <f aca="false">IF($E539="","",LEFT($E539,3))</f>
        <v/>
      </c>
      <c r="AA539" s="490" t="str">
        <f aca="false">IF($E539="","",LEFT($E539,4))</f>
        <v/>
      </c>
    </row>
    <row r="540" customFormat="false" ht="12.75" hidden="false" customHeight="true" outlineLevel="0" collapsed="false">
      <c r="A540" s="101" t="str">
        <f aca="false">IF(DITARI!$D544="","",ROW()-1)</f>
        <v/>
      </c>
      <c r="B540" s="101" t="str">
        <f aca="false">IF(DITARI!$D544="","",DITARI!$A544)</f>
        <v/>
      </c>
      <c r="C540" s="101" t="str">
        <f aca="false">IF(DITARI!$D544="","",DITARI!$B544)</f>
        <v/>
      </c>
      <c r="D540" s="101" t="str">
        <f aca="false">IF(DITARI!$D544="","",DITARI!$C544)</f>
        <v/>
      </c>
      <c r="E540" s="101" t="str">
        <f aca="false">IF(DITARI!$D544="","",TRIM(DITARI!$D544&amp;""))</f>
        <v/>
      </c>
      <c r="F540" s="101" t="str">
        <f aca="false">IF($E540="","",IFERROR(VLOOKUP($E540,PLANI_LLOGARIVE!$A:$I,2,FALSE()),DITARI!$E544))</f>
        <v/>
      </c>
      <c r="G540" s="101" t="str">
        <f aca="false">IF($E540="","",DITARI!$I544)</f>
        <v/>
      </c>
      <c r="H540" s="101" t="str">
        <f aca="false">IFERROR(IF($E540="","",DITARI!$H544),"")</f>
        <v/>
      </c>
      <c r="I540" s="101" t="n">
        <f aca="false">IF($E540="",0,IFERROR(DITARI!$F544,0))</f>
        <v>0</v>
      </c>
      <c r="J540" s="101" t="n">
        <f aca="false">IF($E540="",0,IFERROR(DITARI!$G544,0))</f>
        <v>0</v>
      </c>
      <c r="K540" s="101" t="str">
        <f aca="false">IF($E540="","",IFERROR(VLOOKUP($E540,PLANI_LLOGARIVE!$A:$I,9,FALSE()),""))</f>
        <v/>
      </c>
      <c r="L540" s="101" t="str">
        <f aca="false">IF($E540="","",$I540-$J540)</f>
        <v/>
      </c>
      <c r="M540" s="101" t="str">
        <f aca="false">IF($E540="","",IF($I540&gt;0,"DEBIT",IF($J540&gt;0,"KREDIT","ZERO")))</f>
        <v/>
      </c>
      <c r="N540" s="101" t="str">
        <f aca="false">IF($E540="","",TEXT($B540,"yyyymmdd")&amp;"-"&amp;TEXT(ROW(),"0000"))</f>
        <v/>
      </c>
      <c r="O540" s="101" t="str">
        <f aca="false">IF($E540="","",$E540&amp;"")</f>
        <v/>
      </c>
      <c r="P540" s="101" t="str">
        <f aca="false">IF(AND($O540&lt;&gt;"",$I540&lt;&gt;0),COUNTIFS($O$2:O540,$O540,$I$2:I540,"&gt;0"),"")</f>
        <v/>
      </c>
      <c r="Q540" s="101" t="str">
        <f aca="false">IF(AND($O540&lt;&gt;"",$J540&lt;&gt;0),COUNTIFS($O$2:O540,$O540,$J$2:J540,"&gt;0"),"")</f>
        <v/>
      </c>
      <c r="R540" s="101" t="str">
        <f aca="false">IF($P540="","",$O540&amp;"|"&amp;$P540)</f>
        <v/>
      </c>
      <c r="S540" s="101" t="str">
        <f aca="false">IF($Q540="","",$O540&amp;"|"&amp;$Q540)</f>
        <v/>
      </c>
      <c r="T540" s="101" t="str">
        <f aca="false">IF($O540="","",COUNTIF($O$2:O540,$O540))</f>
        <v/>
      </c>
      <c r="U540" s="101" t="str">
        <f aca="false">IF($O540="","",$O540&amp;"|"&amp;$T540)</f>
        <v/>
      </c>
      <c r="V540" s="490" t="n">
        <f aca="false">IF(OR(LEFT($D540,5)="MB-CL",LEFT($D540,6)="MB-RES"),0,$I540)</f>
        <v>0</v>
      </c>
      <c r="W540" s="490" t="n">
        <f aca="false">IF(OR(LEFT($D540,5)="MB-CL",LEFT($D540,6)="MB-RES"),0,$J540)</f>
        <v>0</v>
      </c>
      <c r="X540" s="490" t="str">
        <f aca="false">IF($E540="","",LEFT($E540,1))</f>
        <v/>
      </c>
      <c r="Y540" s="490" t="str">
        <f aca="false">IF($E540="","",LEFT($E540,2))</f>
        <v/>
      </c>
      <c r="Z540" s="490" t="str">
        <f aca="false">IF($E540="","",LEFT($E540,3))</f>
        <v/>
      </c>
      <c r="AA540" s="490" t="str">
        <f aca="false">IF($E540="","",LEFT($E540,4))</f>
        <v/>
      </c>
    </row>
    <row r="541" customFormat="false" ht="12.75" hidden="false" customHeight="true" outlineLevel="0" collapsed="false">
      <c r="A541" s="101" t="str">
        <f aca="false">IF(DITARI!$D545="","",ROW()-1)</f>
        <v/>
      </c>
      <c r="B541" s="101" t="str">
        <f aca="false">IF(DITARI!$D545="","",DITARI!$A545)</f>
        <v/>
      </c>
      <c r="C541" s="101" t="str">
        <f aca="false">IF(DITARI!$D545="","",DITARI!$B545)</f>
        <v/>
      </c>
      <c r="D541" s="101" t="str">
        <f aca="false">IF(DITARI!$D545="","",DITARI!$C545)</f>
        <v/>
      </c>
      <c r="E541" s="101" t="str">
        <f aca="false">IF(DITARI!$D545="","",TRIM(DITARI!$D545&amp;""))</f>
        <v/>
      </c>
      <c r="F541" s="101" t="str">
        <f aca="false">IF($E541="","",IFERROR(VLOOKUP($E541,PLANI_LLOGARIVE!$A:$I,2,FALSE()),DITARI!$E545))</f>
        <v/>
      </c>
      <c r="G541" s="101" t="str">
        <f aca="false">IF($E541="","",DITARI!$I545)</f>
        <v/>
      </c>
      <c r="H541" s="101" t="str">
        <f aca="false">IFERROR(IF($E541="","",DITARI!$H545),"")</f>
        <v/>
      </c>
      <c r="I541" s="101" t="n">
        <f aca="false">IF($E541="",0,IFERROR(DITARI!$F545,0))</f>
        <v>0</v>
      </c>
      <c r="J541" s="101" t="n">
        <f aca="false">IF($E541="",0,IFERROR(DITARI!$G545,0))</f>
        <v>0</v>
      </c>
      <c r="K541" s="101" t="str">
        <f aca="false">IF($E541="","",IFERROR(VLOOKUP($E541,PLANI_LLOGARIVE!$A:$I,9,FALSE()),""))</f>
        <v/>
      </c>
      <c r="L541" s="101" t="str">
        <f aca="false">IF($E541="","",$I541-$J541)</f>
        <v/>
      </c>
      <c r="M541" s="101" t="str">
        <f aca="false">IF($E541="","",IF($I541&gt;0,"DEBIT",IF($J541&gt;0,"KREDIT","ZERO")))</f>
        <v/>
      </c>
      <c r="N541" s="101" t="str">
        <f aca="false">IF($E541="","",TEXT($B541,"yyyymmdd")&amp;"-"&amp;TEXT(ROW(),"0000"))</f>
        <v/>
      </c>
      <c r="O541" s="101" t="str">
        <f aca="false">IF($E541="","",$E541&amp;"")</f>
        <v/>
      </c>
      <c r="P541" s="101" t="str">
        <f aca="false">IF(AND($O541&lt;&gt;"",$I541&lt;&gt;0),COUNTIFS($O$2:O541,$O541,$I$2:I541,"&gt;0"),"")</f>
        <v/>
      </c>
      <c r="Q541" s="101" t="str">
        <f aca="false">IF(AND($O541&lt;&gt;"",$J541&lt;&gt;0),COUNTIFS($O$2:O541,$O541,$J$2:J541,"&gt;0"),"")</f>
        <v/>
      </c>
      <c r="R541" s="101" t="str">
        <f aca="false">IF($P541="","",$O541&amp;"|"&amp;$P541)</f>
        <v/>
      </c>
      <c r="S541" s="101" t="str">
        <f aca="false">IF($Q541="","",$O541&amp;"|"&amp;$Q541)</f>
        <v/>
      </c>
      <c r="T541" s="101" t="str">
        <f aca="false">IF($O541="","",COUNTIF($O$2:O541,$O541))</f>
        <v/>
      </c>
      <c r="U541" s="101" t="str">
        <f aca="false">IF($O541="","",$O541&amp;"|"&amp;$T541)</f>
        <v/>
      </c>
      <c r="V541" s="490" t="n">
        <f aca="false">IF(OR(LEFT($D541,5)="MB-CL",LEFT($D541,6)="MB-RES"),0,$I541)</f>
        <v>0</v>
      </c>
      <c r="W541" s="490" t="n">
        <f aca="false">IF(OR(LEFT($D541,5)="MB-CL",LEFT($D541,6)="MB-RES"),0,$J541)</f>
        <v>0</v>
      </c>
      <c r="X541" s="490" t="str">
        <f aca="false">IF($E541="","",LEFT($E541,1))</f>
        <v/>
      </c>
      <c r="Y541" s="490" t="str">
        <f aca="false">IF($E541="","",LEFT($E541,2))</f>
        <v/>
      </c>
      <c r="Z541" s="490" t="str">
        <f aca="false">IF($E541="","",LEFT($E541,3))</f>
        <v/>
      </c>
      <c r="AA541" s="490" t="str">
        <f aca="false">IF($E541="","",LEFT($E541,4))</f>
        <v/>
      </c>
    </row>
    <row r="542" customFormat="false" ht="12.75" hidden="false" customHeight="true" outlineLevel="0" collapsed="false">
      <c r="A542" s="101" t="str">
        <f aca="false">IF(DITARI!$D546="","",ROW()-1)</f>
        <v/>
      </c>
      <c r="B542" s="101" t="str">
        <f aca="false">IF(DITARI!$D546="","",DITARI!$A546)</f>
        <v/>
      </c>
      <c r="C542" s="101" t="str">
        <f aca="false">IF(DITARI!$D546="","",DITARI!$B546)</f>
        <v/>
      </c>
      <c r="D542" s="101" t="str">
        <f aca="false">IF(DITARI!$D546="","",DITARI!$C546)</f>
        <v/>
      </c>
      <c r="E542" s="101" t="str">
        <f aca="false">IF(DITARI!$D546="","",TRIM(DITARI!$D546&amp;""))</f>
        <v/>
      </c>
      <c r="F542" s="101" t="str">
        <f aca="false">IF($E542="","",IFERROR(VLOOKUP($E542,PLANI_LLOGARIVE!$A:$I,2,FALSE()),DITARI!$E546))</f>
        <v/>
      </c>
      <c r="G542" s="101" t="str">
        <f aca="false">IF($E542="","",DITARI!$I546)</f>
        <v/>
      </c>
      <c r="H542" s="101" t="str">
        <f aca="false">IFERROR(IF($E542="","",DITARI!$H546),"")</f>
        <v/>
      </c>
      <c r="I542" s="101" t="n">
        <f aca="false">IF($E542="",0,IFERROR(DITARI!$F546,0))</f>
        <v>0</v>
      </c>
      <c r="J542" s="101" t="n">
        <f aca="false">IF($E542="",0,IFERROR(DITARI!$G546,0))</f>
        <v>0</v>
      </c>
      <c r="K542" s="101" t="str">
        <f aca="false">IF($E542="","",IFERROR(VLOOKUP($E542,PLANI_LLOGARIVE!$A:$I,9,FALSE()),""))</f>
        <v/>
      </c>
      <c r="L542" s="101" t="str">
        <f aca="false">IF($E542="","",$I542-$J542)</f>
        <v/>
      </c>
      <c r="M542" s="101" t="str">
        <f aca="false">IF($E542="","",IF($I542&gt;0,"DEBIT",IF($J542&gt;0,"KREDIT","ZERO")))</f>
        <v/>
      </c>
      <c r="N542" s="101" t="str">
        <f aca="false">IF($E542="","",TEXT($B542,"yyyymmdd")&amp;"-"&amp;TEXT(ROW(),"0000"))</f>
        <v/>
      </c>
      <c r="O542" s="101" t="str">
        <f aca="false">IF($E542="","",$E542&amp;"")</f>
        <v/>
      </c>
      <c r="P542" s="101" t="str">
        <f aca="false">IF(AND($O542&lt;&gt;"",$I542&lt;&gt;0),COUNTIFS($O$2:O542,$O542,$I$2:I542,"&gt;0"),"")</f>
        <v/>
      </c>
      <c r="Q542" s="101" t="str">
        <f aca="false">IF(AND($O542&lt;&gt;"",$J542&lt;&gt;0),COUNTIFS($O$2:O542,$O542,$J$2:J542,"&gt;0"),"")</f>
        <v/>
      </c>
      <c r="R542" s="101" t="str">
        <f aca="false">IF($P542="","",$O542&amp;"|"&amp;$P542)</f>
        <v/>
      </c>
      <c r="S542" s="101" t="str">
        <f aca="false">IF($Q542="","",$O542&amp;"|"&amp;$Q542)</f>
        <v/>
      </c>
      <c r="T542" s="101" t="str">
        <f aca="false">IF($O542="","",COUNTIF($O$2:O542,$O542))</f>
        <v/>
      </c>
      <c r="U542" s="101" t="str">
        <f aca="false">IF($O542="","",$O542&amp;"|"&amp;$T542)</f>
        <v/>
      </c>
      <c r="V542" s="490" t="n">
        <f aca="false">IF(OR(LEFT($D542,5)="MB-CL",LEFT($D542,6)="MB-RES"),0,$I542)</f>
        <v>0</v>
      </c>
      <c r="W542" s="490" t="n">
        <f aca="false">IF(OR(LEFT($D542,5)="MB-CL",LEFT($D542,6)="MB-RES"),0,$J542)</f>
        <v>0</v>
      </c>
      <c r="X542" s="490" t="str">
        <f aca="false">IF($E542="","",LEFT($E542,1))</f>
        <v/>
      </c>
      <c r="Y542" s="490" t="str">
        <f aca="false">IF($E542="","",LEFT($E542,2))</f>
        <v/>
      </c>
      <c r="Z542" s="490" t="str">
        <f aca="false">IF($E542="","",LEFT($E542,3))</f>
        <v/>
      </c>
      <c r="AA542" s="490" t="str">
        <f aca="false">IF($E542="","",LEFT($E542,4))</f>
        <v/>
      </c>
    </row>
    <row r="543" customFormat="false" ht="12.75" hidden="false" customHeight="true" outlineLevel="0" collapsed="false">
      <c r="A543" s="101" t="str">
        <f aca="false">IF(DITARI!$D547="","",ROW()-1)</f>
        <v/>
      </c>
      <c r="B543" s="101" t="str">
        <f aca="false">IF(DITARI!$D547="","",DITARI!$A547)</f>
        <v/>
      </c>
      <c r="C543" s="101" t="str">
        <f aca="false">IF(DITARI!$D547="","",DITARI!$B547)</f>
        <v/>
      </c>
      <c r="D543" s="101" t="str">
        <f aca="false">IF(DITARI!$D547="","",DITARI!$C547)</f>
        <v/>
      </c>
      <c r="E543" s="101" t="str">
        <f aca="false">IF(DITARI!$D547="","",TRIM(DITARI!$D547&amp;""))</f>
        <v/>
      </c>
      <c r="F543" s="101" t="str">
        <f aca="false">IF($E543="","",IFERROR(VLOOKUP($E543,PLANI_LLOGARIVE!$A:$I,2,FALSE()),DITARI!$E547))</f>
        <v/>
      </c>
      <c r="G543" s="101" t="str">
        <f aca="false">IF($E543="","",DITARI!$I547)</f>
        <v/>
      </c>
      <c r="H543" s="101" t="str">
        <f aca="false">IFERROR(IF($E543="","",DITARI!$H547),"")</f>
        <v/>
      </c>
      <c r="I543" s="101" t="n">
        <f aca="false">IF($E543="",0,IFERROR(DITARI!$F547,0))</f>
        <v>0</v>
      </c>
      <c r="J543" s="101" t="n">
        <f aca="false">IF($E543="",0,IFERROR(DITARI!$G547,0))</f>
        <v>0</v>
      </c>
      <c r="K543" s="101" t="str">
        <f aca="false">IF($E543="","",IFERROR(VLOOKUP($E543,PLANI_LLOGARIVE!$A:$I,9,FALSE()),""))</f>
        <v/>
      </c>
      <c r="L543" s="101" t="str">
        <f aca="false">IF($E543="","",$I543-$J543)</f>
        <v/>
      </c>
      <c r="M543" s="101" t="str">
        <f aca="false">IF($E543="","",IF($I543&gt;0,"DEBIT",IF($J543&gt;0,"KREDIT","ZERO")))</f>
        <v/>
      </c>
      <c r="N543" s="101" t="str">
        <f aca="false">IF($E543="","",TEXT($B543,"yyyymmdd")&amp;"-"&amp;TEXT(ROW(),"0000"))</f>
        <v/>
      </c>
      <c r="O543" s="101" t="str">
        <f aca="false">IF($E543="","",$E543&amp;"")</f>
        <v/>
      </c>
      <c r="P543" s="101" t="str">
        <f aca="false">IF(AND($O543&lt;&gt;"",$I543&lt;&gt;0),COUNTIFS($O$2:O543,$O543,$I$2:I543,"&gt;0"),"")</f>
        <v/>
      </c>
      <c r="Q543" s="101" t="str">
        <f aca="false">IF(AND($O543&lt;&gt;"",$J543&lt;&gt;0),COUNTIFS($O$2:O543,$O543,$J$2:J543,"&gt;0"),"")</f>
        <v/>
      </c>
      <c r="R543" s="101" t="str">
        <f aca="false">IF($P543="","",$O543&amp;"|"&amp;$P543)</f>
        <v/>
      </c>
      <c r="S543" s="101" t="str">
        <f aca="false">IF($Q543="","",$O543&amp;"|"&amp;$Q543)</f>
        <v/>
      </c>
      <c r="T543" s="101" t="str">
        <f aca="false">IF($O543="","",COUNTIF($O$2:O543,$O543))</f>
        <v/>
      </c>
      <c r="U543" s="101" t="str">
        <f aca="false">IF($O543="","",$O543&amp;"|"&amp;$T543)</f>
        <v/>
      </c>
      <c r="V543" s="490" t="n">
        <f aca="false">IF(OR(LEFT($D543,5)="MB-CL",LEFT($D543,6)="MB-RES"),0,$I543)</f>
        <v>0</v>
      </c>
      <c r="W543" s="490" t="n">
        <f aca="false">IF(OR(LEFT($D543,5)="MB-CL",LEFT($D543,6)="MB-RES"),0,$J543)</f>
        <v>0</v>
      </c>
      <c r="X543" s="490" t="str">
        <f aca="false">IF($E543="","",LEFT($E543,1))</f>
        <v/>
      </c>
      <c r="Y543" s="490" t="str">
        <f aca="false">IF($E543="","",LEFT($E543,2))</f>
        <v/>
      </c>
      <c r="Z543" s="490" t="str">
        <f aca="false">IF($E543="","",LEFT($E543,3))</f>
        <v/>
      </c>
      <c r="AA543" s="490" t="str">
        <f aca="false">IF($E543="","",LEFT($E543,4))</f>
        <v/>
      </c>
    </row>
    <row r="544" customFormat="false" ht="12.75" hidden="false" customHeight="true" outlineLevel="0" collapsed="false">
      <c r="A544" s="101" t="str">
        <f aca="false">IF(DITARI!$D548="","",ROW()-1)</f>
        <v/>
      </c>
      <c r="B544" s="101" t="str">
        <f aca="false">IF(DITARI!$D548="","",DITARI!$A548)</f>
        <v/>
      </c>
      <c r="C544" s="101" t="str">
        <f aca="false">IF(DITARI!$D548="","",DITARI!$B548)</f>
        <v/>
      </c>
      <c r="D544" s="101" t="str">
        <f aca="false">IF(DITARI!$D548="","",DITARI!$C548)</f>
        <v/>
      </c>
      <c r="E544" s="101" t="str">
        <f aca="false">IF(DITARI!$D548="","",TRIM(DITARI!$D548&amp;""))</f>
        <v/>
      </c>
      <c r="F544" s="101" t="str">
        <f aca="false">IF($E544="","",IFERROR(VLOOKUP($E544,PLANI_LLOGARIVE!$A:$I,2,FALSE()),DITARI!$E548))</f>
        <v/>
      </c>
      <c r="G544" s="101" t="str">
        <f aca="false">IF($E544="","",DITARI!$I548)</f>
        <v/>
      </c>
      <c r="H544" s="101" t="str">
        <f aca="false">IFERROR(IF($E544="","",DITARI!$H548),"")</f>
        <v/>
      </c>
      <c r="I544" s="101" t="n">
        <f aca="false">IF($E544="",0,IFERROR(DITARI!$F548,0))</f>
        <v>0</v>
      </c>
      <c r="J544" s="101" t="n">
        <f aca="false">IF($E544="",0,IFERROR(DITARI!$G548,0))</f>
        <v>0</v>
      </c>
      <c r="K544" s="101" t="str">
        <f aca="false">IF($E544="","",IFERROR(VLOOKUP($E544,PLANI_LLOGARIVE!$A:$I,9,FALSE()),""))</f>
        <v/>
      </c>
      <c r="L544" s="101" t="str">
        <f aca="false">IF($E544="","",$I544-$J544)</f>
        <v/>
      </c>
      <c r="M544" s="101" t="str">
        <f aca="false">IF($E544="","",IF($I544&gt;0,"DEBIT",IF($J544&gt;0,"KREDIT","ZERO")))</f>
        <v/>
      </c>
      <c r="N544" s="101" t="str">
        <f aca="false">IF($E544="","",TEXT($B544,"yyyymmdd")&amp;"-"&amp;TEXT(ROW(),"0000"))</f>
        <v/>
      </c>
      <c r="O544" s="101" t="str">
        <f aca="false">IF($E544="","",$E544&amp;"")</f>
        <v/>
      </c>
      <c r="P544" s="101" t="str">
        <f aca="false">IF(AND($O544&lt;&gt;"",$I544&lt;&gt;0),COUNTIFS($O$2:O544,$O544,$I$2:I544,"&gt;0"),"")</f>
        <v/>
      </c>
      <c r="Q544" s="101" t="str">
        <f aca="false">IF(AND($O544&lt;&gt;"",$J544&lt;&gt;0),COUNTIFS($O$2:O544,$O544,$J$2:J544,"&gt;0"),"")</f>
        <v/>
      </c>
      <c r="R544" s="101" t="str">
        <f aca="false">IF($P544="","",$O544&amp;"|"&amp;$P544)</f>
        <v/>
      </c>
      <c r="S544" s="101" t="str">
        <f aca="false">IF($Q544="","",$O544&amp;"|"&amp;$Q544)</f>
        <v/>
      </c>
      <c r="T544" s="101" t="str">
        <f aca="false">IF($O544="","",COUNTIF($O$2:O544,$O544))</f>
        <v/>
      </c>
      <c r="U544" s="101" t="str">
        <f aca="false">IF($O544="","",$O544&amp;"|"&amp;$T544)</f>
        <v/>
      </c>
      <c r="V544" s="490" t="n">
        <f aca="false">IF(OR(LEFT($D544,5)="MB-CL",LEFT($D544,6)="MB-RES"),0,$I544)</f>
        <v>0</v>
      </c>
      <c r="W544" s="490" t="n">
        <f aca="false">IF(OR(LEFT($D544,5)="MB-CL",LEFT($D544,6)="MB-RES"),0,$J544)</f>
        <v>0</v>
      </c>
      <c r="X544" s="490" t="str">
        <f aca="false">IF($E544="","",LEFT($E544,1))</f>
        <v/>
      </c>
      <c r="Y544" s="490" t="str">
        <f aca="false">IF($E544="","",LEFT($E544,2))</f>
        <v/>
      </c>
      <c r="Z544" s="490" t="str">
        <f aca="false">IF($E544="","",LEFT($E544,3))</f>
        <v/>
      </c>
      <c r="AA544" s="490" t="str">
        <f aca="false">IF($E544="","",LEFT($E544,4))</f>
        <v/>
      </c>
    </row>
    <row r="545" customFormat="false" ht="12.75" hidden="false" customHeight="true" outlineLevel="0" collapsed="false">
      <c r="A545" s="101" t="str">
        <f aca="false">IF(DITARI!$D549="","",ROW()-1)</f>
        <v/>
      </c>
      <c r="B545" s="101" t="str">
        <f aca="false">IF(DITARI!$D549="","",DITARI!$A549)</f>
        <v/>
      </c>
      <c r="C545" s="101" t="str">
        <f aca="false">IF(DITARI!$D549="","",DITARI!$B549)</f>
        <v/>
      </c>
      <c r="D545" s="101" t="str">
        <f aca="false">IF(DITARI!$D549="","",DITARI!$C549)</f>
        <v/>
      </c>
      <c r="E545" s="101" t="str">
        <f aca="false">IF(DITARI!$D549="","",TRIM(DITARI!$D549&amp;""))</f>
        <v/>
      </c>
      <c r="F545" s="101" t="str">
        <f aca="false">IF($E545="","",IFERROR(VLOOKUP($E545,PLANI_LLOGARIVE!$A:$I,2,FALSE()),DITARI!$E549))</f>
        <v/>
      </c>
      <c r="G545" s="101" t="str">
        <f aca="false">IF($E545="","",DITARI!$I549)</f>
        <v/>
      </c>
      <c r="H545" s="101" t="str">
        <f aca="false">IFERROR(IF($E545="","",DITARI!$H549),"")</f>
        <v/>
      </c>
      <c r="I545" s="101" t="n">
        <f aca="false">IF($E545="",0,IFERROR(DITARI!$F549,0))</f>
        <v>0</v>
      </c>
      <c r="J545" s="101" t="n">
        <f aca="false">IF($E545="",0,IFERROR(DITARI!$G549,0))</f>
        <v>0</v>
      </c>
      <c r="K545" s="101" t="str">
        <f aca="false">IF($E545="","",IFERROR(VLOOKUP($E545,PLANI_LLOGARIVE!$A:$I,9,FALSE()),""))</f>
        <v/>
      </c>
      <c r="L545" s="101" t="str">
        <f aca="false">IF($E545="","",$I545-$J545)</f>
        <v/>
      </c>
      <c r="M545" s="101" t="str">
        <f aca="false">IF($E545="","",IF($I545&gt;0,"DEBIT",IF($J545&gt;0,"KREDIT","ZERO")))</f>
        <v/>
      </c>
      <c r="N545" s="101" t="str">
        <f aca="false">IF($E545="","",TEXT($B545,"yyyymmdd")&amp;"-"&amp;TEXT(ROW(),"0000"))</f>
        <v/>
      </c>
      <c r="O545" s="101" t="str">
        <f aca="false">IF($E545="","",$E545&amp;"")</f>
        <v/>
      </c>
      <c r="P545" s="101" t="str">
        <f aca="false">IF(AND($O545&lt;&gt;"",$I545&lt;&gt;0),COUNTIFS($O$2:O545,$O545,$I$2:I545,"&gt;0"),"")</f>
        <v/>
      </c>
      <c r="Q545" s="101" t="str">
        <f aca="false">IF(AND($O545&lt;&gt;"",$J545&lt;&gt;0),COUNTIFS($O$2:O545,$O545,$J$2:J545,"&gt;0"),"")</f>
        <v/>
      </c>
      <c r="R545" s="101" t="str">
        <f aca="false">IF($P545="","",$O545&amp;"|"&amp;$P545)</f>
        <v/>
      </c>
      <c r="S545" s="101" t="str">
        <f aca="false">IF($Q545="","",$O545&amp;"|"&amp;$Q545)</f>
        <v/>
      </c>
      <c r="T545" s="101" t="str">
        <f aca="false">IF($O545="","",COUNTIF($O$2:O545,$O545))</f>
        <v/>
      </c>
      <c r="U545" s="101" t="str">
        <f aca="false">IF($O545="","",$O545&amp;"|"&amp;$T545)</f>
        <v/>
      </c>
      <c r="V545" s="490" t="n">
        <f aca="false">IF(OR(LEFT($D545,5)="MB-CL",LEFT($D545,6)="MB-RES"),0,$I545)</f>
        <v>0</v>
      </c>
      <c r="W545" s="490" t="n">
        <f aca="false">IF(OR(LEFT($D545,5)="MB-CL",LEFT($D545,6)="MB-RES"),0,$J545)</f>
        <v>0</v>
      </c>
      <c r="X545" s="490" t="str">
        <f aca="false">IF($E545="","",LEFT($E545,1))</f>
        <v/>
      </c>
      <c r="Y545" s="490" t="str">
        <f aca="false">IF($E545="","",LEFT($E545,2))</f>
        <v/>
      </c>
      <c r="Z545" s="490" t="str">
        <f aca="false">IF($E545="","",LEFT($E545,3))</f>
        <v/>
      </c>
      <c r="AA545" s="490" t="str">
        <f aca="false">IF($E545="","",LEFT($E545,4))</f>
        <v/>
      </c>
    </row>
    <row r="546" customFormat="false" ht="12.75" hidden="false" customHeight="true" outlineLevel="0" collapsed="false">
      <c r="A546" s="101" t="str">
        <f aca="false">IF(DITARI!$D550="","",ROW()-1)</f>
        <v/>
      </c>
      <c r="B546" s="101" t="str">
        <f aca="false">IF(DITARI!$D550="","",DITARI!$A550)</f>
        <v/>
      </c>
      <c r="C546" s="101" t="str">
        <f aca="false">IF(DITARI!$D550="","",DITARI!$B550)</f>
        <v/>
      </c>
      <c r="D546" s="101" t="str">
        <f aca="false">IF(DITARI!$D550="","",DITARI!$C550)</f>
        <v/>
      </c>
      <c r="E546" s="101" t="str">
        <f aca="false">IF(DITARI!$D550="","",TRIM(DITARI!$D550&amp;""))</f>
        <v/>
      </c>
      <c r="F546" s="101" t="str">
        <f aca="false">IF($E546="","",IFERROR(VLOOKUP($E546,PLANI_LLOGARIVE!$A:$I,2,FALSE()),DITARI!$E550))</f>
        <v/>
      </c>
      <c r="G546" s="101" t="str">
        <f aca="false">IF($E546="","",DITARI!$I550)</f>
        <v/>
      </c>
      <c r="H546" s="101" t="str">
        <f aca="false">IFERROR(IF($E546="","",DITARI!$H550),"")</f>
        <v/>
      </c>
      <c r="I546" s="101" t="n">
        <f aca="false">IF($E546="",0,IFERROR(DITARI!$F550,0))</f>
        <v>0</v>
      </c>
      <c r="J546" s="101" t="n">
        <f aca="false">IF($E546="",0,IFERROR(DITARI!$G550,0))</f>
        <v>0</v>
      </c>
      <c r="K546" s="101" t="str">
        <f aca="false">IF($E546="","",IFERROR(VLOOKUP($E546,PLANI_LLOGARIVE!$A:$I,9,FALSE()),""))</f>
        <v/>
      </c>
      <c r="L546" s="101" t="str">
        <f aca="false">IF($E546="","",$I546-$J546)</f>
        <v/>
      </c>
      <c r="M546" s="101" t="str">
        <f aca="false">IF($E546="","",IF($I546&gt;0,"DEBIT",IF($J546&gt;0,"KREDIT","ZERO")))</f>
        <v/>
      </c>
      <c r="N546" s="101" t="str">
        <f aca="false">IF($E546="","",TEXT($B546,"yyyymmdd")&amp;"-"&amp;TEXT(ROW(),"0000"))</f>
        <v/>
      </c>
      <c r="O546" s="101" t="str">
        <f aca="false">IF($E546="","",$E546&amp;"")</f>
        <v/>
      </c>
      <c r="P546" s="101" t="str">
        <f aca="false">IF(AND($O546&lt;&gt;"",$I546&lt;&gt;0),COUNTIFS($O$2:O546,$O546,$I$2:I546,"&gt;0"),"")</f>
        <v/>
      </c>
      <c r="Q546" s="101" t="str">
        <f aca="false">IF(AND($O546&lt;&gt;"",$J546&lt;&gt;0),COUNTIFS($O$2:O546,$O546,$J$2:J546,"&gt;0"),"")</f>
        <v/>
      </c>
      <c r="R546" s="101" t="str">
        <f aca="false">IF($P546="","",$O546&amp;"|"&amp;$P546)</f>
        <v/>
      </c>
      <c r="S546" s="101" t="str">
        <f aca="false">IF($Q546="","",$O546&amp;"|"&amp;$Q546)</f>
        <v/>
      </c>
      <c r="T546" s="101" t="str">
        <f aca="false">IF($O546="","",COUNTIF($O$2:O546,$O546))</f>
        <v/>
      </c>
      <c r="U546" s="101" t="str">
        <f aca="false">IF($O546="","",$O546&amp;"|"&amp;$T546)</f>
        <v/>
      </c>
      <c r="V546" s="490" t="n">
        <f aca="false">IF(OR(LEFT($D546,5)="MB-CL",LEFT($D546,6)="MB-RES"),0,$I546)</f>
        <v>0</v>
      </c>
      <c r="W546" s="490" t="n">
        <f aca="false">IF(OR(LEFT($D546,5)="MB-CL",LEFT($D546,6)="MB-RES"),0,$J546)</f>
        <v>0</v>
      </c>
      <c r="X546" s="490" t="str">
        <f aca="false">IF($E546="","",LEFT($E546,1))</f>
        <v/>
      </c>
      <c r="Y546" s="490" t="str">
        <f aca="false">IF($E546="","",LEFT($E546,2))</f>
        <v/>
      </c>
      <c r="Z546" s="490" t="str">
        <f aca="false">IF($E546="","",LEFT($E546,3))</f>
        <v/>
      </c>
      <c r="AA546" s="490" t="str">
        <f aca="false">IF($E546="","",LEFT($E546,4))</f>
        <v/>
      </c>
    </row>
  </sheetData>
  <sheetProtection sheet="true" password="91db" formatCells="false" formatColumns="false" formatRows="false" sort="false" autoFilter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sheetData>
    <row r="1" customFormat="false" ht="15" hidden="false" customHeight="true" outlineLevel="0" collapsed="false">
      <c r="A1" s="361" t="s">
        <v>743</v>
      </c>
      <c r="B1" s="361" t="s">
        <v>184</v>
      </c>
      <c r="C1" s="361" t="s">
        <v>1476</v>
      </c>
    </row>
    <row r="2" customFormat="false" ht="15" hidden="false" customHeight="true" outlineLevel="0" collapsed="false">
      <c r="A2" s="101" t="str">
        <f aca="false">IF(PLANI_LLOGARIVE!$A2="","",PLANI_LLOGARIVE!$A2)</f>
        <v>1</v>
      </c>
      <c r="B2" s="101" t="str">
        <f aca="false">IF($A2="","",PLANI_LLOGARIVE!$B2)</f>
        <v>Kapitali, rezervat dhe rezultati</v>
      </c>
      <c r="C2" s="491" t="b">
        <f aca="false">IFERROR(IF($A2="","",PLANI_LLOGARIVE!$J2),"")</f>
        <v>0</v>
      </c>
    </row>
    <row r="3" customFormat="false" ht="15" hidden="false" customHeight="true" outlineLevel="0" collapsed="false">
      <c r="A3" s="101" t="str">
        <f aca="false">IF(PLANI_LLOGARIVE!$A3="","",PLANI_LLOGARIVE!$A3)</f>
        <v>10</v>
      </c>
      <c r="B3" s="101" t="str">
        <f aca="false">IF($A3="","",PLANI_LLOGARIVE!$B3)</f>
        <v>Kapitali</v>
      </c>
      <c r="C3" s="491" t="b">
        <f aca="false">IFERROR(IF($A3="","",PLANI_LLOGARIVE!$J3),"")</f>
        <v>0</v>
      </c>
    </row>
    <row r="4" customFormat="false" ht="15" hidden="false" customHeight="true" outlineLevel="0" collapsed="false">
      <c r="A4" s="101" t="str">
        <f aca="false">IF(PLANI_LLOGARIVE!$A4="","",PLANI_LLOGARIVE!$A4)</f>
        <v>101</v>
      </c>
      <c r="B4" s="101" t="str">
        <f aca="false">IF($A4="","",PLANI_LLOGARIVE!$B4)</f>
        <v>Kapitali i paguar / themeltar</v>
      </c>
      <c r="C4" s="491" t="b">
        <f aca="false">IFERROR(IF($A4="","",PLANI_LLOGARIVE!$J4),"")</f>
        <v>1</v>
      </c>
    </row>
    <row r="5" customFormat="false" ht="15" hidden="false" customHeight="true" outlineLevel="0" collapsed="false">
      <c r="A5" s="101" t="str">
        <f aca="false">IF(PLANI_LLOGARIVE!$A5="","",PLANI_LLOGARIVE!$A5)</f>
        <v>102</v>
      </c>
      <c r="B5" s="101" t="str">
        <f aca="false">IF($A5="","",PLANI_LLOGARIVE!$B5)</f>
        <v>Kapitali i nënshkruar i papaguar</v>
      </c>
      <c r="C5" s="491" t="b">
        <f aca="false">IFERROR(IF($A5="","",PLANI_LLOGARIVE!$J5),"")</f>
        <v>1</v>
      </c>
    </row>
    <row r="6" customFormat="false" ht="15" hidden="false" customHeight="true" outlineLevel="0" collapsed="false">
      <c r="A6" s="101" t="str">
        <f aca="false">IF(PLANI_LLOGARIVE!$A6="","",PLANI_LLOGARIVE!$A6)</f>
        <v>104</v>
      </c>
      <c r="B6" s="101" t="str">
        <f aca="false">IF($A6="","",PLANI_LLOGARIVE!$B6)</f>
        <v>Prime të lidhura me kapitalin</v>
      </c>
      <c r="C6" s="491" t="b">
        <f aca="false">IFERROR(IF($A6="","",PLANI_LLOGARIVE!$J6),"")</f>
        <v>1</v>
      </c>
    </row>
    <row r="7" customFormat="false" ht="15" hidden="false" customHeight="true" outlineLevel="0" collapsed="false">
      <c r="A7" s="101" t="str">
        <f aca="false">IF(PLANI_LLOGARIVE!$A7="","",PLANI_LLOGARIVE!$A7)</f>
        <v>105</v>
      </c>
      <c r="B7" s="101" t="str">
        <f aca="false">IF($A7="","",PLANI_LLOGARIVE!$B7)</f>
        <v>Rezerva nga rivlerësimi</v>
      </c>
      <c r="C7" s="491" t="b">
        <f aca="false">IFERROR(IF($A7="","",PLANI_LLOGARIVE!$J7),"")</f>
        <v>1</v>
      </c>
    </row>
    <row r="8" customFormat="false" ht="15" hidden="false" customHeight="true" outlineLevel="0" collapsed="false">
      <c r="A8" s="101" t="str">
        <f aca="false">IF(PLANI_LLOGARIVE!$A8="","",PLANI_LLOGARIVE!$A8)</f>
        <v>106</v>
      </c>
      <c r="B8" s="101" t="str">
        <f aca="false">IF($A8="","",PLANI_LLOGARIVE!$B8)</f>
        <v>Rezerva ligjore</v>
      </c>
      <c r="C8" s="491" t="b">
        <f aca="false">IFERROR(IF($A8="","",PLANI_LLOGARIVE!$J8),"")</f>
        <v>1</v>
      </c>
    </row>
    <row r="9" customFormat="false" ht="15" hidden="false" customHeight="true" outlineLevel="0" collapsed="false">
      <c r="A9" s="101" t="str">
        <f aca="false">IF(PLANI_LLOGARIVE!$A9="","",PLANI_LLOGARIVE!$A9)</f>
        <v>107</v>
      </c>
      <c r="B9" s="101" t="str">
        <f aca="false">IF($A9="","",PLANI_LLOGARIVE!$B9)</f>
        <v>Rezerva të tjera</v>
      </c>
      <c r="C9" s="491" t="b">
        <f aca="false">IFERROR(IF($A9="","",PLANI_LLOGARIVE!$J9),"")</f>
        <v>1</v>
      </c>
    </row>
    <row r="10" customFormat="false" ht="15" hidden="false" customHeight="true" outlineLevel="0" collapsed="false">
      <c r="A10" s="101" t="str">
        <f aca="false">IF(PLANI_LLOGARIVE!$A10="","",PLANI_LLOGARIVE!$A10)</f>
        <v>108</v>
      </c>
      <c r="B10" s="101" t="str">
        <f aca="false">IF($A10="","",PLANI_LLOGARIVE!$B10)</f>
        <v>Fitim / Humbje e pashpërndarë</v>
      </c>
      <c r="C10" s="491" t="b">
        <f aca="false">IFERROR(IF($A10="","",PLANI_LLOGARIVE!$J10),"")</f>
        <v>1</v>
      </c>
    </row>
    <row r="11" customFormat="false" ht="15" hidden="false" customHeight="true" outlineLevel="0" collapsed="false">
      <c r="A11" s="101" t="str">
        <f aca="false">IF(PLANI_LLOGARIVE!$A11="","",PLANI_LLOGARIVE!$A11)</f>
        <v>109</v>
      </c>
      <c r="B11" s="101" t="str">
        <f aca="false">IF($A11="","",PLANI_LLOGARIVE!$B11)</f>
        <v>Rezultati i ushtrimit (JO AKTIV — përdor 121)</v>
      </c>
      <c r="C11" s="491" t="b">
        <f aca="false">IFERROR(IF($A11="","",PLANI_LLOGARIVE!$J11),"")</f>
        <v>0</v>
      </c>
    </row>
    <row r="12" customFormat="false" ht="15" hidden="false" customHeight="true" outlineLevel="0" collapsed="false">
      <c r="A12" s="101" t="str">
        <f aca="false">IF(PLANI_LLOGARIVE!$A12="","",PLANI_LLOGARIVE!$A12)</f>
        <v>121</v>
      </c>
      <c r="B12" s="101" t="str">
        <f aca="false">IF($A12="","",PLANI_LLOGARIVE!$B12)</f>
        <v>Rezultati i ushtrimit — viti aktual</v>
      </c>
      <c r="C12" s="491" t="b">
        <f aca="false">IFERROR(IF($A12="","",PLANI_LLOGARIVE!$J12),"")</f>
        <v>1</v>
      </c>
    </row>
    <row r="13" customFormat="false" ht="15" hidden="false" customHeight="true" outlineLevel="0" collapsed="false">
      <c r="A13" s="101" t="str">
        <f aca="false">IF(PLANI_LLOGARIVE!$A13="","",PLANI_LLOGARIVE!$A13)</f>
        <v>2</v>
      </c>
      <c r="B13" s="101" t="str">
        <f aca="false">IF($A13="","",PLANI_LLOGARIVE!$B13)</f>
        <v>Aktivet afatgjata</v>
      </c>
      <c r="C13" s="491" t="b">
        <f aca="false">IFERROR(IF($A13="","",PLANI_LLOGARIVE!$J13),"")</f>
        <v>0</v>
      </c>
    </row>
    <row r="14" customFormat="false" ht="15" hidden="false" customHeight="true" outlineLevel="0" collapsed="false">
      <c r="A14" s="101" t="str">
        <f aca="false">IF(PLANI_LLOGARIVE!$A14="","",PLANI_LLOGARIVE!$A14)</f>
        <v>20</v>
      </c>
      <c r="B14" s="101" t="str">
        <f aca="false">IF($A14="","",PLANI_LLOGARIVE!$B14)</f>
        <v>Aktive afatgjata jomateriale</v>
      </c>
      <c r="C14" s="491" t="b">
        <f aca="false">IFERROR(IF($A14="","",PLANI_LLOGARIVE!$J14),"")</f>
        <v>0</v>
      </c>
    </row>
    <row r="15" customFormat="false" ht="15" hidden="false" customHeight="true" outlineLevel="0" collapsed="false">
      <c r="A15" s="101" t="str">
        <f aca="false">IF(PLANI_LLOGARIVE!$A15="","",PLANI_LLOGARIVE!$A15)</f>
        <v>201</v>
      </c>
      <c r="B15" s="101" t="str">
        <f aca="false">IF($A15="","",PLANI_LLOGARIVE!$B15)</f>
        <v>Emri i mirë</v>
      </c>
      <c r="C15" s="491" t="b">
        <f aca="false">IFERROR(IF($A15="","",PLANI_LLOGARIVE!$J15),"")</f>
        <v>1</v>
      </c>
    </row>
    <row r="16" customFormat="false" ht="15" hidden="false" customHeight="true" outlineLevel="0" collapsed="false">
      <c r="A16" s="101" t="str">
        <f aca="false">IF(PLANI_LLOGARIVE!$A16="","",PLANI_LLOGARIVE!$A16)</f>
        <v>203</v>
      </c>
      <c r="B16" s="101" t="str">
        <f aca="false">IF($A16="","",PLANI_LLOGARIVE!$B16)</f>
        <v>Shpenzime zhvillimi</v>
      </c>
      <c r="C16" s="491" t="b">
        <f aca="false">IFERROR(IF($A16="","",PLANI_LLOGARIVE!$J16),"")</f>
        <v>1</v>
      </c>
    </row>
    <row r="17" customFormat="false" ht="15" hidden="false" customHeight="true" outlineLevel="0" collapsed="false">
      <c r="A17" s="101" t="str">
        <f aca="false">IF(PLANI_LLOGARIVE!$A17="","",PLANI_LLOGARIVE!$A17)</f>
        <v>205</v>
      </c>
      <c r="B17" s="101" t="str">
        <f aca="false">IF($A17="","",PLANI_LLOGARIVE!$B17)</f>
        <v>Koncesione, patenta, licenca</v>
      </c>
      <c r="C17" s="491" t="b">
        <f aca="false">IFERROR(IF($A17="","",PLANI_LLOGARIVE!$J17),"")</f>
        <v>1</v>
      </c>
    </row>
    <row r="18" customFormat="false" ht="15" hidden="false" customHeight="true" outlineLevel="0" collapsed="false">
      <c r="A18" s="101" t="str">
        <f aca="false">IF(PLANI_LLOGARIVE!$A18="","",PLANI_LLOGARIVE!$A18)</f>
        <v>208</v>
      </c>
      <c r="B18" s="101" t="str">
        <f aca="false">IF($A18="","",PLANI_LLOGARIVE!$B18)</f>
        <v>Të tjera AAM jomateriale</v>
      </c>
      <c r="C18" s="491" t="b">
        <f aca="false">IFERROR(IF($A18="","",PLANI_LLOGARIVE!$J18),"")</f>
        <v>1</v>
      </c>
    </row>
    <row r="19" customFormat="false" ht="15" hidden="false" customHeight="true" outlineLevel="0" collapsed="false">
      <c r="A19" s="101" t="str">
        <f aca="false">IF(PLANI_LLOGARIVE!$A19="","",PLANI_LLOGARIVE!$A19)</f>
        <v>21</v>
      </c>
      <c r="B19" s="101" t="str">
        <f aca="false">IF($A19="","",PLANI_LLOGARIVE!$B19)</f>
        <v>Aktive afatgjata materiale</v>
      </c>
      <c r="C19" s="491" t="b">
        <f aca="false">IFERROR(IF($A19="","",PLANI_LLOGARIVE!$J19),"")</f>
        <v>0</v>
      </c>
    </row>
    <row r="20" customFormat="false" ht="15" hidden="false" customHeight="true" outlineLevel="0" collapsed="false">
      <c r="A20" s="101" t="str">
        <f aca="false">IF(PLANI_LLOGARIVE!$A20="","",PLANI_LLOGARIVE!$A20)</f>
        <v>211</v>
      </c>
      <c r="B20" s="101" t="str">
        <f aca="false">IF($A20="","",PLANI_LLOGARIVE!$B20)</f>
        <v>Toka</v>
      </c>
      <c r="C20" s="491" t="b">
        <f aca="false">IFERROR(IF($A20="","",PLANI_LLOGARIVE!$J20),"")</f>
        <v>1</v>
      </c>
    </row>
    <row r="21" customFormat="false" ht="15" hidden="false" customHeight="true" outlineLevel="0" collapsed="false">
      <c r="A21" s="101" t="str">
        <f aca="false">IF(PLANI_LLOGARIVE!$A21="","",PLANI_LLOGARIVE!$A21)</f>
        <v>212</v>
      </c>
      <c r="B21" s="101" t="str">
        <f aca="false">IF($A21="","",PLANI_LLOGARIVE!$B21)</f>
        <v>Ndërtesa</v>
      </c>
      <c r="C21" s="491" t="b">
        <f aca="false">IFERROR(IF($A21="","",PLANI_LLOGARIVE!$J21),"")</f>
        <v>1</v>
      </c>
    </row>
    <row r="22" customFormat="false" ht="15" hidden="false" customHeight="true" outlineLevel="0" collapsed="false">
      <c r="A22" s="101" t="str">
        <f aca="false">IF(PLANI_LLOGARIVE!$A22="","",PLANI_LLOGARIVE!$A22)</f>
        <v>213</v>
      </c>
      <c r="B22" s="101" t="str">
        <f aca="false">IF($A22="","",PLANI_LLOGARIVE!$B22)</f>
        <v>Instalime teknike, makineri, pajisje</v>
      </c>
      <c r="C22" s="491" t="b">
        <f aca="false">IFERROR(IF($A22="","",PLANI_LLOGARIVE!$J22),"")</f>
        <v>1</v>
      </c>
    </row>
    <row r="23" customFormat="false" ht="15" hidden="false" customHeight="true" outlineLevel="0" collapsed="false">
      <c r="A23" s="101" t="str">
        <f aca="false">IF(PLANI_LLOGARIVE!$A23="","",PLANI_LLOGARIVE!$A23)</f>
        <v>215</v>
      </c>
      <c r="B23" s="101" t="str">
        <f aca="false">IF($A23="","",PLANI_LLOGARIVE!$B23)</f>
        <v>Mjete transporti</v>
      </c>
      <c r="C23" s="491" t="b">
        <f aca="false">IFERROR(IF($A23="","",PLANI_LLOGARIVE!$J23),"")</f>
        <v>1</v>
      </c>
    </row>
    <row r="24" customFormat="false" ht="15" hidden="false" customHeight="true" outlineLevel="0" collapsed="false">
      <c r="A24" s="101" t="str">
        <f aca="false">IF(PLANI_LLOGARIVE!$A24="","",PLANI_LLOGARIVE!$A24)</f>
        <v>218</v>
      </c>
      <c r="B24" s="101" t="str">
        <f aca="false">IF($A24="","",PLANI_LLOGARIVE!$B24)</f>
        <v>Të tjera AAM materiale</v>
      </c>
      <c r="C24" s="491" t="b">
        <f aca="false">IFERROR(IF($A24="","",PLANI_LLOGARIVE!$J24),"")</f>
        <v>1</v>
      </c>
    </row>
    <row r="25" customFormat="false" ht="15" hidden="false" customHeight="true" outlineLevel="0" collapsed="false">
      <c r="A25" s="101" t="str">
        <f aca="false">IF(PLANI_LLOGARIVE!$A25="","",PLANI_LLOGARIVE!$A25)</f>
        <v>23</v>
      </c>
      <c r="B25" s="101" t="str">
        <f aca="false">IF($A25="","",PLANI_LLOGARIVE!$B25)</f>
        <v>Aktive afatgjata në proces</v>
      </c>
      <c r="C25" s="491" t="b">
        <f aca="false">IFERROR(IF($A25="","",PLANI_LLOGARIVE!$J25),"")</f>
        <v>0</v>
      </c>
    </row>
    <row r="26" customFormat="false" ht="15" hidden="false" customHeight="true" outlineLevel="0" collapsed="false">
      <c r="A26" s="101" t="str">
        <f aca="false">IF(PLANI_LLOGARIVE!$A26="","",PLANI_LLOGARIVE!$A26)</f>
        <v>231</v>
      </c>
      <c r="B26" s="101" t="str">
        <f aca="false">IF($A26="","",PLANI_LLOGARIVE!$B26)</f>
        <v>AAM materiale në proces</v>
      </c>
      <c r="C26" s="491" t="b">
        <f aca="false">IFERROR(IF($A26="","",PLANI_LLOGARIVE!$J26),"")</f>
        <v>1</v>
      </c>
    </row>
    <row r="27" customFormat="false" ht="15" hidden="false" customHeight="true" outlineLevel="0" collapsed="false">
      <c r="A27" s="101" t="str">
        <f aca="false">IF(PLANI_LLOGARIVE!$A27="","",PLANI_LLOGARIVE!$A27)</f>
        <v>232</v>
      </c>
      <c r="B27" s="101" t="str">
        <f aca="false">IF($A27="","",PLANI_LLOGARIVE!$B27)</f>
        <v>AAM jomateriale në proces</v>
      </c>
      <c r="C27" s="491" t="b">
        <f aca="false">IFERROR(IF($A27="","",PLANI_LLOGARIVE!$J27),"")</f>
        <v>1</v>
      </c>
    </row>
    <row r="28" customFormat="false" ht="15" hidden="false" customHeight="true" outlineLevel="0" collapsed="false">
      <c r="A28" s="101" t="str">
        <f aca="false">IF(PLANI_LLOGARIVE!$A28="","",PLANI_LLOGARIVE!$A28)</f>
        <v>28</v>
      </c>
      <c r="B28" s="101" t="str">
        <f aca="false">IF($A28="","",PLANI_LLOGARIVE!$B28)</f>
        <v>Amortizimi i akumuluar i AAM</v>
      </c>
      <c r="C28" s="491" t="b">
        <f aca="false">IFERROR(IF($A28="","",PLANI_LLOGARIVE!$J28),"")</f>
        <v>0</v>
      </c>
    </row>
    <row r="29" customFormat="false" ht="15" hidden="false" customHeight="true" outlineLevel="0" collapsed="false">
      <c r="A29" s="101" t="str">
        <f aca="false">IF(PLANI_LLOGARIVE!$A29="","",PLANI_LLOGARIVE!$A29)</f>
        <v>280</v>
      </c>
      <c r="B29" s="101" t="str">
        <f aca="false">IF($A29="","",PLANI_LLOGARIVE!$B29)</f>
        <v>Amortizimi i AA jomateriale</v>
      </c>
      <c r="C29" s="491" t="b">
        <f aca="false">IFERROR(IF($A29="","",PLANI_LLOGARIVE!$J29),"")</f>
        <v>1</v>
      </c>
    </row>
    <row r="30" customFormat="false" ht="15" hidden="false" customHeight="true" outlineLevel="0" collapsed="false">
      <c r="A30" s="101" t="str">
        <f aca="false">IF(PLANI_LLOGARIVE!$A30="","",PLANI_LLOGARIVE!$A30)</f>
        <v>281</v>
      </c>
      <c r="B30" s="101" t="str">
        <f aca="false">IF($A30="","",PLANI_LLOGARIVE!$B30)</f>
        <v>Amortizimi i AA materiale</v>
      </c>
      <c r="C30" s="491" t="b">
        <f aca="false">IFERROR(IF($A30="","",PLANI_LLOGARIVE!$J30),"")</f>
        <v>1</v>
      </c>
    </row>
    <row r="31" customFormat="false" ht="15" hidden="false" customHeight="true" outlineLevel="0" collapsed="false">
      <c r="A31" s="101" t="str">
        <f aca="false">IF(PLANI_LLOGARIVE!$A31="","",PLANI_LLOGARIVE!$A31)</f>
        <v>29</v>
      </c>
      <c r="B31" s="101" t="str">
        <f aca="false">IF($A31="","",PLANI_LLOGARIVE!$B31)</f>
        <v>Zhvlerësimi i aktiveve afatgjata</v>
      </c>
      <c r="C31" s="491" t="b">
        <f aca="false">IFERROR(IF($A31="","",PLANI_LLOGARIVE!$J31),"")</f>
        <v>0</v>
      </c>
    </row>
    <row r="32" customFormat="false" ht="15" hidden="false" customHeight="true" outlineLevel="0" collapsed="false">
      <c r="A32" s="101" t="str">
        <f aca="false">IF(PLANI_LLOGARIVE!$A32="","",PLANI_LLOGARIVE!$A32)</f>
        <v>290</v>
      </c>
      <c r="B32" s="101" t="str">
        <f aca="false">IF($A32="","",PLANI_LLOGARIVE!$B32)</f>
        <v>Zhvlerësim i AA jomateriale</v>
      </c>
      <c r="C32" s="491" t="b">
        <f aca="false">IFERROR(IF($A32="","",PLANI_LLOGARIVE!$J32),"")</f>
        <v>1</v>
      </c>
    </row>
    <row r="33" customFormat="false" ht="15" hidden="false" customHeight="true" outlineLevel="0" collapsed="false">
      <c r="A33" s="101" t="str">
        <f aca="false">IF(PLANI_LLOGARIVE!$A33="","",PLANI_LLOGARIVE!$A33)</f>
        <v>291</v>
      </c>
      <c r="B33" s="101" t="str">
        <f aca="false">IF($A33="","",PLANI_LLOGARIVE!$B33)</f>
        <v>Zhvlerësim i AA materiale</v>
      </c>
      <c r="C33" s="491" t="b">
        <f aca="false">IFERROR(IF($A33="","",PLANI_LLOGARIVE!$J33),"")</f>
        <v>1</v>
      </c>
    </row>
    <row r="34" customFormat="false" ht="15" hidden="false" customHeight="true" outlineLevel="0" collapsed="false">
      <c r="A34" s="101" t="str">
        <f aca="false">IF(PLANI_LLOGARIVE!$A34="","",PLANI_LLOGARIVE!$A34)</f>
        <v>3</v>
      </c>
      <c r="B34" s="101" t="str">
        <f aca="false">IF($A34="","",PLANI_LLOGARIVE!$B34)</f>
        <v>Inventarët</v>
      </c>
      <c r="C34" s="491" t="b">
        <f aca="false">IFERROR(IF($A34="","",PLANI_LLOGARIVE!$J34),"")</f>
        <v>0</v>
      </c>
    </row>
    <row r="35" customFormat="false" ht="15" hidden="false" customHeight="true" outlineLevel="0" collapsed="false">
      <c r="A35" s="101" t="str">
        <f aca="false">IF(PLANI_LLOGARIVE!$A35="","",PLANI_LLOGARIVE!$A35)</f>
        <v>31</v>
      </c>
      <c r="B35" s="101" t="str">
        <f aca="false">IF($A35="","",PLANI_LLOGARIVE!$B35)</f>
        <v>Materiale</v>
      </c>
      <c r="C35" s="491" t="b">
        <f aca="false">IFERROR(IF($A35="","",PLANI_LLOGARIVE!$J35),"")</f>
        <v>0</v>
      </c>
    </row>
    <row r="36" customFormat="false" ht="15" hidden="false" customHeight="true" outlineLevel="0" collapsed="false">
      <c r="A36" s="101" t="str">
        <f aca="false">IF(PLANI_LLOGARIVE!$A36="","",PLANI_LLOGARIVE!$A36)</f>
        <v>311</v>
      </c>
      <c r="B36" s="101" t="str">
        <f aca="false">IF($A36="","",PLANI_LLOGARIVE!$B36)</f>
        <v>Materiale të para</v>
      </c>
      <c r="C36" s="491" t="b">
        <f aca="false">IFERROR(IF($A36="","",PLANI_LLOGARIVE!$J36),"")</f>
        <v>1</v>
      </c>
    </row>
    <row r="37" customFormat="false" ht="15" hidden="false" customHeight="true" outlineLevel="0" collapsed="false">
      <c r="A37" s="101" t="str">
        <f aca="false">IF(PLANI_LLOGARIVE!$A37="","",PLANI_LLOGARIVE!$A37)</f>
        <v>312</v>
      </c>
      <c r="B37" s="101" t="str">
        <f aca="false">IF($A37="","",PLANI_LLOGARIVE!$B37)</f>
        <v>Materiale të tjera</v>
      </c>
      <c r="C37" s="491" t="b">
        <f aca="false">IFERROR(IF($A37="","",PLANI_LLOGARIVE!$J37),"")</f>
        <v>1</v>
      </c>
    </row>
    <row r="38" customFormat="false" ht="15" hidden="false" customHeight="true" outlineLevel="0" collapsed="false">
      <c r="A38" s="101" t="str">
        <f aca="false">IF(PLANI_LLOGARIVE!$A38="","",PLANI_LLOGARIVE!$A38)</f>
        <v>32</v>
      </c>
      <c r="B38" s="101" t="str">
        <f aca="false">IF($A38="","",PLANI_LLOGARIVE!$B38)</f>
        <v>Inventar i imët dhe ambalazhe</v>
      </c>
      <c r="C38" s="491" t="b">
        <f aca="false">IFERROR(IF($A38="","",PLANI_LLOGARIVE!$J38),"")</f>
        <v>0</v>
      </c>
    </row>
    <row r="39" customFormat="false" ht="15" hidden="false" customHeight="true" outlineLevel="0" collapsed="false">
      <c r="A39" s="101" t="str">
        <f aca="false">IF(PLANI_LLOGARIVE!$A39="","",PLANI_LLOGARIVE!$A39)</f>
        <v>321</v>
      </c>
      <c r="B39" s="101" t="str">
        <f aca="false">IF($A39="","",PLANI_LLOGARIVE!$B39)</f>
        <v>Objekte inventari</v>
      </c>
      <c r="C39" s="491" t="b">
        <f aca="false">IFERROR(IF($A39="","",PLANI_LLOGARIVE!$J39),"")</f>
        <v>1</v>
      </c>
    </row>
    <row r="40" customFormat="false" ht="15" hidden="false" customHeight="true" outlineLevel="0" collapsed="false">
      <c r="A40" s="101" t="str">
        <f aca="false">IF(PLANI_LLOGARIVE!$A40="","",PLANI_LLOGARIVE!$A40)</f>
        <v>326</v>
      </c>
      <c r="B40" s="101" t="str">
        <f aca="false">IF($A40="","",PLANI_LLOGARIVE!$B40)</f>
        <v>Ambalazh i kthyeshëm</v>
      </c>
      <c r="C40" s="491" t="b">
        <f aca="false">IFERROR(IF($A40="","",PLANI_LLOGARIVE!$J40),"")</f>
        <v>1</v>
      </c>
    </row>
    <row r="41" customFormat="false" ht="15" hidden="false" customHeight="true" outlineLevel="0" collapsed="false">
      <c r="A41" s="101" t="str">
        <f aca="false">IF(PLANI_LLOGARIVE!$A41="","",PLANI_LLOGARIVE!$A41)</f>
        <v>33</v>
      </c>
      <c r="B41" s="101" t="str">
        <f aca="false">IF($A41="","",PLANI_LLOGARIVE!$B41)</f>
        <v>Prodhime në proces</v>
      </c>
      <c r="C41" s="491" t="b">
        <f aca="false">IFERROR(IF($A41="","",PLANI_LLOGARIVE!$J41),"")</f>
        <v>0</v>
      </c>
    </row>
    <row r="42" customFormat="false" ht="15" hidden="false" customHeight="true" outlineLevel="0" collapsed="false">
      <c r="A42" s="101" t="str">
        <f aca="false">IF(PLANI_LLOGARIVE!$A42="","",PLANI_LLOGARIVE!$A42)</f>
        <v>331</v>
      </c>
      <c r="B42" s="101" t="str">
        <f aca="false">IF($A42="","",PLANI_LLOGARIVE!$B42)</f>
        <v>Prodhime në proces</v>
      </c>
      <c r="C42" s="491" t="b">
        <f aca="false">IFERROR(IF($A42="","",PLANI_LLOGARIVE!$J42),"")</f>
        <v>1</v>
      </c>
    </row>
    <row r="43" customFormat="false" ht="15" hidden="false" customHeight="true" outlineLevel="0" collapsed="false">
      <c r="A43" s="101" t="str">
        <f aca="false">IF(PLANI_LLOGARIVE!$A43="","",PLANI_LLOGARIVE!$A43)</f>
        <v>332</v>
      </c>
      <c r="B43" s="101" t="str">
        <f aca="false">IF($A43="","",PLANI_LLOGARIVE!$B43)</f>
        <v>Punime në proces</v>
      </c>
      <c r="C43" s="491" t="b">
        <f aca="false">IFERROR(IF($A43="","",PLANI_LLOGARIVE!$J43),"")</f>
        <v>1</v>
      </c>
    </row>
    <row r="44" customFormat="false" ht="15" hidden="false" customHeight="true" outlineLevel="0" collapsed="false">
      <c r="A44" s="101" t="str">
        <f aca="false">IF(PLANI_LLOGARIVE!$A44="","",PLANI_LLOGARIVE!$A44)</f>
        <v>34</v>
      </c>
      <c r="B44" s="101" t="str">
        <f aca="false">IF($A44="","",PLANI_LLOGARIVE!$B44)</f>
        <v>Produkte</v>
      </c>
      <c r="C44" s="491" t="b">
        <f aca="false">IFERROR(IF($A44="","",PLANI_LLOGARIVE!$J44),"")</f>
        <v>0</v>
      </c>
    </row>
    <row r="45" customFormat="false" ht="15" hidden="false" customHeight="true" outlineLevel="0" collapsed="false">
      <c r="A45" s="101" t="str">
        <f aca="false">IF(PLANI_LLOGARIVE!$A45="","",PLANI_LLOGARIVE!$A45)</f>
        <v>341</v>
      </c>
      <c r="B45" s="101" t="str">
        <f aca="false">IF($A45="","",PLANI_LLOGARIVE!$B45)</f>
        <v>Produkte të ndërmjetme</v>
      </c>
      <c r="C45" s="491" t="b">
        <f aca="false">IFERROR(IF($A45="","",PLANI_LLOGARIVE!$J45),"")</f>
        <v>1</v>
      </c>
    </row>
    <row r="46" customFormat="false" ht="15" hidden="false" customHeight="true" outlineLevel="0" collapsed="false">
      <c r="A46" s="101" t="str">
        <f aca="false">IF(PLANI_LLOGARIVE!$A46="","",PLANI_LLOGARIVE!$A46)</f>
        <v>342</v>
      </c>
      <c r="B46" s="101" t="str">
        <f aca="false">IF($A46="","",PLANI_LLOGARIVE!$B46)</f>
        <v>Produkte të gatshme</v>
      </c>
      <c r="C46" s="491" t="b">
        <f aca="false">IFERROR(IF($A46="","",PLANI_LLOGARIVE!$J46),"")</f>
        <v>1</v>
      </c>
    </row>
    <row r="47" customFormat="false" ht="15" hidden="false" customHeight="true" outlineLevel="0" collapsed="false">
      <c r="A47" s="101" t="str">
        <f aca="false">IF(PLANI_LLOGARIVE!$A47="","",PLANI_LLOGARIVE!$A47)</f>
        <v>35</v>
      </c>
      <c r="B47" s="101" t="str">
        <f aca="false">IF($A47="","",PLANI_LLOGARIVE!$B47)</f>
        <v>Mallra për shitje</v>
      </c>
      <c r="C47" s="491" t="b">
        <f aca="false">IFERROR(IF($A47="","",PLANI_LLOGARIVE!$J47),"")</f>
        <v>0</v>
      </c>
    </row>
    <row r="48" customFormat="false" ht="15" hidden="false" customHeight="true" outlineLevel="0" collapsed="false">
      <c r="A48" s="101" t="str">
        <f aca="false">IF(PLANI_LLOGARIVE!$A48="","",PLANI_LLOGARIVE!$A48)</f>
        <v>351</v>
      </c>
      <c r="B48" s="101" t="str">
        <f aca="false">IF($A48="","",PLANI_LLOGARIVE!$B48)</f>
        <v>Mallra për shitje</v>
      </c>
      <c r="C48" s="491" t="b">
        <f aca="false">IFERROR(IF($A48="","",PLANI_LLOGARIVE!$J48),"")</f>
        <v>1</v>
      </c>
    </row>
    <row r="49" customFormat="false" ht="15" hidden="false" customHeight="true" outlineLevel="0" collapsed="false">
      <c r="A49" s="101" t="str">
        <f aca="false">IF(PLANI_LLOGARIVE!$A49="","",PLANI_LLOGARIVE!$A49)</f>
        <v>37</v>
      </c>
      <c r="B49" s="101" t="str">
        <f aca="false">IF($A49="","",PLANI_LLOGARIVE!$B49)</f>
        <v>Inventar i pambërritur ose tek të tretët</v>
      </c>
      <c r="C49" s="491" t="b">
        <f aca="false">IFERROR(IF($A49="","",PLANI_LLOGARIVE!$J49),"")</f>
        <v>0</v>
      </c>
    </row>
    <row r="50" customFormat="false" ht="15" hidden="false" customHeight="true" outlineLevel="0" collapsed="false">
      <c r="A50" s="101" t="str">
        <f aca="false">IF(PLANI_LLOGARIVE!$A50="","",PLANI_LLOGARIVE!$A50)</f>
        <v>371</v>
      </c>
      <c r="B50" s="101" t="str">
        <f aca="false">IF($A50="","",PLANI_LLOGARIVE!$B50)</f>
        <v>Materiale të para në rrugë</v>
      </c>
      <c r="C50" s="491" t="b">
        <f aca="false">IFERROR(IF($A50="","",PLANI_LLOGARIVE!$J50),"")</f>
        <v>1</v>
      </c>
    </row>
    <row r="51" customFormat="false" ht="15" hidden="false" customHeight="true" outlineLevel="0" collapsed="false">
      <c r="A51" s="101" t="str">
        <f aca="false">IF(PLANI_LLOGARIVE!$A51="","",PLANI_LLOGARIVE!$A51)</f>
        <v>372</v>
      </c>
      <c r="B51" s="101" t="str">
        <f aca="false">IF($A51="","",PLANI_LLOGARIVE!$B51)</f>
        <v>Materiale të tjera në rrugë</v>
      </c>
      <c r="C51" s="491" t="b">
        <f aca="false">IFERROR(IF($A51="","",PLANI_LLOGARIVE!$J51),"")</f>
        <v>1</v>
      </c>
    </row>
    <row r="52" customFormat="false" ht="15" hidden="false" customHeight="true" outlineLevel="0" collapsed="false">
      <c r="A52" s="101" t="str">
        <f aca="false">IF(PLANI_LLOGARIVE!$A52="","",PLANI_LLOGARIVE!$A52)</f>
        <v>374</v>
      </c>
      <c r="B52" s="101" t="str">
        <f aca="false">IF($A52="","",PLANI_LLOGARIVE!$B52)</f>
        <v>Produkte të gatshme në rrugë</v>
      </c>
      <c r="C52" s="491" t="b">
        <f aca="false">IFERROR(IF($A52="","",PLANI_LLOGARIVE!$J52),"")</f>
        <v>1</v>
      </c>
    </row>
    <row r="53" customFormat="false" ht="15" hidden="false" customHeight="true" outlineLevel="0" collapsed="false">
      <c r="A53" s="101" t="str">
        <f aca="false">IF(PLANI_LLOGARIVE!$A53="","",PLANI_LLOGARIVE!$A53)</f>
        <v>375</v>
      </c>
      <c r="B53" s="101" t="str">
        <f aca="false">IF($A53="","",PLANI_LLOGARIVE!$B53)</f>
        <v>Mallra në rrugë</v>
      </c>
      <c r="C53" s="491" t="b">
        <f aca="false">IFERROR(IF($A53="","",PLANI_LLOGARIVE!$J53),"")</f>
        <v>1</v>
      </c>
    </row>
    <row r="54" customFormat="false" ht="15" hidden="false" customHeight="true" outlineLevel="0" collapsed="false">
      <c r="A54" s="101" t="str">
        <f aca="false">IF(PLANI_LLOGARIVE!$A54="","",PLANI_LLOGARIVE!$A54)</f>
        <v>39</v>
      </c>
      <c r="B54" s="101" t="str">
        <f aca="false">IF($A54="","",PLANI_LLOGARIVE!$B54)</f>
        <v>Zhvlerësimi i inventarëve</v>
      </c>
      <c r="C54" s="491" t="b">
        <f aca="false">IFERROR(IF($A54="","",PLANI_LLOGARIVE!$J54),"")</f>
        <v>0</v>
      </c>
    </row>
    <row r="55" customFormat="false" ht="15" hidden="false" customHeight="true" outlineLevel="0" collapsed="false">
      <c r="A55" s="101" t="str">
        <f aca="false">IF(PLANI_LLOGARIVE!$A55="","",PLANI_LLOGARIVE!$A55)</f>
        <v>391</v>
      </c>
      <c r="B55" s="101" t="str">
        <f aca="false">IF($A55="","",PLANI_LLOGARIVE!$B55)</f>
        <v>Zhvlerësim i materialeve të para</v>
      </c>
      <c r="C55" s="491" t="b">
        <f aca="false">IFERROR(IF($A55="","",PLANI_LLOGARIVE!$J55),"")</f>
        <v>1</v>
      </c>
    </row>
    <row r="56" customFormat="false" ht="15" hidden="false" customHeight="true" outlineLevel="0" collapsed="false">
      <c r="A56" s="101" t="str">
        <f aca="false">IF(PLANI_LLOGARIVE!$A56="","",PLANI_LLOGARIVE!$A56)</f>
        <v>394</v>
      </c>
      <c r="B56" s="101" t="str">
        <f aca="false">IF($A56="","",PLANI_LLOGARIVE!$B56)</f>
        <v>Zhvlerësim i produkteve të gatshme</v>
      </c>
      <c r="C56" s="491" t="b">
        <f aca="false">IFERROR(IF($A56="","",PLANI_LLOGARIVE!$J56),"")</f>
        <v>1</v>
      </c>
    </row>
    <row r="57" customFormat="false" ht="15" hidden="false" customHeight="true" outlineLevel="0" collapsed="false">
      <c r="A57" s="101" t="str">
        <f aca="false">IF(PLANI_LLOGARIVE!$A57="","",PLANI_LLOGARIVE!$A57)</f>
        <v>395</v>
      </c>
      <c r="B57" s="101" t="str">
        <f aca="false">IF($A57="","",PLANI_LLOGARIVE!$B57)</f>
        <v>Zhvlerësim i mallrave për shitje</v>
      </c>
      <c r="C57" s="491" t="b">
        <f aca="false">IFERROR(IF($A57="","",PLANI_LLOGARIVE!$J57),"")</f>
        <v>1</v>
      </c>
    </row>
    <row r="58" customFormat="false" ht="15" hidden="false" customHeight="true" outlineLevel="0" collapsed="false">
      <c r="A58" s="101" t="str">
        <f aca="false">IF(PLANI_LLOGARIVE!$A58="","",PLANI_LLOGARIVE!$A58)</f>
        <v>4</v>
      </c>
      <c r="B58" s="101" t="str">
        <f aca="false">IF($A58="","",PLANI_LLOGARIVE!$B58)</f>
        <v>Llogaritë e të tretëve</v>
      </c>
      <c r="C58" s="491" t="b">
        <f aca="false">IFERROR(IF($A58="","",PLANI_LLOGARIVE!$J58),"")</f>
        <v>0</v>
      </c>
    </row>
    <row r="59" customFormat="false" ht="15" hidden="false" customHeight="true" outlineLevel="0" collapsed="false">
      <c r="A59" s="101" t="str">
        <f aca="false">IF(PLANI_LLOGARIVE!$A59="","",PLANI_LLOGARIVE!$A59)</f>
        <v>40</v>
      </c>
      <c r="B59" s="101" t="str">
        <f aca="false">IF($A59="","",PLANI_LLOGARIVE!$B59)</f>
        <v>Detyrime tregtare</v>
      </c>
      <c r="C59" s="491" t="b">
        <f aca="false">IFERROR(IF($A59="","",PLANI_LLOGARIVE!$J59),"")</f>
        <v>0</v>
      </c>
    </row>
    <row r="60" customFormat="false" ht="15" hidden="false" customHeight="true" outlineLevel="0" collapsed="false">
      <c r="A60" s="101" t="str">
        <f aca="false">IF(PLANI_LLOGARIVE!$A60="","",PLANI_LLOGARIVE!$A60)</f>
        <v>401</v>
      </c>
      <c r="B60" s="101" t="str">
        <f aca="false">IF($A60="","",PLANI_LLOGARIVE!$B60)</f>
        <v>Furnitorë për mallra, produkte e shërbime</v>
      </c>
      <c r="C60" s="491" t="b">
        <f aca="false">IFERROR(IF($A60="","",PLANI_LLOGARIVE!$J60),"")</f>
        <v>1</v>
      </c>
    </row>
    <row r="61" customFormat="false" ht="15" hidden="false" customHeight="true" outlineLevel="0" collapsed="false">
      <c r="A61" s="101" t="str">
        <f aca="false">IF(PLANI_LLOGARIVE!$A61="","",PLANI_LLOGARIVE!$A61)</f>
        <v>403</v>
      </c>
      <c r="B61" s="101" t="str">
        <f aca="false">IF($A61="","",PLANI_LLOGARIVE!$B61)</f>
        <v>Premtim pagesa të pagueshme</v>
      </c>
      <c r="C61" s="491" t="b">
        <f aca="false">IFERROR(IF($A61="","",PLANI_LLOGARIVE!$J61),"")</f>
        <v>1</v>
      </c>
    </row>
    <row r="62" customFormat="false" ht="15" hidden="false" customHeight="true" outlineLevel="0" collapsed="false">
      <c r="A62" s="101" t="str">
        <f aca="false">IF(PLANI_LLOGARIVE!$A62="","",PLANI_LLOGARIVE!$A62)</f>
        <v>404</v>
      </c>
      <c r="B62" s="101" t="str">
        <f aca="false">IF($A62="","",PLANI_LLOGARIVE!$B62)</f>
        <v>Furnitorë për aktive afatgjata</v>
      </c>
      <c r="C62" s="491" t="b">
        <f aca="false">IFERROR(IF($A62="","",PLANI_LLOGARIVE!$J62),"")</f>
        <v>1</v>
      </c>
    </row>
    <row r="63" customFormat="false" ht="15" hidden="false" customHeight="true" outlineLevel="0" collapsed="false">
      <c r="A63" s="101" t="str">
        <f aca="false">IF(PLANI_LLOGARIVE!$A63="","",PLANI_LLOGARIVE!$A63)</f>
        <v>408</v>
      </c>
      <c r="B63" s="101" t="str">
        <f aca="false">IF($A63="","",PLANI_LLOGARIVE!$B63)</f>
        <v>Furnitorë për fatura të pambërritura</v>
      </c>
      <c r="C63" s="491" t="b">
        <f aca="false">IFERROR(IF($A63="","",PLANI_LLOGARIVE!$J63),"")</f>
        <v>1</v>
      </c>
    </row>
    <row r="64" customFormat="false" ht="15" hidden="false" customHeight="true" outlineLevel="0" collapsed="false">
      <c r="A64" s="101" t="str">
        <f aca="false">IF(PLANI_LLOGARIVE!$A64="","",PLANI_LLOGARIVE!$A64)</f>
        <v>409</v>
      </c>
      <c r="B64" s="101" t="str">
        <f aca="false">IF($A64="","",PLANI_LLOGARIVE!$B64)</f>
        <v>Parapagime të marra</v>
      </c>
      <c r="C64" s="491" t="b">
        <f aca="false">IFERROR(IF($A64="","",PLANI_LLOGARIVE!$J64),"")</f>
        <v>1</v>
      </c>
    </row>
    <row r="65" customFormat="false" ht="15" hidden="false" customHeight="true" outlineLevel="0" collapsed="false">
      <c r="A65" s="101" t="str">
        <f aca="false">IF(PLANI_LLOGARIVE!$A65="","",PLANI_LLOGARIVE!$A65)</f>
        <v>41</v>
      </c>
      <c r="B65" s="101" t="str">
        <f aca="false">IF($A65="","",PLANI_LLOGARIVE!$B65)</f>
        <v>Të drejta tregtare</v>
      </c>
      <c r="C65" s="491" t="b">
        <f aca="false">IFERROR(IF($A65="","",PLANI_LLOGARIVE!$J65),"")</f>
        <v>0</v>
      </c>
    </row>
    <row r="66" customFormat="false" ht="15" hidden="false" customHeight="true" outlineLevel="0" collapsed="false">
      <c r="A66" s="101" t="str">
        <f aca="false">IF(PLANI_LLOGARIVE!$A66="","",PLANI_LLOGARIVE!$A66)</f>
        <v>411</v>
      </c>
      <c r="B66" s="101" t="str">
        <f aca="false">IF($A66="","",PLANI_LLOGARIVE!$B66)</f>
        <v>Klientë për mallra, produkte e shërbime</v>
      </c>
      <c r="C66" s="491" t="b">
        <f aca="false">IFERROR(IF($A66="","",PLANI_LLOGARIVE!$J66),"")</f>
        <v>1</v>
      </c>
    </row>
    <row r="67" customFormat="false" ht="15" hidden="false" customHeight="true" outlineLevel="0" collapsed="false">
      <c r="A67" s="101" t="str">
        <f aca="false">IF(PLANI_LLOGARIVE!$A67="","",PLANI_LLOGARIVE!$A67)</f>
        <v>413</v>
      </c>
      <c r="B67" s="101" t="str">
        <f aca="false">IF($A67="","",PLANI_LLOGARIVE!$B67)</f>
        <v>Premtim pagesa të arkëtueshme</v>
      </c>
      <c r="C67" s="491" t="b">
        <f aca="false">IFERROR(IF($A67="","",PLANI_LLOGARIVE!$J67),"")</f>
        <v>1</v>
      </c>
    </row>
    <row r="68" customFormat="false" ht="15" hidden="false" customHeight="true" outlineLevel="0" collapsed="false">
      <c r="A68" s="101" t="str">
        <f aca="false">IF(PLANI_LLOGARIVE!$A68="","",PLANI_LLOGARIVE!$A68)</f>
        <v>414</v>
      </c>
      <c r="B68" s="101" t="str">
        <f aca="false">IF($A68="","",PLANI_LLOGARIVE!$B68)</f>
        <v>Klientë për aktive afatgjata</v>
      </c>
      <c r="C68" s="491" t="b">
        <f aca="false">IFERROR(IF($A68="","",PLANI_LLOGARIVE!$J68),"")</f>
        <v>1</v>
      </c>
    </row>
    <row r="69" customFormat="false" ht="15" hidden="false" customHeight="true" outlineLevel="0" collapsed="false">
      <c r="A69" s="101" t="str">
        <f aca="false">IF(PLANI_LLOGARIVE!$A69="","",PLANI_LLOGARIVE!$A69)</f>
        <v>418</v>
      </c>
      <c r="B69" s="101" t="str">
        <f aca="false">IF($A69="","",PLANI_LLOGARIVE!$B69)</f>
        <v>Parapagime të dhëna</v>
      </c>
      <c r="C69" s="491" t="b">
        <f aca="false">IFERROR(IF($A69="","",PLANI_LLOGARIVE!$J69),"")</f>
        <v>1</v>
      </c>
    </row>
    <row r="70" customFormat="false" ht="15" hidden="false" customHeight="true" outlineLevel="0" collapsed="false">
      <c r="A70" s="101" t="str">
        <f aca="false">IF(PLANI_LLOGARIVE!$A70="","",PLANI_LLOGARIVE!$A70)</f>
        <v>42</v>
      </c>
      <c r="B70" s="101" t="str">
        <f aca="false">IF($A70="","",PLANI_LLOGARIVE!$B70)</f>
        <v>Detyrime ndaj personelit</v>
      </c>
      <c r="C70" s="491" t="b">
        <f aca="false">IFERROR(IF($A70="","",PLANI_LLOGARIVE!$J70),"")</f>
        <v>0</v>
      </c>
    </row>
    <row r="71" customFormat="false" ht="15" hidden="false" customHeight="true" outlineLevel="0" collapsed="false">
      <c r="A71" s="101" t="str">
        <f aca="false">IF(PLANI_LLOGARIVE!$A71="","",PLANI_LLOGARIVE!$A71)</f>
        <v>421</v>
      </c>
      <c r="B71" s="101" t="str">
        <f aca="false">IF($A71="","",PLANI_LLOGARIVE!$B71)</f>
        <v>Paga dhe shpërblime</v>
      </c>
      <c r="C71" s="491" t="b">
        <f aca="false">IFERROR(IF($A71="","",PLANI_LLOGARIVE!$J71),"")</f>
        <v>1</v>
      </c>
    </row>
    <row r="72" customFormat="false" ht="15" hidden="false" customHeight="true" outlineLevel="0" collapsed="false">
      <c r="A72" s="101" t="str">
        <f aca="false">IF(PLANI_LLOGARIVE!$A72="","",PLANI_LLOGARIVE!$A72)</f>
        <v>423</v>
      </c>
      <c r="B72" s="101" t="str">
        <f aca="false">IF($A72="","",PLANI_LLOGARIVE!$B72)</f>
        <v>Paradhënie për punonjësit</v>
      </c>
      <c r="C72" s="491" t="b">
        <f aca="false">IFERROR(IF($A72="","",PLANI_LLOGARIVE!$J72),"")</f>
        <v>1</v>
      </c>
    </row>
    <row r="73" customFormat="false" ht="15" hidden="false" customHeight="true" outlineLevel="0" collapsed="false">
      <c r="A73" s="101" t="str">
        <f aca="false">IF(PLANI_LLOGARIVE!$A73="","",PLANI_LLOGARIVE!$A73)</f>
        <v>43</v>
      </c>
      <c r="B73" s="101" t="str">
        <f aca="false">IF($A73="","",PLANI_LLOGARIVE!$B73)</f>
        <v>Detyrime për sigurime</v>
      </c>
      <c r="C73" s="491" t="b">
        <f aca="false">IFERROR(IF($A73="","",PLANI_LLOGARIVE!$J73),"")</f>
        <v>0</v>
      </c>
    </row>
    <row r="74" customFormat="false" ht="15" hidden="false" customHeight="true" outlineLevel="0" collapsed="false">
      <c r="A74" s="101" t="str">
        <f aca="false">IF(PLANI_LLOGARIVE!$A74="","",PLANI_LLOGARIVE!$A74)</f>
        <v>431</v>
      </c>
      <c r="B74" s="101" t="str">
        <f aca="false">IF($A74="","",PLANI_LLOGARIVE!$B74)</f>
        <v>Sigurime shoqërore dhe shëndetësore</v>
      </c>
      <c r="C74" s="491" t="b">
        <f aca="false">IFERROR(IF($A74="","",PLANI_LLOGARIVE!$J74),"")</f>
        <v>1</v>
      </c>
    </row>
    <row r="75" customFormat="false" ht="15" hidden="false" customHeight="true" outlineLevel="0" collapsed="false">
      <c r="A75" s="101" t="str">
        <f aca="false">IF(PLANI_LLOGARIVE!$A75="","",PLANI_LLOGARIVE!$A75)</f>
        <v>437</v>
      </c>
      <c r="B75" s="101" t="str">
        <f aca="false">IF($A75="","",PLANI_LLOGARIVE!$B75)</f>
        <v>Organizma të tjera shoqërore</v>
      </c>
      <c r="C75" s="491" t="b">
        <f aca="false">IFERROR(IF($A75="","",PLANI_LLOGARIVE!$J75),"")</f>
        <v>1</v>
      </c>
    </row>
    <row r="76" customFormat="false" ht="15" hidden="false" customHeight="true" outlineLevel="0" collapsed="false">
      <c r="A76" s="101" t="str">
        <f aca="false">IF(PLANI_LLOGARIVE!$A76="","",PLANI_LLOGARIVE!$A76)</f>
        <v>438</v>
      </c>
      <c r="B76" s="101" t="str">
        <f aca="false">IF($A76="","",PLANI_LLOGARIVE!$B76)</f>
        <v>Detyrime të tjera</v>
      </c>
      <c r="C76" s="491" t="b">
        <f aca="false">IFERROR(IF($A76="","",PLANI_LLOGARIVE!$J76),"")</f>
        <v>1</v>
      </c>
    </row>
    <row r="77" customFormat="false" ht="15" hidden="false" customHeight="true" outlineLevel="0" collapsed="false">
      <c r="A77" s="101" t="str">
        <f aca="false">IF(PLANI_LLOGARIVE!$A77="","",PLANI_LLOGARIVE!$A77)</f>
        <v>44</v>
      </c>
      <c r="B77" s="101" t="str">
        <f aca="false">IF($A77="","",PLANI_LLOGARIVE!$B77)</f>
        <v>Shteti për tatime dhe taksa</v>
      </c>
      <c r="C77" s="491" t="b">
        <f aca="false">IFERROR(IF($A77="","",PLANI_LLOGARIVE!$J77),"")</f>
        <v>0</v>
      </c>
    </row>
    <row r="78" customFormat="false" ht="15" hidden="false" customHeight="true" outlineLevel="0" collapsed="false">
      <c r="A78" s="101" t="str">
        <f aca="false">IF(PLANI_LLOGARIVE!$A78="","",PLANI_LLOGARIVE!$A78)</f>
        <v>441</v>
      </c>
      <c r="B78" s="101" t="str">
        <f aca="false">IF($A78="","",PLANI_LLOGARIVE!$B78)</f>
        <v>Akciza</v>
      </c>
      <c r="C78" s="491" t="b">
        <f aca="false">IFERROR(IF($A78="","",PLANI_LLOGARIVE!$J78),"")</f>
        <v>1</v>
      </c>
    </row>
    <row r="79" customFormat="false" ht="15" hidden="false" customHeight="true" outlineLevel="0" collapsed="false">
      <c r="A79" s="101" t="str">
        <f aca="false">IF(PLANI_LLOGARIVE!$A79="","",PLANI_LLOGARIVE!$A79)</f>
        <v>442</v>
      </c>
      <c r="B79" s="101" t="str">
        <f aca="false">IF($A79="","",PLANI_LLOGARIVE!$B79)</f>
        <v>Tatimi mbi të ardhurat personale</v>
      </c>
      <c r="C79" s="491" t="b">
        <f aca="false">IFERROR(IF($A79="","",PLANI_LLOGARIVE!$J79),"")</f>
        <v>1</v>
      </c>
    </row>
    <row r="80" customFormat="false" ht="15" hidden="false" customHeight="true" outlineLevel="0" collapsed="false">
      <c r="A80" s="101" t="str">
        <f aca="false">IF(PLANI_LLOGARIVE!$A80="","",PLANI_LLOGARIVE!$A80)</f>
        <v>443</v>
      </c>
      <c r="B80" s="101" t="str">
        <f aca="false">IF($A80="","",PLANI_LLOGARIVE!$B80)</f>
        <v>Tatime të tjera për punonjësit</v>
      </c>
      <c r="C80" s="491" t="b">
        <f aca="false">IFERROR(IF($A80="","",PLANI_LLOGARIVE!$J80),"")</f>
        <v>1</v>
      </c>
    </row>
    <row r="81" customFormat="false" ht="15" hidden="false" customHeight="true" outlineLevel="0" collapsed="false">
      <c r="A81" s="101" t="str">
        <f aca="false">IF(PLANI_LLOGARIVE!$A81="","",PLANI_LLOGARIVE!$A81)</f>
        <v>444</v>
      </c>
      <c r="B81" s="101" t="str">
        <f aca="false">IF($A81="","",PLANI_LLOGARIVE!$B81)</f>
        <v>Tatim mbi fitimin</v>
      </c>
      <c r="C81" s="491" t="b">
        <f aca="false">IFERROR(IF($A81="","",PLANI_LLOGARIVE!$J81),"")</f>
        <v>1</v>
      </c>
    </row>
    <row r="82" customFormat="false" ht="15" hidden="false" customHeight="true" outlineLevel="0" collapsed="false">
      <c r="A82" s="101" t="str">
        <f aca="false">IF(PLANI_LLOGARIVE!$A82="","",PLANI_LLOGARIVE!$A82)</f>
        <v>445</v>
      </c>
      <c r="B82" s="101" t="str">
        <f aca="false">IF($A82="","",PLANI_LLOGARIVE!$B82)</f>
        <v>TVSH</v>
      </c>
      <c r="C82" s="491" t="b">
        <f aca="false">IFERROR(IF($A82="","",PLANI_LLOGARIVE!$J82),"")</f>
        <v>0</v>
      </c>
    </row>
    <row r="83" customFormat="false" ht="15" hidden="false" customHeight="true" outlineLevel="0" collapsed="false">
      <c r="A83" s="101" t="str">
        <f aca="false">IF(PLANI_LLOGARIVE!$A83="","",PLANI_LLOGARIVE!$A83)</f>
        <v>4456</v>
      </c>
      <c r="B83" s="101" t="str">
        <f aca="false">IF($A83="","",PLANI_LLOGARIVE!$B83)</f>
        <v>Shteti - TVSH e zbritshme</v>
      </c>
      <c r="C83" s="491" t="b">
        <f aca="false">IFERROR(IF($A83="","",PLANI_LLOGARIVE!$J83),"")</f>
        <v>1</v>
      </c>
    </row>
    <row r="84" customFormat="false" ht="15" hidden="false" customHeight="true" outlineLevel="0" collapsed="false">
      <c r="A84" s="101" t="str">
        <f aca="false">IF(PLANI_LLOGARIVE!$A84="","",PLANI_LLOGARIVE!$A84)</f>
        <v>4457</v>
      </c>
      <c r="B84" s="101" t="str">
        <f aca="false">IF($A84="","",PLANI_LLOGARIVE!$B84)</f>
        <v>Shteti - TVSH e pagueshme</v>
      </c>
      <c r="C84" s="491" t="b">
        <f aca="false">IFERROR(IF($A84="","",PLANI_LLOGARIVE!$J84),"")</f>
        <v>1</v>
      </c>
    </row>
    <row r="85" customFormat="false" ht="15" hidden="false" customHeight="true" outlineLevel="0" collapsed="false">
      <c r="A85" s="101" t="str">
        <f aca="false">IF(PLANI_LLOGARIVE!$A85="","",PLANI_LLOGARIVE!$A85)</f>
        <v>4458</v>
      </c>
      <c r="B85" s="101" t="str">
        <f aca="false">IF($A85="","",PLANI_LLOGARIVE!$B85)</f>
        <v>Shteti - TVSH për t’u rregulluar</v>
      </c>
      <c r="C85" s="491" t="b">
        <f aca="false">IFERROR(IF($A85="","",PLANI_LLOGARIVE!$J85),"")</f>
        <v>1</v>
      </c>
    </row>
    <row r="86" customFormat="false" ht="15" hidden="false" customHeight="true" outlineLevel="0" collapsed="false">
      <c r="A86" s="101" t="str">
        <f aca="false">IF(PLANI_LLOGARIVE!$A86="","",PLANI_LLOGARIVE!$A86)</f>
        <v>446</v>
      </c>
      <c r="B86" s="101" t="str">
        <f aca="false">IF($A86="","",PLANI_LLOGARIVE!$B86)</f>
        <v>Tatime të tjera ndaj shtetit</v>
      </c>
      <c r="C86" s="491" t="b">
        <f aca="false">IFERROR(IF($A86="","",PLANI_LLOGARIVE!$J86),"")</f>
        <v>1</v>
      </c>
    </row>
    <row r="87" customFormat="false" ht="15" hidden="false" customHeight="true" outlineLevel="0" collapsed="false">
      <c r="A87" s="101" t="str">
        <f aca="false">IF(PLANI_LLOGARIVE!$A87="","",PLANI_LLOGARIVE!$A87)</f>
        <v>4461</v>
      </c>
      <c r="B87" s="101" t="str">
        <f aca="false">IF($A87="","",PLANI_LLOGARIVE!$B87)</f>
        <v>Detyrime për taksë doganore/TVSH në doganë</v>
      </c>
      <c r="C87" s="491" t="b">
        <f aca="false">IFERROR(IF($A87="","",PLANI_LLOGARIVE!$J87),"")</f>
        <v>1</v>
      </c>
    </row>
    <row r="88" customFormat="false" ht="15" hidden="false" customHeight="true" outlineLevel="0" collapsed="false">
      <c r="A88" s="101" t="str">
        <f aca="false">IF(PLANI_LLOGARIVE!$A88="","",PLANI_LLOGARIVE!$A88)</f>
        <v>447</v>
      </c>
      <c r="B88" s="101" t="str">
        <f aca="false">IF($A88="","",PLANI_LLOGARIVE!$B88)</f>
        <v>Të tjera tatime për t’u paguar/për t’u kthyer</v>
      </c>
      <c r="C88" s="491" t="b">
        <f aca="false">IFERROR(IF($A88="","",PLANI_LLOGARIVE!$J88),"")</f>
        <v>1</v>
      </c>
    </row>
    <row r="89" customFormat="false" ht="15" hidden="false" customHeight="true" outlineLevel="0" collapsed="false">
      <c r="A89" s="101" t="str">
        <f aca="false">IF(PLANI_LLOGARIVE!$A89="","",PLANI_LLOGARIVE!$A89)</f>
        <v>4471</v>
      </c>
      <c r="B89" s="101" t="str">
        <f aca="false">IF($A89="","",PLANI_LLOGARIVE!$B89)</f>
        <v>Tatim qiraje në burim</v>
      </c>
      <c r="C89" s="491" t="b">
        <f aca="false">IFERROR(IF($A89="","",PLANI_LLOGARIVE!$J89),"")</f>
        <v>1</v>
      </c>
    </row>
    <row r="90" customFormat="false" ht="15" hidden="false" customHeight="true" outlineLevel="0" collapsed="false">
      <c r="A90" s="101" t="str">
        <f aca="false">IF(PLANI_LLOGARIVE!$A90="","",PLANI_LLOGARIVE!$A90)</f>
        <v>448</v>
      </c>
      <c r="B90" s="101" t="str">
        <f aca="false">IF($A90="","",PLANI_LLOGARIVE!$B90)</f>
        <v>Tatime të shtyra</v>
      </c>
      <c r="C90" s="491" t="b">
        <f aca="false">IFERROR(IF($A90="","",PLANI_LLOGARIVE!$J90),"")</f>
        <v>1</v>
      </c>
    </row>
    <row r="91" customFormat="false" ht="15" hidden="false" customHeight="true" outlineLevel="0" collapsed="false">
      <c r="A91" s="101" t="str">
        <f aca="false">IF(PLANI_LLOGARIVE!$A91="","",PLANI_LLOGARIVE!$A91)</f>
        <v>449</v>
      </c>
      <c r="B91" s="101" t="str">
        <f aca="false">IF($A91="","",PLANI_LLOGARIVE!$B91)</f>
        <v>Tatimi në burim</v>
      </c>
      <c r="C91" s="491" t="b">
        <f aca="false">IFERROR(IF($A91="","",PLANI_LLOGARIVE!$J91),"")</f>
        <v>1</v>
      </c>
    </row>
    <row r="92" customFormat="false" ht="15" hidden="false" customHeight="true" outlineLevel="0" collapsed="false">
      <c r="A92" s="101" t="str">
        <f aca="false">IF(PLANI_LLOGARIVE!$A92="","",PLANI_LLOGARIVE!$A92)</f>
        <v>45</v>
      </c>
      <c r="B92" s="101" t="str">
        <f aca="false">IF($A92="","",PLANI_LLOGARIVE!$B92)</f>
        <v>Të drejta/detyrime ndaj ortakëve</v>
      </c>
      <c r="C92" s="491" t="b">
        <f aca="false">IFERROR(IF($A92="","",PLANI_LLOGARIVE!$J92),"")</f>
        <v>0</v>
      </c>
    </row>
    <row r="93" customFormat="false" ht="15" hidden="false" customHeight="true" outlineLevel="0" collapsed="false">
      <c r="A93" s="101" t="str">
        <f aca="false">IF(PLANI_LLOGARIVE!$A93="","",PLANI_LLOGARIVE!$A93)</f>
        <v>451</v>
      </c>
      <c r="B93" s="101" t="str">
        <f aca="false">IF($A93="","",PLANI_LLOGARIVE!$B93)</f>
        <v>Llogari rrjedhëse me pronarët</v>
      </c>
      <c r="C93" s="491" t="b">
        <f aca="false">IFERROR(IF($A93="","",PLANI_LLOGARIVE!$J93),"")</f>
        <v>1</v>
      </c>
    </row>
    <row r="94" customFormat="false" ht="15" hidden="false" customHeight="true" outlineLevel="0" collapsed="false">
      <c r="A94" s="101" t="str">
        <f aca="false">IF(PLANI_LLOGARIVE!$A94="","",PLANI_LLOGARIVE!$A94)</f>
        <v>455</v>
      </c>
      <c r="B94" s="101" t="str">
        <f aca="false">IF($A94="","",PLANI_LLOGARIVE!$B94)</f>
        <v>Të drejta/detyrime ndaj ortakëve</v>
      </c>
      <c r="C94" s="491" t="b">
        <f aca="false">IFERROR(IF($A94="","",PLANI_LLOGARIVE!$J94),"")</f>
        <v>1</v>
      </c>
    </row>
    <row r="95" customFormat="false" ht="15" hidden="false" customHeight="true" outlineLevel="0" collapsed="false">
      <c r="A95" s="101" t="str">
        <f aca="false">IF(PLANI_LLOGARIVE!$A95="","",PLANI_LLOGARIVE!$A95)</f>
        <v>456</v>
      </c>
      <c r="B95" s="101" t="str">
        <f aca="false">IF($A95="","",PLANI_LLOGARIVE!$B95)</f>
        <v>Të drejta ndaj pronarëve për kapitalin e nënshkruar</v>
      </c>
      <c r="C95" s="491" t="b">
        <f aca="false">IFERROR(IF($A95="","",PLANI_LLOGARIVE!$J95),"")</f>
        <v>1</v>
      </c>
    </row>
    <row r="96" customFormat="false" ht="15" hidden="false" customHeight="true" outlineLevel="0" collapsed="false">
      <c r="A96" s="101" t="str">
        <f aca="false">IF(PLANI_LLOGARIVE!$A96="","",PLANI_LLOGARIVE!$A96)</f>
        <v>457</v>
      </c>
      <c r="B96" s="101" t="str">
        <f aca="false">IF($A96="","",PLANI_LLOGARIVE!$B96)</f>
        <v>Dividentë për t’u paguar</v>
      </c>
      <c r="C96" s="491" t="b">
        <f aca="false">IFERROR(IF($A96="","",PLANI_LLOGARIVE!$J96),"")</f>
        <v>1</v>
      </c>
    </row>
    <row r="97" customFormat="false" ht="15" hidden="false" customHeight="true" outlineLevel="0" collapsed="false">
      <c r="A97" s="101" t="str">
        <f aca="false">IF(PLANI_LLOGARIVE!$A97="","",PLANI_LLOGARIVE!$A97)</f>
        <v>46</v>
      </c>
      <c r="B97" s="101" t="str">
        <f aca="false">IF($A97="","",PLANI_LLOGARIVE!$B97)</f>
        <v>Debitorë dhe kreditorë të ndryshëm</v>
      </c>
      <c r="C97" s="491" t="b">
        <f aca="false">IFERROR(IF($A97="","",PLANI_LLOGARIVE!$J97),"")</f>
        <v>0</v>
      </c>
    </row>
    <row r="98" customFormat="false" ht="15" hidden="false" customHeight="true" outlineLevel="0" collapsed="false">
      <c r="A98" s="101" t="str">
        <f aca="false">IF(PLANI_LLOGARIVE!$A98="","",PLANI_LLOGARIVE!$A98)</f>
        <v>461</v>
      </c>
      <c r="B98" s="101" t="str">
        <f aca="false">IF($A98="","",PLANI_LLOGARIVE!$B98)</f>
        <v>Huamarrje afatshkurtra</v>
      </c>
      <c r="C98" s="491" t="b">
        <f aca="false">IFERROR(IF($A98="","",PLANI_LLOGARIVE!$J98),"")</f>
        <v>1</v>
      </c>
    </row>
    <row r="99" customFormat="false" ht="15" hidden="false" customHeight="true" outlineLevel="0" collapsed="false">
      <c r="A99" s="101" t="str">
        <f aca="false">IF(PLANI_LLOGARIVE!$A99="","",PLANI_LLOGARIVE!$A99)</f>
        <v>468</v>
      </c>
      <c r="B99" s="101" t="str">
        <f aca="false">IF($A99="","",PLANI_LLOGARIVE!$B99)</f>
        <v>Huamarrje afatgjata</v>
      </c>
      <c r="C99" s="491" t="b">
        <f aca="false">IFERROR(IF($A99="","",PLANI_LLOGARIVE!$J99),"")</f>
        <v>1</v>
      </c>
    </row>
    <row r="100" customFormat="false" ht="15" hidden="false" customHeight="true" outlineLevel="0" collapsed="false">
      <c r="A100" s="101" t="str">
        <f aca="false">IF(PLANI_LLOGARIVE!$A100="","",PLANI_LLOGARIVE!$A100)</f>
        <v>47</v>
      </c>
      <c r="B100" s="101" t="str">
        <f aca="false">IF($A100="","",PLANI_LLOGARIVE!$B100)</f>
        <v>Llogari të përkohshme ose në pritje</v>
      </c>
      <c r="C100" s="491" t="b">
        <f aca="false">IFERROR(IF($A100="","",PLANI_LLOGARIVE!$J100),"")</f>
        <v>0</v>
      </c>
    </row>
    <row r="101" customFormat="false" ht="15" hidden="false" customHeight="true" outlineLevel="0" collapsed="false">
      <c r="A101" s="101" t="str">
        <f aca="false">IF(PLANI_LLOGARIVE!$A101="","",PLANI_LLOGARIVE!$A101)</f>
        <v>476</v>
      </c>
      <c r="B101" s="101" t="str">
        <f aca="false">IF($A101="","",PLANI_LLOGARIVE!$B101)</f>
        <v>Diferenca konvertimi aktive</v>
      </c>
      <c r="C101" s="491" t="b">
        <f aca="false">IFERROR(IF($A101="","",PLANI_LLOGARIVE!$J101),"")</f>
        <v>1</v>
      </c>
    </row>
    <row r="102" customFormat="false" ht="15" hidden="false" customHeight="true" outlineLevel="0" collapsed="false">
      <c r="A102" s="101" t="str">
        <f aca="false">IF(PLANI_LLOGARIVE!$A102="","",PLANI_LLOGARIVE!$A102)</f>
        <v>477</v>
      </c>
      <c r="B102" s="101" t="str">
        <f aca="false">IF($A102="","",PLANI_LLOGARIVE!$B102)</f>
        <v>Diferenca konvertimi pasive</v>
      </c>
      <c r="C102" s="491" t="b">
        <f aca="false">IFERROR(IF($A102="","",PLANI_LLOGARIVE!$J102),"")</f>
        <v>1</v>
      </c>
    </row>
    <row r="103" customFormat="false" ht="15" hidden="false" customHeight="true" outlineLevel="0" collapsed="false">
      <c r="A103" s="101" t="str">
        <f aca="false">IF(PLANI_LLOGARIVE!$A103="","",PLANI_LLOGARIVE!$A103)</f>
        <v>48</v>
      </c>
      <c r="B103" s="101" t="str">
        <f aca="false">IF($A103="","",PLANI_LLOGARIVE!$B103)</f>
        <v>Të ardhura dhe shpenzime të llogaritura</v>
      </c>
      <c r="C103" s="491" t="b">
        <f aca="false">IFERROR(IF($A103="","",PLANI_LLOGARIVE!$J103),"")</f>
        <v>0</v>
      </c>
    </row>
    <row r="104" customFormat="false" ht="15" hidden="false" customHeight="true" outlineLevel="0" collapsed="false">
      <c r="A104" s="101" t="str">
        <f aca="false">IF(PLANI_LLOGARIVE!$A104="","",PLANI_LLOGARIVE!$A104)</f>
        <v>481</v>
      </c>
      <c r="B104" s="101" t="str">
        <f aca="false">IF($A104="","",PLANI_LLOGARIVE!$B104)</f>
        <v>Shpenzime të llogaritura</v>
      </c>
      <c r="C104" s="491" t="b">
        <f aca="false">IFERROR(IF($A104="","",PLANI_LLOGARIVE!$J104),"")</f>
        <v>1</v>
      </c>
    </row>
    <row r="105" customFormat="false" ht="15" hidden="false" customHeight="true" outlineLevel="0" collapsed="false">
      <c r="A105" s="101" t="str">
        <f aca="false">IF(PLANI_LLOGARIVE!$A105="","",PLANI_LLOGARIVE!$A105)</f>
        <v>486</v>
      </c>
      <c r="B105" s="101" t="str">
        <f aca="false">IF($A105="","",PLANI_LLOGARIVE!$B105)</f>
        <v>Shpenzime të periudhave të ardhme</v>
      </c>
      <c r="C105" s="491" t="b">
        <f aca="false">IFERROR(IF($A105="","",PLANI_LLOGARIVE!$J105),"")</f>
        <v>1</v>
      </c>
    </row>
    <row r="106" customFormat="false" ht="15" hidden="false" customHeight="true" outlineLevel="0" collapsed="false">
      <c r="A106" s="101" t="str">
        <f aca="false">IF(PLANI_LLOGARIVE!$A106="","",PLANI_LLOGARIVE!$A106)</f>
        <v>487</v>
      </c>
      <c r="B106" s="101" t="str">
        <f aca="false">IF($A106="","",PLANI_LLOGARIVE!$B106)</f>
        <v>Të ardhura të llogaritura</v>
      </c>
      <c r="C106" s="491" t="b">
        <f aca="false">IFERROR(IF($A106="","",PLANI_LLOGARIVE!$J106),"")</f>
        <v>1</v>
      </c>
    </row>
    <row r="107" customFormat="false" ht="15" hidden="false" customHeight="true" outlineLevel="0" collapsed="false">
      <c r="A107" s="101" t="str">
        <f aca="false">IF(PLANI_LLOGARIVE!$A107="","",PLANI_LLOGARIVE!$A107)</f>
        <v>488</v>
      </c>
      <c r="B107" s="101" t="str">
        <f aca="false">IF($A107="","",PLANI_LLOGARIVE!$B107)</f>
        <v>Të ardhura të periudhave të ardhme</v>
      </c>
      <c r="C107" s="491" t="b">
        <f aca="false">IFERROR(IF($A107="","",PLANI_LLOGARIVE!$J107),"")</f>
        <v>1</v>
      </c>
    </row>
    <row r="108" customFormat="false" ht="15" hidden="false" customHeight="true" outlineLevel="0" collapsed="false">
      <c r="A108" s="101" t="str">
        <f aca="false">IF(PLANI_LLOGARIVE!$A108="","",PLANI_LLOGARIVE!$A108)</f>
        <v>49</v>
      </c>
      <c r="B108" s="101" t="str">
        <f aca="false">IF($A108="","",PLANI_LLOGARIVE!$B108)</f>
        <v>Zhvlerësim i të drejtave dhe detyrimeve</v>
      </c>
      <c r="C108" s="491" t="b">
        <f aca="false">IFERROR(IF($A108="","",PLANI_LLOGARIVE!$J108),"")</f>
        <v>0</v>
      </c>
    </row>
    <row r="109" customFormat="false" ht="15" hidden="false" customHeight="true" outlineLevel="0" collapsed="false">
      <c r="A109" s="101" t="str">
        <f aca="false">IF(PLANI_LLOGARIVE!$A109="","",PLANI_LLOGARIVE!$A109)</f>
        <v>491</v>
      </c>
      <c r="B109" s="101" t="str">
        <f aca="false">IF($A109="","",PLANI_LLOGARIVE!$B109)</f>
        <v>Provizione për faturat e klientëve</v>
      </c>
      <c r="C109" s="491" t="b">
        <f aca="false">IFERROR(IF($A109="","",PLANI_LLOGARIVE!$J109),"")</f>
        <v>1</v>
      </c>
    </row>
    <row r="110" customFormat="false" ht="15" hidden="false" customHeight="true" outlineLevel="0" collapsed="false">
      <c r="A110" s="101" t="str">
        <f aca="false">IF(PLANI_LLOGARIVE!$A110="","",PLANI_LLOGARIVE!$A110)</f>
        <v>495</v>
      </c>
      <c r="B110" s="101" t="str">
        <f aca="false">IF($A110="","",PLANI_LLOGARIVE!$B110)</f>
        <v>Provizione për fatura për arkëtim</v>
      </c>
      <c r="C110" s="491" t="b">
        <f aca="false">IFERROR(IF($A110="","",PLANI_LLOGARIVE!$J110),"")</f>
        <v>1</v>
      </c>
    </row>
    <row r="111" customFormat="false" ht="15" hidden="false" customHeight="true" outlineLevel="0" collapsed="false">
      <c r="A111" s="101" t="str">
        <f aca="false">IF(PLANI_LLOGARIVE!$A111="","",PLANI_LLOGARIVE!$A111)</f>
        <v>496</v>
      </c>
      <c r="B111" s="101" t="str">
        <f aca="false">IF($A111="","",PLANI_LLOGARIVE!$B111)</f>
        <v>Provizione për debitorë të ndryshëm</v>
      </c>
      <c r="C111" s="491" t="b">
        <f aca="false">IFERROR(IF($A111="","",PLANI_LLOGARIVE!$J111),"")</f>
        <v>1</v>
      </c>
    </row>
    <row r="112" customFormat="false" ht="15" hidden="false" customHeight="true" outlineLevel="0" collapsed="false">
      <c r="A112" s="101" t="str">
        <f aca="false">IF(PLANI_LLOGARIVE!$A112="","",PLANI_LLOGARIVE!$A112)</f>
        <v>5</v>
      </c>
      <c r="B112" s="101" t="str">
        <f aca="false">IF($A112="","",PLANI_LLOGARIVE!$B112)</f>
        <v>Mjete monetare dhe likuiditete</v>
      </c>
      <c r="C112" s="491" t="b">
        <f aca="false">IFERROR(IF($A112="","",PLANI_LLOGARIVE!$J112),"")</f>
        <v>0</v>
      </c>
    </row>
    <row r="113" customFormat="false" ht="15" hidden="false" customHeight="true" outlineLevel="0" collapsed="false">
      <c r="A113" s="101" t="str">
        <f aca="false">IF(PLANI_LLOGARIVE!$A113="","",PLANI_LLOGARIVE!$A113)</f>
        <v>51</v>
      </c>
      <c r="B113" s="101" t="str">
        <f aca="false">IF($A113="","",PLANI_LLOGARIVE!$B113)</f>
        <v>Banka dhe institucione financiare</v>
      </c>
      <c r="C113" s="491" t="b">
        <f aca="false">IFERROR(IF($A113="","",PLANI_LLOGARIVE!$J113),"")</f>
        <v>0</v>
      </c>
    </row>
    <row r="114" customFormat="false" ht="15" hidden="false" customHeight="true" outlineLevel="0" collapsed="false">
      <c r="A114" s="101" t="str">
        <f aca="false">IF(PLANI_LLOGARIVE!$A114="","",PLANI_LLOGARIVE!$A114)</f>
        <v>511</v>
      </c>
      <c r="B114" s="101" t="str">
        <f aca="false">IF($A114="","",PLANI_LLOGARIVE!$B114)</f>
        <v>Vlera monetare në tranzit</v>
      </c>
      <c r="C114" s="491" t="b">
        <f aca="false">IFERROR(IF($A114="","",PLANI_LLOGARIVE!$J114),"")</f>
        <v>1</v>
      </c>
    </row>
    <row r="115" customFormat="false" ht="15" hidden="false" customHeight="true" outlineLevel="0" collapsed="false">
      <c r="A115" s="101" t="str">
        <f aca="false">IF(PLANI_LLOGARIVE!$A115="","",PLANI_LLOGARIVE!$A115)</f>
        <v>512</v>
      </c>
      <c r="B115" s="101" t="str">
        <f aca="false">IF($A115="","",PLANI_LLOGARIVE!$B115)</f>
        <v>Vlera monetare në bankë</v>
      </c>
      <c r="C115" s="491" t="b">
        <f aca="false">IFERROR(IF($A115="","",PLANI_LLOGARIVE!$J115),"")</f>
        <v>1</v>
      </c>
    </row>
    <row r="116" customFormat="false" ht="15" hidden="false" customHeight="true" outlineLevel="0" collapsed="false">
      <c r="A116" s="101" t="str">
        <f aca="false">IF(PLANI_LLOGARIVE!$A116="","",PLANI_LLOGARIVE!$A116)</f>
        <v>5121</v>
      </c>
      <c r="B116" s="101" t="str">
        <f aca="false">IF($A116="","",PLANI_LLOGARIVE!$B116)</f>
        <v>Vlera monetare në bankë - lek</v>
      </c>
      <c r="C116" s="491" t="b">
        <f aca="false">IFERROR(IF($A116="","",PLANI_LLOGARIVE!$J116),"")</f>
        <v>1</v>
      </c>
    </row>
    <row r="117" customFormat="false" ht="15" hidden="false" customHeight="true" outlineLevel="0" collapsed="false">
      <c r="A117" s="101" t="str">
        <f aca="false">IF(PLANI_LLOGARIVE!$A117="","",PLANI_LLOGARIVE!$A117)</f>
        <v>5124</v>
      </c>
      <c r="B117" s="101" t="str">
        <f aca="false">IF($A117="","",PLANI_LLOGARIVE!$B117)</f>
        <v>Vlera monetare në bankë - valutë</v>
      </c>
      <c r="C117" s="491" t="b">
        <f aca="false">IFERROR(IF($A117="","",PLANI_LLOGARIVE!$J117),"")</f>
        <v>1</v>
      </c>
    </row>
    <row r="118" customFormat="false" ht="15" hidden="false" customHeight="true" outlineLevel="0" collapsed="false">
      <c r="A118" s="101" t="str">
        <f aca="false">IF(PLANI_LLOGARIVE!$A118="","",PLANI_LLOGARIVE!$A118)</f>
        <v>519</v>
      </c>
      <c r="B118" s="101" t="str">
        <f aca="false">IF($A118="","",PLANI_LLOGARIVE!$B118)</f>
        <v>Overdraft / llogari bankare të zbuluara</v>
      </c>
      <c r="C118" s="491" t="b">
        <f aca="false">IFERROR(IF($A118="","",PLANI_LLOGARIVE!$J118),"")</f>
        <v>1</v>
      </c>
    </row>
    <row r="119" customFormat="false" ht="15" hidden="false" customHeight="true" outlineLevel="0" collapsed="false">
      <c r="A119" s="101" t="str">
        <f aca="false">IF(PLANI_LLOGARIVE!$A119="","",PLANI_LLOGARIVE!$A119)</f>
        <v>53</v>
      </c>
      <c r="B119" s="101" t="str">
        <f aca="false">IF($A119="","",PLANI_LLOGARIVE!$B119)</f>
        <v>Vlera monetare në arkë</v>
      </c>
      <c r="C119" s="491" t="b">
        <f aca="false">IFERROR(IF($A119="","",PLANI_LLOGARIVE!$J119),"")</f>
        <v>0</v>
      </c>
    </row>
    <row r="120" customFormat="false" ht="15" hidden="false" customHeight="true" outlineLevel="0" collapsed="false">
      <c r="A120" s="101" t="str">
        <f aca="false">IF(PLANI_LLOGARIVE!$A120="","",PLANI_LLOGARIVE!$A120)</f>
        <v>531</v>
      </c>
      <c r="B120" s="101" t="str">
        <f aca="false">IF($A120="","",PLANI_LLOGARIVE!$B120)</f>
        <v>Vlera monetare në arkë</v>
      </c>
      <c r="C120" s="491" t="b">
        <f aca="false">IFERROR(IF($A120="","",PLANI_LLOGARIVE!$J120),"")</f>
        <v>1</v>
      </c>
    </row>
    <row r="121" customFormat="false" ht="15" hidden="false" customHeight="true" outlineLevel="0" collapsed="false">
      <c r="A121" s="101" t="str">
        <f aca="false">IF(PLANI_LLOGARIVE!$A121="","",PLANI_LLOGARIVE!$A121)</f>
        <v>5311</v>
      </c>
      <c r="B121" s="101" t="str">
        <f aca="false">IF($A121="","",PLANI_LLOGARIVE!$B121)</f>
        <v>Arka në lek</v>
      </c>
      <c r="C121" s="491" t="b">
        <f aca="false">IFERROR(IF($A121="","",PLANI_LLOGARIVE!$J121),"")</f>
        <v>1</v>
      </c>
    </row>
    <row r="122" customFormat="false" ht="15" hidden="false" customHeight="true" outlineLevel="0" collapsed="false">
      <c r="A122" s="101" t="str">
        <f aca="false">IF(PLANI_LLOGARIVE!$A122="","",PLANI_LLOGARIVE!$A122)</f>
        <v>5314</v>
      </c>
      <c r="B122" s="101" t="str">
        <f aca="false">IF($A122="","",PLANI_LLOGARIVE!$B122)</f>
        <v>Arka në monedha të huaja</v>
      </c>
      <c r="C122" s="491" t="b">
        <f aca="false">IFERROR(IF($A122="","",PLANI_LLOGARIVE!$J122),"")</f>
        <v>1</v>
      </c>
    </row>
    <row r="123" customFormat="false" ht="15" hidden="false" customHeight="true" outlineLevel="0" collapsed="false">
      <c r="A123" s="101" t="str">
        <f aca="false">IF(PLANI_LLOGARIVE!$A123="","",PLANI_LLOGARIVE!$A123)</f>
        <v>58</v>
      </c>
      <c r="B123" s="101" t="str">
        <f aca="false">IF($A123="","",PLANI_LLOGARIVE!$B123)</f>
        <v>Xhirime të brendshme</v>
      </c>
      <c r="C123" s="491" t="b">
        <f aca="false">IFERROR(IF($A123="","",PLANI_LLOGARIVE!$J123),"")</f>
        <v>0</v>
      </c>
    </row>
    <row r="124" customFormat="false" ht="15" hidden="false" customHeight="true" outlineLevel="0" collapsed="false">
      <c r="A124" s="101" t="str">
        <f aca="false">IF(PLANI_LLOGARIVE!$A124="","",PLANI_LLOGARIVE!$A124)</f>
        <v>581</v>
      </c>
      <c r="B124" s="101" t="str">
        <f aca="false">IF($A124="","",PLANI_LLOGARIVE!$B124)</f>
        <v>Xhirime të brendshme</v>
      </c>
      <c r="C124" s="491" t="b">
        <f aca="false">IFERROR(IF($A124="","",PLANI_LLOGARIVE!$J124),"")</f>
        <v>1</v>
      </c>
    </row>
    <row r="125" customFormat="false" ht="15" hidden="false" customHeight="true" outlineLevel="0" collapsed="false">
      <c r="A125" s="101" t="str">
        <f aca="false">IF(PLANI_LLOGARIVE!$A125="","",PLANI_LLOGARIVE!$A125)</f>
        <v>6</v>
      </c>
      <c r="B125" s="101" t="str">
        <f aca="false">IF($A125="","",PLANI_LLOGARIVE!$B125)</f>
        <v>Llogaritë e shpenzimeve</v>
      </c>
      <c r="C125" s="491" t="b">
        <f aca="false">IFERROR(IF($A125="","",PLANI_LLOGARIVE!$J125),"")</f>
        <v>0</v>
      </c>
    </row>
    <row r="126" customFormat="false" ht="15" hidden="false" customHeight="true" outlineLevel="0" collapsed="false">
      <c r="A126" s="101" t="str">
        <f aca="false">IF(PLANI_LLOGARIVE!$A126="","",PLANI_LLOGARIVE!$A126)</f>
        <v>60</v>
      </c>
      <c r="B126" s="101" t="str">
        <f aca="false">IF($A126="","",PLANI_LLOGARIVE!$B126)</f>
        <v>Blerje dhe ndryshim gjendje</v>
      </c>
      <c r="C126" s="491" t="b">
        <f aca="false">IFERROR(IF($A126="","",PLANI_LLOGARIVE!$J126),"")</f>
        <v>0</v>
      </c>
    </row>
    <row r="127" customFormat="false" ht="15" hidden="false" customHeight="true" outlineLevel="0" collapsed="false">
      <c r="A127" s="101" t="str">
        <f aca="false">IF(PLANI_LLOGARIVE!$A127="","",PLANI_LLOGARIVE!$A127)</f>
        <v>601</v>
      </c>
      <c r="B127" s="101" t="str">
        <f aca="false">IF($A127="","",PLANI_LLOGARIVE!$B127)</f>
        <v>Blerje / shpenzime të materialeve</v>
      </c>
      <c r="C127" s="491" t="b">
        <f aca="false">IFERROR(IF($A127="","",PLANI_LLOGARIVE!$J127),"")</f>
        <v>1</v>
      </c>
    </row>
    <row r="128" customFormat="false" ht="15" hidden="false" customHeight="true" outlineLevel="0" collapsed="false">
      <c r="A128" s="101" t="str">
        <f aca="false">IF(PLANI_LLOGARIVE!$A128="","",PLANI_LLOGARIVE!$A128)</f>
        <v>602</v>
      </c>
      <c r="B128" s="101" t="str">
        <f aca="false">IF($A128="","",PLANI_LLOGARIVE!$B128)</f>
        <v>Blerje / shpenzime të materialeve të tjera</v>
      </c>
      <c r="C128" s="491" t="b">
        <f aca="false">IFERROR(IF($A128="","",PLANI_LLOGARIVE!$J128),"")</f>
        <v>1</v>
      </c>
    </row>
    <row r="129" customFormat="false" ht="15" hidden="false" customHeight="true" outlineLevel="0" collapsed="false">
      <c r="A129" s="101" t="str">
        <f aca="false">IF(PLANI_LLOGARIVE!$A129="","",PLANI_LLOGARIVE!$A129)</f>
        <v>603</v>
      </c>
      <c r="B129" s="101" t="str">
        <f aca="false">IF($A129="","",PLANI_LLOGARIVE!$B129)</f>
        <v>Ndryshim gjendje inventari</v>
      </c>
      <c r="C129" s="491" t="b">
        <f aca="false">IFERROR(IF($A129="","",PLANI_LLOGARIVE!$J129),"")</f>
        <v>1</v>
      </c>
    </row>
    <row r="130" customFormat="false" ht="15" hidden="false" customHeight="true" outlineLevel="0" collapsed="false">
      <c r="A130" s="101" t="str">
        <f aca="false">IF(PLANI_LLOGARIVE!$A130="","",PLANI_LLOGARIVE!$A130)</f>
        <v>604</v>
      </c>
      <c r="B130" s="101" t="str">
        <f aca="false">IF($A130="","",PLANI_LLOGARIVE!$B130)</f>
        <v>Blerje energji, avull, ujë</v>
      </c>
      <c r="C130" s="491" t="b">
        <f aca="false">IFERROR(IF($A130="","",PLANI_LLOGARIVE!$J130),"")</f>
        <v>1</v>
      </c>
    </row>
    <row r="131" customFormat="false" ht="15" hidden="false" customHeight="true" outlineLevel="0" collapsed="false">
      <c r="A131" s="101" t="str">
        <f aca="false">IF(PLANI_LLOGARIVE!$A131="","",PLANI_LLOGARIVE!$A131)</f>
        <v>605</v>
      </c>
      <c r="B131" s="101" t="str">
        <f aca="false">IF($A131="","",PLANI_LLOGARIVE!$B131)</f>
        <v>Blerje / shpenzime mallra, shërbimesh</v>
      </c>
      <c r="C131" s="491" t="b">
        <f aca="false">IFERROR(IF($A131="","",PLANI_LLOGARIVE!$J131),"")</f>
        <v>1</v>
      </c>
    </row>
    <row r="132" customFormat="false" ht="15" hidden="false" customHeight="true" outlineLevel="0" collapsed="false">
      <c r="A132" s="101" t="str">
        <f aca="false">IF(PLANI_LLOGARIVE!$A132="","",PLANI_LLOGARIVE!$A132)</f>
        <v>606</v>
      </c>
      <c r="B132" s="101" t="str">
        <f aca="false">IF($A132="","",PLANI_LLOGARIVE!$B132)</f>
        <v>Blerje ambalazhi</v>
      </c>
      <c r="C132" s="491" t="b">
        <f aca="false">IFERROR(IF($A132="","",PLANI_LLOGARIVE!$J132),"")</f>
        <v>1</v>
      </c>
    </row>
    <row r="133" customFormat="false" ht="15" hidden="false" customHeight="true" outlineLevel="0" collapsed="false">
      <c r="A133" s="101" t="str">
        <f aca="false">IF(PLANI_LLOGARIVE!$A133="","",PLANI_LLOGARIVE!$A133)</f>
        <v>607</v>
      </c>
      <c r="B133" s="101" t="str">
        <f aca="false">IF($A133="","",PLANI_LLOGARIVE!$B133)</f>
        <v>Blerje tek të tretë / kosto shitje</v>
      </c>
      <c r="C133" s="491" t="b">
        <f aca="false">IFERROR(IF($A133="","",PLANI_LLOGARIVE!$J133),"")</f>
        <v>1</v>
      </c>
    </row>
    <row r="134" customFormat="false" ht="15" hidden="false" customHeight="true" outlineLevel="0" collapsed="false">
      <c r="A134" s="101" t="str">
        <f aca="false">IF(PLANI_LLOGARIVE!$A134="","",PLANI_LLOGARIVE!$A134)</f>
        <v>608</v>
      </c>
      <c r="B134" s="101" t="str">
        <f aca="false">IF($A134="","",PLANI_LLOGARIVE!$B134)</f>
        <v>Blerje / shpenzime të tjera</v>
      </c>
      <c r="C134" s="491" t="b">
        <f aca="false">IFERROR(IF($A134="","",PLANI_LLOGARIVE!$J134),"")</f>
        <v>1</v>
      </c>
    </row>
    <row r="135" customFormat="false" ht="15" hidden="false" customHeight="true" outlineLevel="0" collapsed="false">
      <c r="A135" s="101" t="str">
        <f aca="false">IF(PLANI_LLOGARIVE!$A135="","",PLANI_LLOGARIVE!$A135)</f>
        <v>609</v>
      </c>
      <c r="B135" s="101" t="str">
        <f aca="false">IF($A135="","",PLANI_LLOGARIVE!$B135)</f>
        <v>Zbritje financiare nga furnitori</v>
      </c>
      <c r="C135" s="491" t="b">
        <f aca="false">IFERROR(IF($A135="","",PLANI_LLOGARIVE!$J135),"")</f>
        <v>1</v>
      </c>
    </row>
    <row r="136" customFormat="false" ht="15" hidden="false" customHeight="true" outlineLevel="0" collapsed="false">
      <c r="A136" s="101" t="str">
        <f aca="false">IF(PLANI_LLOGARIVE!$A136="","",PLANI_LLOGARIVE!$A136)</f>
        <v>61</v>
      </c>
      <c r="B136" s="101" t="str">
        <f aca="false">IF($A136="","",PLANI_LLOGARIVE!$B136)</f>
        <v>Shërbime nga të tretët</v>
      </c>
      <c r="C136" s="491" t="b">
        <f aca="false">IFERROR(IF($A136="","",PLANI_LLOGARIVE!$J136),"")</f>
        <v>0</v>
      </c>
    </row>
    <row r="137" customFormat="false" ht="15" hidden="false" customHeight="true" outlineLevel="0" collapsed="false">
      <c r="A137" s="101" t="str">
        <f aca="false">IF(PLANI_LLOGARIVE!$A137="","",PLANI_LLOGARIVE!$A137)</f>
        <v>611</v>
      </c>
      <c r="B137" s="101" t="str">
        <f aca="false">IF($A137="","",PLANI_LLOGARIVE!$B137)</f>
        <v>Trajtime të përgjithshme</v>
      </c>
      <c r="C137" s="491" t="b">
        <f aca="false">IFERROR(IF($A137="","",PLANI_LLOGARIVE!$J137),"")</f>
        <v>1</v>
      </c>
    </row>
    <row r="138" customFormat="false" ht="15" hidden="false" customHeight="true" outlineLevel="0" collapsed="false">
      <c r="A138" s="101" t="str">
        <f aca="false">IF(PLANI_LLOGARIVE!$A138="","",PLANI_LLOGARIVE!$A138)</f>
        <v>613</v>
      </c>
      <c r="B138" s="101" t="str">
        <f aca="false">IF($A138="","",PLANI_LLOGARIVE!$B138)</f>
        <v>Qira</v>
      </c>
      <c r="C138" s="491" t="b">
        <f aca="false">IFERROR(IF($A138="","",PLANI_LLOGARIVE!$J138),"")</f>
        <v>1</v>
      </c>
    </row>
    <row r="139" customFormat="false" ht="15" hidden="false" customHeight="true" outlineLevel="0" collapsed="false">
      <c r="A139" s="101" t="str">
        <f aca="false">IF(PLANI_LLOGARIVE!$A139="","",PLANI_LLOGARIVE!$A139)</f>
        <v>615</v>
      </c>
      <c r="B139" s="101" t="str">
        <f aca="false">IF($A139="","",PLANI_LLOGARIVE!$B139)</f>
        <v>Mirëmbajtje dhe riparime</v>
      </c>
      <c r="C139" s="491" t="b">
        <f aca="false">IFERROR(IF($A139="","",PLANI_LLOGARIVE!$J139),"")</f>
        <v>1</v>
      </c>
    </row>
    <row r="140" customFormat="false" ht="15" hidden="false" customHeight="true" outlineLevel="0" collapsed="false">
      <c r="A140" s="101" t="str">
        <f aca="false">IF(PLANI_LLOGARIVE!$A140="","",PLANI_LLOGARIVE!$A140)</f>
        <v>616</v>
      </c>
      <c r="B140" s="101" t="str">
        <f aca="false">IF($A140="","",PLANI_LLOGARIVE!$B140)</f>
        <v>Sigurime</v>
      </c>
      <c r="C140" s="491" t="b">
        <f aca="false">IFERROR(IF($A140="","",PLANI_LLOGARIVE!$J140),"")</f>
        <v>1</v>
      </c>
    </row>
    <row r="141" customFormat="false" ht="15" hidden="false" customHeight="true" outlineLevel="0" collapsed="false">
      <c r="A141" s="101" t="str">
        <f aca="false">IF(PLANI_LLOGARIVE!$A141="","",PLANI_LLOGARIVE!$A141)</f>
        <v>617</v>
      </c>
      <c r="B141" s="101" t="str">
        <f aca="false">IF($A141="","",PLANI_LLOGARIVE!$B141)</f>
        <v>Kërkime dhe studime</v>
      </c>
      <c r="C141" s="491" t="b">
        <f aca="false">IFERROR(IF($A141="","",PLANI_LLOGARIVE!$J141),"")</f>
        <v>1</v>
      </c>
    </row>
    <row r="142" customFormat="false" ht="15" hidden="false" customHeight="true" outlineLevel="0" collapsed="false">
      <c r="A142" s="101" t="str">
        <f aca="false">IF(PLANI_LLOGARIVE!$A142="","",PLANI_LLOGARIVE!$A142)</f>
        <v>618</v>
      </c>
      <c r="B142" s="101" t="str">
        <f aca="false">IF($A142="","",PLANI_LLOGARIVE!$B142)</f>
        <v>Të tjera shërbime nga të tretët</v>
      </c>
      <c r="C142" s="491" t="b">
        <f aca="false">IFERROR(IF($A142="","",PLANI_LLOGARIVE!$J142),"")</f>
        <v>1</v>
      </c>
    </row>
    <row r="143" customFormat="false" ht="15" hidden="false" customHeight="true" outlineLevel="0" collapsed="false">
      <c r="A143" s="101" t="str">
        <f aca="false">IF(PLANI_LLOGARIVE!$A143="","",PLANI_LLOGARIVE!$A143)</f>
        <v>62</v>
      </c>
      <c r="B143" s="101" t="str">
        <f aca="false">IF($A143="","",PLANI_LLOGARIVE!$B143)</f>
        <v>Shërbime të tjera</v>
      </c>
      <c r="C143" s="491" t="b">
        <f aca="false">IFERROR(IF($A143="","",PLANI_LLOGARIVE!$J143),"")</f>
        <v>0</v>
      </c>
    </row>
    <row r="144" customFormat="false" ht="15" hidden="false" customHeight="true" outlineLevel="0" collapsed="false">
      <c r="A144" s="101" t="str">
        <f aca="false">IF(PLANI_LLOGARIVE!$A144="","",PLANI_LLOGARIVE!$A144)</f>
        <v>621</v>
      </c>
      <c r="B144" s="101" t="str">
        <f aca="false">IF($A144="","",PLANI_LLOGARIVE!$B144)</f>
        <v>Personel jashtë ndërmarrjes</v>
      </c>
      <c r="C144" s="491" t="b">
        <f aca="false">IFERROR(IF($A144="","",PLANI_LLOGARIVE!$J144),"")</f>
        <v>1</v>
      </c>
    </row>
    <row r="145" customFormat="false" ht="15" hidden="false" customHeight="true" outlineLevel="0" collapsed="false">
      <c r="A145" s="101" t="str">
        <f aca="false">IF(PLANI_LLOGARIVE!$A145="","",PLANI_LLOGARIVE!$A145)</f>
        <v>622</v>
      </c>
      <c r="B145" s="101" t="str">
        <f aca="false">IF($A145="","",PLANI_LLOGARIVE!$B145)</f>
        <v>Komisione ndërmjetësimi dhe honorare</v>
      </c>
      <c r="C145" s="491" t="b">
        <f aca="false">IFERROR(IF($A145="","",PLANI_LLOGARIVE!$J145),"")</f>
        <v>1</v>
      </c>
    </row>
    <row r="146" customFormat="false" ht="15" hidden="false" customHeight="true" outlineLevel="0" collapsed="false">
      <c r="A146" s="101" t="str">
        <f aca="false">IF(PLANI_LLOGARIVE!$A146="","",PLANI_LLOGARIVE!$A146)</f>
        <v>623</v>
      </c>
      <c r="B146" s="101" t="str">
        <f aca="false">IF($A146="","",PLANI_LLOGARIVE!$B146)</f>
        <v>Shpenzime për koncesione, patenta, licenca</v>
      </c>
      <c r="C146" s="491" t="b">
        <f aca="false">IFERROR(IF($A146="","",PLANI_LLOGARIVE!$J146),"")</f>
        <v>1</v>
      </c>
    </row>
    <row r="147" customFormat="false" ht="15" hidden="false" customHeight="true" outlineLevel="0" collapsed="false">
      <c r="A147" s="101" t="str">
        <f aca="false">IF(PLANI_LLOGARIVE!$A147="","",PLANI_LLOGARIVE!$A147)</f>
        <v>624</v>
      </c>
      <c r="B147" s="101" t="str">
        <f aca="false">IF($A147="","",PLANI_LLOGARIVE!$B147)</f>
        <v>Publicitet, reklamë</v>
      </c>
      <c r="C147" s="491" t="b">
        <f aca="false">IFERROR(IF($A147="","",PLANI_LLOGARIVE!$J147),"")</f>
        <v>1</v>
      </c>
    </row>
    <row r="148" customFormat="false" ht="15" hidden="false" customHeight="true" outlineLevel="0" collapsed="false">
      <c r="A148" s="101" t="str">
        <f aca="false">IF(PLANI_LLOGARIVE!$A148="","",PLANI_LLOGARIVE!$A148)</f>
        <v>625</v>
      </c>
      <c r="B148" s="101" t="str">
        <f aca="false">IF($A148="","",PLANI_LLOGARIVE!$B148)</f>
        <v>Transferime, udhëtime, dieta</v>
      </c>
      <c r="C148" s="491" t="b">
        <f aca="false">IFERROR(IF($A148="","",PLANI_LLOGARIVE!$J148),"")</f>
        <v>1</v>
      </c>
    </row>
    <row r="149" customFormat="false" ht="15" hidden="false" customHeight="true" outlineLevel="0" collapsed="false">
      <c r="A149" s="101" t="str">
        <f aca="false">IF(PLANI_LLOGARIVE!$A149="","",PLANI_LLOGARIVE!$A149)</f>
        <v>626</v>
      </c>
      <c r="B149" s="101" t="str">
        <f aca="false">IF($A149="","",PLANI_LLOGARIVE!$B149)</f>
        <v>Shpenzime postare dhe telekomunikimi</v>
      </c>
      <c r="C149" s="491" t="b">
        <f aca="false">IFERROR(IF($A149="","",PLANI_LLOGARIVE!$J149),"")</f>
        <v>1</v>
      </c>
    </row>
    <row r="150" customFormat="false" ht="15" hidden="false" customHeight="true" outlineLevel="0" collapsed="false">
      <c r="A150" s="101" t="str">
        <f aca="false">IF(PLANI_LLOGARIVE!$A150="","",PLANI_LLOGARIVE!$A150)</f>
        <v>627</v>
      </c>
      <c r="B150" s="101" t="str">
        <f aca="false">IF($A150="","",PLANI_LLOGARIVE!$B150)</f>
        <v>Shpenzime transporti</v>
      </c>
      <c r="C150" s="491" t="b">
        <f aca="false">IFERROR(IF($A150="","",PLANI_LLOGARIVE!$J150),"")</f>
        <v>1</v>
      </c>
    </row>
    <row r="151" customFormat="false" ht="15" hidden="false" customHeight="true" outlineLevel="0" collapsed="false">
      <c r="A151" s="101" t="str">
        <f aca="false">IF(PLANI_LLOGARIVE!$A151="","",PLANI_LLOGARIVE!$A151)</f>
        <v>6271</v>
      </c>
      <c r="B151" s="101" t="str">
        <f aca="false">IF($A151="","",PLANI_LLOGARIVE!$B151)</f>
        <v>Transport për blerje</v>
      </c>
      <c r="C151" s="491" t="b">
        <f aca="false">IFERROR(IF($A151="","",PLANI_LLOGARIVE!$J151),"")</f>
        <v>1</v>
      </c>
    </row>
    <row r="152" customFormat="false" ht="15" hidden="false" customHeight="true" outlineLevel="0" collapsed="false">
      <c r="A152" s="101" t="str">
        <f aca="false">IF(PLANI_LLOGARIVE!$A152="","",PLANI_LLOGARIVE!$A152)</f>
        <v>6272</v>
      </c>
      <c r="B152" s="101" t="str">
        <f aca="false">IF($A152="","",PLANI_LLOGARIVE!$B152)</f>
        <v>Transport për shitje</v>
      </c>
      <c r="C152" s="491" t="b">
        <f aca="false">IFERROR(IF($A152="","",PLANI_LLOGARIVE!$J152),"")</f>
        <v>1</v>
      </c>
    </row>
    <row r="153" customFormat="false" ht="15" hidden="false" customHeight="true" outlineLevel="0" collapsed="false">
      <c r="A153" s="101" t="str">
        <f aca="false">IF(PLANI_LLOGARIVE!$A153="","",PLANI_LLOGARIVE!$A153)</f>
        <v>628</v>
      </c>
      <c r="B153" s="101" t="str">
        <f aca="false">IF($A153="","",PLANI_LLOGARIVE!$B153)</f>
        <v>Shpenzime për shërbimet bankare</v>
      </c>
      <c r="C153" s="491" t="b">
        <f aca="false">IFERROR(IF($A153="","",PLANI_LLOGARIVE!$J153),"")</f>
        <v>1</v>
      </c>
    </row>
    <row r="154" customFormat="false" ht="15" hidden="false" customHeight="true" outlineLevel="0" collapsed="false">
      <c r="A154" s="101" t="str">
        <f aca="false">IF(PLANI_LLOGARIVE!$A154="","",PLANI_LLOGARIVE!$A154)</f>
        <v>63</v>
      </c>
      <c r="B154" s="101" t="str">
        <f aca="false">IF($A154="","",PLANI_LLOGARIVE!$B154)</f>
        <v>Tatime dhe taksa</v>
      </c>
      <c r="C154" s="491" t="b">
        <f aca="false">IFERROR(IF($A154="","",PLANI_LLOGARIVE!$J154),"")</f>
        <v>0</v>
      </c>
    </row>
    <row r="155" customFormat="false" ht="15" hidden="false" customHeight="true" outlineLevel="0" collapsed="false">
      <c r="A155" s="101" t="str">
        <f aca="false">IF(PLANI_LLOGARIVE!$A155="","",PLANI_LLOGARIVE!$A155)</f>
        <v>631</v>
      </c>
      <c r="B155" s="101" t="str">
        <f aca="false">IF($A155="","",PLANI_LLOGARIVE!$B155)</f>
        <v>Tatim mbi qarkullimin dhe akciza</v>
      </c>
      <c r="C155" s="491" t="b">
        <f aca="false">IFERROR(IF($A155="","",PLANI_LLOGARIVE!$J155),"")</f>
        <v>1</v>
      </c>
    </row>
    <row r="156" customFormat="false" ht="15" hidden="false" customHeight="true" outlineLevel="0" collapsed="false">
      <c r="A156" s="101" t="str">
        <f aca="false">IF(PLANI_LLOGARIVE!$A156="","",PLANI_LLOGARIVE!$A156)</f>
        <v>632</v>
      </c>
      <c r="B156" s="101" t="str">
        <f aca="false">IF($A156="","",PLANI_LLOGARIVE!$B156)</f>
        <v>Taksa, tarifa doganore</v>
      </c>
      <c r="C156" s="491" t="b">
        <f aca="false">IFERROR(IF($A156="","",PLANI_LLOGARIVE!$J156),"")</f>
        <v>1</v>
      </c>
    </row>
    <row r="157" customFormat="false" ht="15" hidden="false" customHeight="true" outlineLevel="0" collapsed="false">
      <c r="A157" s="101" t="str">
        <f aca="false">IF(PLANI_LLOGARIVE!$A157="","",PLANI_LLOGARIVE!$A157)</f>
        <v>633</v>
      </c>
      <c r="B157" s="101" t="str">
        <f aca="false">IF($A157="","",PLANI_LLOGARIVE!$B157)</f>
        <v>Akciza</v>
      </c>
      <c r="C157" s="491" t="b">
        <f aca="false">IFERROR(IF($A157="","",PLANI_LLOGARIVE!$J157),"")</f>
        <v>1</v>
      </c>
    </row>
    <row r="158" customFormat="false" ht="15" hidden="false" customHeight="true" outlineLevel="0" collapsed="false">
      <c r="A158" s="101" t="str">
        <f aca="false">IF(PLANI_LLOGARIVE!$A158="","",PLANI_LLOGARIVE!$A158)</f>
        <v>634</v>
      </c>
      <c r="B158" s="101" t="str">
        <f aca="false">IF($A158="","",PLANI_LLOGARIVE!$B158)</f>
        <v>Taksa dhe tarifa vendore</v>
      </c>
      <c r="C158" s="491" t="b">
        <f aca="false">IFERROR(IF($A158="","",PLANI_LLOGARIVE!$J158),"")</f>
        <v>1</v>
      </c>
    </row>
    <row r="159" customFormat="false" ht="15" hidden="false" customHeight="true" outlineLevel="0" collapsed="false">
      <c r="A159" s="101" t="str">
        <f aca="false">IF(PLANI_LLOGARIVE!$A159="","",PLANI_LLOGARIVE!$A159)</f>
        <v>638</v>
      </c>
      <c r="B159" s="101" t="str">
        <f aca="false">IF($A159="","",PLANI_LLOGARIVE!$B159)</f>
        <v>Tatime të tjera</v>
      </c>
      <c r="C159" s="491" t="b">
        <f aca="false">IFERROR(IF($A159="","",PLANI_LLOGARIVE!$J159),"")</f>
        <v>1</v>
      </c>
    </row>
    <row r="160" customFormat="false" ht="15" hidden="false" customHeight="true" outlineLevel="0" collapsed="false">
      <c r="A160" s="101" t="str">
        <f aca="false">IF(PLANI_LLOGARIVE!$A160="","",PLANI_LLOGARIVE!$A160)</f>
        <v>64</v>
      </c>
      <c r="B160" s="101" t="str">
        <f aca="false">IF($A160="","",PLANI_LLOGARIVE!$B160)</f>
        <v>Shpenzime për personelin</v>
      </c>
      <c r="C160" s="491" t="b">
        <f aca="false">IFERROR(IF($A160="","",PLANI_LLOGARIVE!$J160),"")</f>
        <v>0</v>
      </c>
    </row>
    <row r="161" customFormat="false" ht="15" hidden="false" customHeight="true" outlineLevel="0" collapsed="false">
      <c r="A161" s="101" t="str">
        <f aca="false">IF(PLANI_LLOGARIVE!$A161="","",PLANI_LLOGARIVE!$A161)</f>
        <v>641</v>
      </c>
      <c r="B161" s="101" t="str">
        <f aca="false">IF($A161="","",PLANI_LLOGARIVE!$B161)</f>
        <v>Pagat dhe shpërblimet e personelit</v>
      </c>
      <c r="C161" s="491" t="b">
        <f aca="false">IFERROR(IF($A161="","",PLANI_LLOGARIVE!$J161),"")</f>
        <v>1</v>
      </c>
    </row>
    <row r="162" customFormat="false" ht="15" hidden="false" customHeight="true" outlineLevel="0" collapsed="false">
      <c r="A162" s="101" t="str">
        <f aca="false">IF(PLANI_LLOGARIVE!$A162="","",PLANI_LLOGARIVE!$A162)</f>
        <v>644</v>
      </c>
      <c r="B162" s="101" t="str">
        <f aca="false">IF($A162="","",PLANI_LLOGARIVE!$B162)</f>
        <v>Sigurimet shoqërore dhe shëndetësore</v>
      </c>
      <c r="C162" s="491" t="b">
        <f aca="false">IFERROR(IF($A162="","",PLANI_LLOGARIVE!$J162),"")</f>
        <v>1</v>
      </c>
    </row>
    <row r="163" customFormat="false" ht="15" hidden="false" customHeight="true" outlineLevel="0" collapsed="false">
      <c r="A163" s="101" t="str">
        <f aca="false">IF(PLANI_LLOGARIVE!$A163="","",PLANI_LLOGARIVE!$A163)</f>
        <v>645</v>
      </c>
      <c r="B163" s="101" t="str">
        <f aca="false">IF($A163="","",PLANI_LLOGARIVE!$B163)</f>
        <v>Kontributet dhe kuota të tjera për personelin</v>
      </c>
      <c r="C163" s="491" t="b">
        <f aca="false">IFERROR(IF($A163="","",PLANI_LLOGARIVE!$J163),"")</f>
        <v>1</v>
      </c>
    </row>
    <row r="164" customFormat="false" ht="15" hidden="false" customHeight="true" outlineLevel="0" collapsed="false">
      <c r="A164" s="101" t="str">
        <f aca="false">IF(PLANI_LLOGARIVE!$A164="","",PLANI_LLOGARIVE!$A164)</f>
        <v>648</v>
      </c>
      <c r="B164" s="101" t="str">
        <f aca="false">IF($A164="","",PLANI_LLOGARIVE!$B164)</f>
        <v>Shpenzime të tjera për personelin</v>
      </c>
      <c r="C164" s="491" t="b">
        <f aca="false">IFERROR(IF($A164="","",PLANI_LLOGARIVE!$J164),"")</f>
        <v>1</v>
      </c>
    </row>
    <row r="165" customFormat="false" ht="15" hidden="false" customHeight="true" outlineLevel="0" collapsed="false">
      <c r="A165" s="101" t="str">
        <f aca="false">IF(PLANI_LLOGARIVE!$A165="","",PLANI_LLOGARIVE!$A165)</f>
        <v>65</v>
      </c>
      <c r="B165" s="101" t="str">
        <f aca="false">IF($A165="","",PLANI_LLOGARIVE!$B165)</f>
        <v>Shpenzime të tjera</v>
      </c>
      <c r="C165" s="491" t="b">
        <f aca="false">IFERROR(IF($A165="","",PLANI_LLOGARIVE!$J165),"")</f>
        <v>0</v>
      </c>
    </row>
    <row r="166" customFormat="false" ht="15" hidden="false" customHeight="true" outlineLevel="0" collapsed="false">
      <c r="A166" s="101" t="str">
        <f aca="false">IF(PLANI_LLOGARIVE!$A166="","",PLANI_LLOGARIVE!$A166)</f>
        <v>652</v>
      </c>
      <c r="B166" s="101" t="str">
        <f aca="false">IF($A166="","",PLANI_LLOGARIVE!$B166)</f>
        <v>Vlera kontabël e AAGJ të shitura</v>
      </c>
      <c r="C166" s="491" t="b">
        <f aca="false">IFERROR(IF($A166="","",PLANI_LLOGARIVE!$J166),"")</f>
        <v>1</v>
      </c>
    </row>
    <row r="167" customFormat="false" ht="15" hidden="false" customHeight="true" outlineLevel="0" collapsed="false">
      <c r="A167" s="101" t="str">
        <f aca="false">IF(PLANI_LLOGARIVE!$A167="","",PLANI_LLOGARIVE!$A167)</f>
        <v>654</v>
      </c>
      <c r="B167" s="101" t="str">
        <f aca="false">IF($A167="","",PLANI_LLOGARIVE!$B167)</f>
        <v>Shpenzime për pritje dhe përfaqësime</v>
      </c>
      <c r="C167" s="491" t="b">
        <f aca="false">IFERROR(IF($A167="","",PLANI_LLOGARIVE!$J167),"")</f>
        <v>1</v>
      </c>
    </row>
    <row r="168" customFormat="false" ht="15" hidden="false" customHeight="true" outlineLevel="0" collapsed="false">
      <c r="A168" s="101" t="str">
        <f aca="false">IF(PLANI_LLOGARIVE!$A168="","",PLANI_LLOGARIVE!$A168)</f>
        <v>656</v>
      </c>
      <c r="B168" s="101" t="str">
        <f aca="false">IF($A168="","",PLANI_LLOGARIVE!$B168)</f>
        <v>Humbje nga mosarkëtimi i kërkesave/të drejtave</v>
      </c>
      <c r="C168" s="491" t="b">
        <f aca="false">IFERROR(IF($A168="","",PLANI_LLOGARIVE!$J168),"")</f>
        <v>1</v>
      </c>
    </row>
    <row r="169" customFormat="false" ht="15" hidden="false" customHeight="true" outlineLevel="0" collapsed="false">
      <c r="A169" s="101" t="str">
        <f aca="false">IF(PLANI_LLOGARIVE!$A169="","",PLANI_LLOGARIVE!$A169)</f>
        <v>657</v>
      </c>
      <c r="B169" s="101" t="str">
        <f aca="false">IF($A169="","",PLANI_LLOGARIVE!$B169)</f>
        <v>Gjoba dhe dëmshpërblime</v>
      </c>
      <c r="C169" s="491" t="b">
        <f aca="false">IFERROR(IF($A169="","",PLANI_LLOGARIVE!$J169),"")</f>
        <v>1</v>
      </c>
    </row>
    <row r="170" customFormat="false" ht="15" hidden="false" customHeight="true" outlineLevel="0" collapsed="false">
      <c r="A170" s="101" t="str">
        <f aca="false">IF(PLANI_LLOGARIVE!$A170="","",PLANI_LLOGARIVE!$A170)</f>
        <v>658</v>
      </c>
      <c r="B170" s="101" t="str">
        <f aca="false">IF($A170="","",PLANI_LLOGARIVE!$B170)</f>
        <v>Shpenzime të tjera</v>
      </c>
      <c r="C170" s="491" t="b">
        <f aca="false">IFERROR(IF($A170="","",PLANI_LLOGARIVE!$J170),"")</f>
        <v>1</v>
      </c>
    </row>
    <row r="171" customFormat="false" ht="15" hidden="false" customHeight="true" outlineLevel="0" collapsed="false">
      <c r="A171" s="101" t="str">
        <f aca="false">IF(PLANI_LLOGARIVE!$A171="","",PLANI_LLOGARIVE!$A171)</f>
        <v>66</v>
      </c>
      <c r="B171" s="101" t="str">
        <f aca="false">IF($A171="","",PLANI_LLOGARIVE!$B171)</f>
        <v>Shpenzime financiare</v>
      </c>
      <c r="C171" s="491" t="b">
        <f aca="false">IFERROR(IF($A171="","",PLANI_LLOGARIVE!$J171),"")</f>
        <v>0</v>
      </c>
    </row>
    <row r="172" customFormat="false" ht="15" hidden="false" customHeight="true" outlineLevel="0" collapsed="false">
      <c r="A172" s="101" t="str">
        <f aca="false">IF(PLANI_LLOGARIVE!$A172="","",PLANI_LLOGARIVE!$A172)</f>
        <v>661</v>
      </c>
      <c r="B172" s="101" t="str">
        <f aca="false">IF($A172="","",PLANI_LLOGARIVE!$B172)</f>
        <v>Shpenzime financiare nga shoqëritë e kontrolluara</v>
      </c>
      <c r="C172" s="491" t="b">
        <f aca="false">IFERROR(IF($A172="","",PLANI_LLOGARIVE!$J172),"")</f>
        <v>1</v>
      </c>
    </row>
    <row r="173" customFormat="false" ht="15" hidden="false" customHeight="true" outlineLevel="0" collapsed="false">
      <c r="A173" s="101" t="str">
        <f aca="false">IF(PLANI_LLOGARIVE!$A173="","",PLANI_LLOGARIVE!$A173)</f>
        <v>662</v>
      </c>
      <c r="B173" s="101" t="str">
        <f aca="false">IF($A173="","",PLANI_LLOGARIVE!$B173)</f>
        <v>Shpenzime financiare nga shoqëritë e lidhura</v>
      </c>
      <c r="C173" s="491" t="b">
        <f aca="false">IFERROR(IF($A173="","",PLANI_LLOGARIVE!$J173),"")</f>
        <v>1</v>
      </c>
    </row>
    <row r="174" customFormat="false" ht="15" hidden="false" customHeight="true" outlineLevel="0" collapsed="false">
      <c r="A174" s="101" t="str">
        <f aca="false">IF(PLANI_LLOGARIVE!$A174="","",PLANI_LLOGARIVE!$A174)</f>
        <v>667</v>
      </c>
      <c r="B174" s="101" t="str">
        <f aca="false">IF($A174="","",PLANI_LLOGARIVE!$B174)</f>
        <v>Shpenzime për interesa</v>
      </c>
      <c r="C174" s="491" t="b">
        <f aca="false">IFERROR(IF($A174="","",PLANI_LLOGARIVE!$J174),"")</f>
        <v>1</v>
      </c>
    </row>
    <row r="175" customFormat="false" ht="15" hidden="false" customHeight="true" outlineLevel="0" collapsed="false">
      <c r="A175" s="101" t="str">
        <f aca="false">IF(PLANI_LLOGARIVE!$A175="","",PLANI_LLOGARIVE!$A175)</f>
        <v>668</v>
      </c>
      <c r="B175" s="101" t="str">
        <f aca="false">IF($A175="","",PLANI_LLOGARIVE!$B175)</f>
        <v>Shpenzime financiare të tjera</v>
      </c>
      <c r="C175" s="491" t="b">
        <f aca="false">IFERROR(IF($A175="","",PLANI_LLOGARIVE!$J175),"")</f>
        <v>1</v>
      </c>
    </row>
    <row r="176" customFormat="false" ht="15" hidden="false" customHeight="true" outlineLevel="0" collapsed="false">
      <c r="A176" s="101" t="str">
        <f aca="false">IF(PLANI_LLOGARIVE!$A176="","",PLANI_LLOGARIVE!$A176)</f>
        <v>669</v>
      </c>
      <c r="B176" s="101" t="str">
        <f aca="false">IF($A176="","",PLANI_LLOGARIVE!$B176)</f>
        <v>Humbje nga këmbimet dhe përkthimet valutore</v>
      </c>
      <c r="C176" s="491" t="b">
        <f aca="false">IFERROR(IF($A176="","",PLANI_LLOGARIVE!$J176),"")</f>
        <v>1</v>
      </c>
    </row>
    <row r="177" customFormat="false" ht="15" hidden="false" customHeight="true" outlineLevel="0" collapsed="false">
      <c r="A177" s="101" t="str">
        <f aca="false">IF(PLANI_LLOGARIVE!$A177="","",PLANI_LLOGARIVE!$A177)</f>
        <v>67</v>
      </c>
      <c r="B177" s="101" t="str">
        <f aca="false">IF($A177="","",PLANI_LLOGARIVE!$B177)</f>
        <v>Shpenzime të tjera jo korente</v>
      </c>
      <c r="C177" s="491" t="b">
        <f aca="false">IFERROR(IF($A177="","",PLANI_LLOGARIVE!$J177),"")</f>
        <v>0</v>
      </c>
    </row>
    <row r="178" customFormat="false" ht="15" hidden="false" customHeight="true" outlineLevel="0" collapsed="false">
      <c r="A178" s="101" t="str">
        <f aca="false">IF(PLANI_LLOGARIVE!$A178="","",PLANI_LLOGARIVE!$A178)</f>
        <v>672</v>
      </c>
      <c r="B178" s="101" t="str">
        <f aca="false">IF($A178="","",PLANI_LLOGARIVE!$B178)</f>
        <v>Vlera kontabël e aktiveve afatgjata të shitura</v>
      </c>
      <c r="C178" s="491" t="b">
        <f aca="false">IFERROR(IF($A178="","",PLANI_LLOGARIVE!$J178),"")</f>
        <v>1</v>
      </c>
    </row>
    <row r="179" customFormat="false" ht="15" hidden="false" customHeight="true" outlineLevel="0" collapsed="false">
      <c r="A179" s="101" t="str">
        <f aca="false">IF(PLANI_LLOGARIVE!$A179="","",PLANI_LLOGARIVE!$A179)</f>
        <v>677</v>
      </c>
      <c r="B179" s="101" t="str">
        <f aca="false">IF($A179="","",PLANI_LLOGARIVE!$B179)</f>
        <v>Humbje nga gabime të lejuara në ushtrimet</v>
      </c>
      <c r="C179" s="491" t="b">
        <f aca="false">IFERROR(IF($A179="","",PLANI_LLOGARIVE!$J179),"")</f>
        <v>1</v>
      </c>
    </row>
    <row r="180" customFormat="false" ht="15" hidden="false" customHeight="true" outlineLevel="0" collapsed="false">
      <c r="A180" s="101" t="str">
        <f aca="false">IF(PLANI_LLOGARIVE!$A180="","",PLANI_LLOGARIVE!$A180)</f>
        <v>68</v>
      </c>
      <c r="B180" s="101" t="str">
        <f aca="false">IF($A180="","",PLANI_LLOGARIVE!$B180)</f>
        <v>Zhvlerësime dhe amortizimi</v>
      </c>
      <c r="C180" s="491" t="b">
        <f aca="false">IFERROR(IF($A180="","",PLANI_LLOGARIVE!$J180),"")</f>
        <v>0</v>
      </c>
    </row>
    <row r="181" customFormat="false" ht="15" hidden="false" customHeight="true" outlineLevel="0" collapsed="false">
      <c r="A181" s="101" t="str">
        <f aca="false">IF(PLANI_LLOGARIVE!$A181="","",PLANI_LLOGARIVE!$A181)</f>
        <v>681</v>
      </c>
      <c r="B181" s="101" t="str">
        <f aca="false">IF($A181="","",PLANI_LLOGARIVE!$B181)</f>
        <v>Amortizime të aktiveve afatgjata</v>
      </c>
      <c r="C181" s="491" t="b">
        <f aca="false">IFERROR(IF($A181="","",PLANI_LLOGARIVE!$J181),"")</f>
        <v>1</v>
      </c>
    </row>
    <row r="182" customFormat="false" ht="15" hidden="false" customHeight="true" outlineLevel="0" collapsed="false">
      <c r="A182" s="101" t="str">
        <f aca="false">IF(PLANI_LLOGARIVE!$A182="","",PLANI_LLOGARIVE!$A182)</f>
        <v>6812</v>
      </c>
      <c r="B182" s="101" t="str">
        <f aca="false">IF($A182="","",PLANI_LLOGARIVE!$B182)</f>
        <v>Shpenzime amortizimi për ndërtesat</v>
      </c>
      <c r="C182" s="491" t="b">
        <f aca="false">IFERROR(IF($A182="","",PLANI_LLOGARIVE!$J182),"")</f>
        <v>1</v>
      </c>
    </row>
    <row r="183" customFormat="false" ht="15" hidden="false" customHeight="true" outlineLevel="0" collapsed="false">
      <c r="A183" s="101" t="str">
        <f aca="false">IF(PLANI_LLOGARIVE!$A183="","",PLANI_LLOGARIVE!$A183)</f>
        <v>6813</v>
      </c>
      <c r="B183" s="101" t="str">
        <f aca="false">IF($A183="","",PLANI_LLOGARIVE!$B183)</f>
        <v>Shpenzime amortizimi për instalime/makineri/pajisje</v>
      </c>
      <c r="C183" s="491" t="b">
        <f aca="false">IFERROR(IF($A183="","",PLANI_LLOGARIVE!$J183),"")</f>
        <v>1</v>
      </c>
    </row>
    <row r="184" customFormat="false" ht="15" hidden="false" customHeight="true" outlineLevel="0" collapsed="false">
      <c r="A184" s="101" t="str">
        <f aca="false">IF(PLANI_LLOGARIVE!$A184="","",PLANI_LLOGARIVE!$A184)</f>
        <v>6815</v>
      </c>
      <c r="B184" s="101" t="str">
        <f aca="false">IF($A184="","",PLANI_LLOGARIVE!$B184)</f>
        <v>Shpenzime amortizimi për mjete transporti</v>
      </c>
      <c r="C184" s="491" t="b">
        <f aca="false">IFERROR(IF($A184="","",PLANI_LLOGARIVE!$J184),"")</f>
        <v>1</v>
      </c>
    </row>
    <row r="185" customFormat="false" ht="15" hidden="false" customHeight="true" outlineLevel="0" collapsed="false">
      <c r="A185" s="101" t="str">
        <f aca="false">IF(PLANI_LLOGARIVE!$A185="","",PLANI_LLOGARIVE!$A185)</f>
        <v>686</v>
      </c>
      <c r="B185" s="101" t="str">
        <f aca="false">IF($A185="","",PLANI_LLOGARIVE!$B185)</f>
        <v>Provizione për zhvlerësimin e aktiveve financiare</v>
      </c>
      <c r="C185" s="491" t="b">
        <f aca="false">IFERROR(IF($A185="","",PLANI_LLOGARIVE!$J185),"")</f>
        <v>1</v>
      </c>
    </row>
    <row r="186" customFormat="false" ht="15" hidden="false" customHeight="true" outlineLevel="0" collapsed="false">
      <c r="A186" s="101" t="str">
        <f aca="false">IF(PLANI_LLOGARIVE!$A186="","",PLANI_LLOGARIVE!$A186)</f>
        <v>687</v>
      </c>
      <c r="B186" s="101" t="str">
        <f aca="false">IF($A186="","",PLANI_LLOGARIVE!$B186)</f>
        <v>Shpenzime të tjera nga rivlerësimi</v>
      </c>
      <c r="C186" s="491" t="b">
        <f aca="false">IFERROR(IF($A186="","",PLANI_LLOGARIVE!$J186),"")</f>
        <v>1</v>
      </c>
    </row>
    <row r="187" customFormat="false" ht="15" hidden="false" customHeight="true" outlineLevel="0" collapsed="false">
      <c r="A187" s="101" t="str">
        <f aca="false">IF(PLANI_LLOGARIVE!$A187="","",PLANI_LLOGARIVE!$A187)</f>
        <v>69</v>
      </c>
      <c r="B187" s="101" t="str">
        <f aca="false">IF($A187="","",PLANI_LLOGARIVE!$B187)</f>
        <v>Tatime mbi fitimet</v>
      </c>
      <c r="C187" s="491" t="b">
        <f aca="false">IFERROR(IF($A187="","",PLANI_LLOGARIVE!$J187),"")</f>
        <v>0</v>
      </c>
    </row>
    <row r="188" customFormat="false" ht="15" hidden="false" customHeight="true" outlineLevel="0" collapsed="false">
      <c r="A188" s="101" t="str">
        <f aca="false">IF(PLANI_LLOGARIVE!$A188="","",PLANI_LLOGARIVE!$A188)</f>
        <v>694</v>
      </c>
      <c r="B188" s="101" t="str">
        <f aca="false">IF($A188="","",PLANI_LLOGARIVE!$B188)</f>
        <v>Tatime mbi fitimet</v>
      </c>
      <c r="C188" s="491" t="b">
        <f aca="false">IFERROR(IF($A188="","",PLANI_LLOGARIVE!$J188),"")</f>
        <v>1</v>
      </c>
    </row>
    <row r="189" customFormat="false" ht="15" hidden="false" customHeight="true" outlineLevel="0" collapsed="false">
      <c r="A189" s="101" t="str">
        <f aca="false">IF(PLANI_LLOGARIVE!$A189="","",PLANI_LLOGARIVE!$A189)</f>
        <v>7</v>
      </c>
      <c r="B189" s="101" t="str">
        <f aca="false">IF($A189="","",PLANI_LLOGARIVE!$B189)</f>
        <v>Llogaritë e të ardhurave</v>
      </c>
      <c r="C189" s="491" t="b">
        <f aca="false">IFERROR(IF($A189="","",PLANI_LLOGARIVE!$J189),"")</f>
        <v>0</v>
      </c>
    </row>
    <row r="190" customFormat="false" ht="15" hidden="false" customHeight="true" outlineLevel="0" collapsed="false">
      <c r="A190" s="101" t="str">
        <f aca="false">IF(PLANI_LLOGARIVE!$A190="","",PLANI_LLOGARIVE!$A190)</f>
        <v>70</v>
      </c>
      <c r="B190" s="101" t="str">
        <f aca="false">IF($A190="","",PLANI_LLOGARIVE!$B190)</f>
        <v>Të ardhura nga shitjet</v>
      </c>
      <c r="C190" s="491" t="b">
        <f aca="false">IFERROR(IF($A190="","",PLANI_LLOGARIVE!$J190),"")</f>
        <v>0</v>
      </c>
    </row>
    <row r="191" customFormat="false" ht="15" hidden="false" customHeight="true" outlineLevel="0" collapsed="false">
      <c r="A191" s="101" t="str">
        <f aca="false">IF(PLANI_LLOGARIVE!$A191="","",PLANI_LLOGARIVE!$A191)</f>
        <v>701</v>
      </c>
      <c r="B191" s="101" t="str">
        <f aca="false">IF($A191="","",PLANI_LLOGARIVE!$B191)</f>
        <v>Shitje e produkteve të gatshme</v>
      </c>
      <c r="C191" s="491" t="b">
        <f aca="false">IFERROR(IF($A191="","",PLANI_LLOGARIVE!$J191),"")</f>
        <v>1</v>
      </c>
    </row>
    <row r="192" customFormat="false" ht="15" hidden="false" customHeight="true" outlineLevel="0" collapsed="false">
      <c r="A192" s="101" t="str">
        <f aca="false">IF(PLANI_LLOGARIVE!$A192="","",PLANI_LLOGARIVE!$A192)</f>
        <v>702</v>
      </c>
      <c r="B192" s="101" t="str">
        <f aca="false">IF($A192="","",PLANI_LLOGARIVE!$B192)</f>
        <v>Shitje e produkteve të ndërmjetme</v>
      </c>
      <c r="C192" s="491" t="b">
        <f aca="false">IFERROR(IF($A192="","",PLANI_LLOGARIVE!$J192),"")</f>
        <v>1</v>
      </c>
    </row>
    <row r="193" customFormat="false" ht="15" hidden="false" customHeight="true" outlineLevel="0" collapsed="false">
      <c r="A193" s="101" t="str">
        <f aca="false">IF(PLANI_LLOGARIVE!$A193="","",PLANI_LLOGARIVE!$A193)</f>
        <v>703</v>
      </c>
      <c r="B193" s="101" t="str">
        <f aca="false">IF($A193="","",PLANI_LLOGARIVE!$B193)</f>
        <v>Shitje e nënprodukteve</v>
      </c>
      <c r="C193" s="491" t="b">
        <f aca="false">IFERROR(IF($A193="","",PLANI_LLOGARIVE!$J193),"")</f>
        <v>1</v>
      </c>
    </row>
    <row r="194" customFormat="false" ht="15" hidden="false" customHeight="true" outlineLevel="0" collapsed="false">
      <c r="A194" s="101" t="str">
        <f aca="false">IF(PLANI_LLOGARIVE!$A194="","",PLANI_LLOGARIVE!$A194)</f>
        <v>704</v>
      </c>
      <c r="B194" s="101" t="str">
        <f aca="false">IF($A194="","",PLANI_LLOGARIVE!$B194)</f>
        <v>Shitje punime dhe shërbime</v>
      </c>
      <c r="C194" s="491" t="b">
        <f aca="false">IFERROR(IF($A194="","",PLANI_LLOGARIVE!$J194),"")</f>
        <v>1</v>
      </c>
    </row>
    <row r="195" customFormat="false" ht="15" hidden="false" customHeight="true" outlineLevel="0" collapsed="false">
      <c r="A195" s="101" t="str">
        <f aca="false">IF(PLANI_LLOGARIVE!$A195="","",PLANI_LLOGARIVE!$A195)</f>
        <v>705</v>
      </c>
      <c r="B195" s="101" t="str">
        <f aca="false">IF($A195="","",PLANI_LLOGARIVE!$B195)</f>
        <v>Shitje mallrash</v>
      </c>
      <c r="C195" s="491" t="b">
        <f aca="false">IFERROR(IF($A195="","",PLANI_LLOGARIVE!$J195),"")</f>
        <v>1</v>
      </c>
    </row>
    <row r="196" customFormat="false" ht="15" hidden="false" customHeight="true" outlineLevel="0" collapsed="false">
      <c r="A196" s="101" t="str">
        <f aca="false">IF(PLANI_LLOGARIVE!$A196="","",PLANI_LLOGARIVE!$A196)</f>
        <v>706</v>
      </c>
      <c r="B196" s="101" t="str">
        <f aca="false">IF($A196="","",PLANI_LLOGARIVE!$B196)</f>
        <v>Të ardhura nga komisionet bankare</v>
      </c>
      <c r="C196" s="491" t="b">
        <f aca="false">IFERROR(IF($A196="","",PLANI_LLOGARIVE!$J196),"")</f>
        <v>1</v>
      </c>
    </row>
    <row r="197" customFormat="false" ht="15" hidden="false" customHeight="true" outlineLevel="0" collapsed="false">
      <c r="A197" s="101" t="str">
        <f aca="false">IF(PLANI_LLOGARIVE!$A197="","",PLANI_LLOGARIVE!$A197)</f>
        <v>707</v>
      </c>
      <c r="B197" s="101" t="str">
        <f aca="false">IF($A197="","",PLANI_LLOGARIVE!$B197)</f>
        <v>Shitje materiale dhe furnitura</v>
      </c>
      <c r="C197" s="491" t="b">
        <f aca="false">IFERROR(IF($A197="","",PLANI_LLOGARIVE!$J197),"")</f>
        <v>1</v>
      </c>
    </row>
    <row r="198" customFormat="false" ht="15" hidden="false" customHeight="true" outlineLevel="0" collapsed="false">
      <c r="A198" s="101" t="str">
        <f aca="false">IF(PLANI_LLOGARIVE!$A198="","",PLANI_LLOGARIVE!$A198)</f>
        <v>708</v>
      </c>
      <c r="B198" s="101" t="str">
        <f aca="false">IF($A198="","",PLANI_LLOGARIVE!$B198)</f>
        <v>Të ardhura nga shitje të tjera</v>
      </c>
      <c r="C198" s="491" t="b">
        <f aca="false">IFERROR(IF($A198="","",PLANI_LLOGARIVE!$J198),"")</f>
        <v>1</v>
      </c>
    </row>
    <row r="199" customFormat="false" ht="15" hidden="false" customHeight="true" outlineLevel="0" collapsed="false">
      <c r="A199" s="101" t="str">
        <f aca="false">IF(PLANI_LLOGARIVE!$A199="","",PLANI_LLOGARIVE!$A199)</f>
        <v>71</v>
      </c>
      <c r="B199" s="101" t="str">
        <f aca="false">IF($A199="","",PLANI_LLOGARIVE!$B199)</f>
        <v>Ndryshimi i gjendjes së prodhimit në proces dhe produkteve</v>
      </c>
      <c r="C199" s="491" t="b">
        <f aca="false">IFERROR(IF($A199="","",PLANI_LLOGARIVE!$J199),"")</f>
        <v>0</v>
      </c>
    </row>
    <row r="200" customFormat="false" ht="15" hidden="false" customHeight="true" outlineLevel="0" collapsed="false">
      <c r="A200" s="101" t="str">
        <f aca="false">IF(PLANI_LLOGARIVE!$A200="","",PLANI_LLOGARIVE!$A200)</f>
        <v>713</v>
      </c>
      <c r="B200" s="101" t="str">
        <f aca="false">IF($A200="","",PLANI_LLOGARIVE!$B200)</f>
        <v>Ndryshim gjendje prodhim në proces</v>
      </c>
      <c r="C200" s="491" t="b">
        <f aca="false">IFERROR(IF($A200="","",PLANI_LLOGARIVE!$J200),"")</f>
        <v>1</v>
      </c>
    </row>
    <row r="201" customFormat="false" ht="15" hidden="false" customHeight="true" outlineLevel="0" collapsed="false">
      <c r="A201" s="101" t="str">
        <f aca="false">IF(PLANI_LLOGARIVE!$A201="","",PLANI_LLOGARIVE!$A201)</f>
        <v>714</v>
      </c>
      <c r="B201" s="101" t="str">
        <f aca="false">IF($A201="","",PLANI_LLOGARIVE!$B201)</f>
        <v>Ndryshim gjendje produkti</v>
      </c>
      <c r="C201" s="491" t="b">
        <f aca="false">IFERROR(IF($A201="","",PLANI_LLOGARIVE!$J201),"")</f>
        <v>1</v>
      </c>
    </row>
    <row r="202" customFormat="false" ht="15" hidden="false" customHeight="true" outlineLevel="0" collapsed="false">
      <c r="A202" s="101" t="str">
        <f aca="false">IF(PLANI_LLOGARIVE!$A202="","",PLANI_LLOGARIVE!$A202)</f>
        <v>72</v>
      </c>
      <c r="B202" s="101" t="str">
        <f aca="false">IF($A202="","",PLANI_LLOGARIVE!$B202)</f>
        <v>Prodhimi i aktiveve afatgjata</v>
      </c>
      <c r="C202" s="491" t="b">
        <f aca="false">IFERROR(IF($A202="","",PLANI_LLOGARIVE!$J202),"")</f>
        <v>0</v>
      </c>
    </row>
    <row r="203" customFormat="false" ht="15" hidden="false" customHeight="true" outlineLevel="0" collapsed="false">
      <c r="A203" s="101" t="str">
        <f aca="false">IF(PLANI_LLOGARIVE!$A203="","",PLANI_LLOGARIVE!$A203)</f>
        <v>721</v>
      </c>
      <c r="B203" s="101" t="str">
        <f aca="false">IF($A203="","",PLANI_LLOGARIVE!$B203)</f>
        <v>Prodhimi i AA jomateriale</v>
      </c>
      <c r="C203" s="491" t="b">
        <f aca="false">IFERROR(IF($A203="","",PLANI_LLOGARIVE!$J203),"")</f>
        <v>1</v>
      </c>
    </row>
    <row r="204" customFormat="false" ht="15" hidden="false" customHeight="true" outlineLevel="0" collapsed="false">
      <c r="A204" s="101" t="str">
        <f aca="false">IF(PLANI_LLOGARIVE!$A204="","",PLANI_LLOGARIVE!$A204)</f>
        <v>722</v>
      </c>
      <c r="B204" s="101" t="str">
        <f aca="false">IF($A204="","",PLANI_LLOGARIVE!$B204)</f>
        <v>Prodhimi i AA materiale</v>
      </c>
      <c r="C204" s="491" t="b">
        <f aca="false">IFERROR(IF($A204="","",PLANI_LLOGARIVE!$J204),"")</f>
        <v>1</v>
      </c>
    </row>
    <row r="205" customFormat="false" ht="15" hidden="false" customHeight="true" outlineLevel="0" collapsed="false">
      <c r="A205" s="101" t="str">
        <f aca="false">IF(PLANI_LLOGARIVE!$A205="","",PLANI_LLOGARIVE!$A205)</f>
        <v>73</v>
      </c>
      <c r="B205" s="101" t="str">
        <f aca="false">IF($A205="","",PLANI_LLOGARIVE!$B205)</f>
        <v>Të ardhura nga grantet</v>
      </c>
      <c r="C205" s="491" t="b">
        <f aca="false">IFERROR(IF($A205="","",PLANI_LLOGARIVE!$J205),"")</f>
        <v>0</v>
      </c>
    </row>
    <row r="206" customFormat="false" ht="15" hidden="false" customHeight="true" outlineLevel="0" collapsed="false">
      <c r="A206" s="101" t="str">
        <f aca="false">IF(PLANI_LLOGARIVE!$A206="","",PLANI_LLOGARIVE!$A206)</f>
        <v>731</v>
      </c>
      <c r="B206" s="101" t="str">
        <f aca="false">IF($A206="","",PLANI_LLOGARIVE!$B206)</f>
        <v>Të ardhura nga grantet</v>
      </c>
      <c r="C206" s="491" t="b">
        <f aca="false">IFERROR(IF($A206="","",PLANI_LLOGARIVE!$J206),"")</f>
        <v>1</v>
      </c>
    </row>
    <row r="207" customFormat="false" ht="15" hidden="false" customHeight="true" outlineLevel="0" collapsed="false">
      <c r="A207" s="101" t="str">
        <f aca="false">IF(PLANI_LLOGARIVE!$A207="","",PLANI_LLOGARIVE!$A207)</f>
        <v>75</v>
      </c>
      <c r="B207" s="101" t="str">
        <f aca="false">IF($A207="","",PLANI_LLOGARIVE!$B207)</f>
        <v>Të ardhura të tjera</v>
      </c>
      <c r="C207" s="491" t="b">
        <f aca="false">IFERROR(IF($A207="","",PLANI_LLOGARIVE!$J207),"")</f>
        <v>0</v>
      </c>
    </row>
    <row r="208" customFormat="false" ht="15" hidden="false" customHeight="true" outlineLevel="0" collapsed="false">
      <c r="A208" s="101" t="str">
        <f aca="false">IF(PLANI_LLOGARIVE!$A208="","",PLANI_LLOGARIVE!$A208)</f>
        <v>752</v>
      </c>
      <c r="B208" s="101" t="str">
        <f aca="false">IF($A208="","",PLANI_LLOGARIVE!$B208)</f>
        <v>Të ardhura nga shitja e AAGJ</v>
      </c>
      <c r="C208" s="491" t="b">
        <f aca="false">IFERROR(IF($A208="","",PLANI_LLOGARIVE!$J208),"")</f>
        <v>1</v>
      </c>
    </row>
    <row r="209" customFormat="false" ht="15" hidden="false" customHeight="true" outlineLevel="0" collapsed="false">
      <c r="A209" s="101" t="str">
        <f aca="false">IF(PLANI_LLOGARIVE!$A209="","",PLANI_LLOGARIVE!$A209)</f>
        <v>754</v>
      </c>
      <c r="B209" s="101" t="str">
        <f aca="false">IF($A209="","",PLANI_LLOGARIVE!$B209)</f>
        <v>Dhurata e ndihma të marra</v>
      </c>
      <c r="C209" s="491" t="b">
        <f aca="false">IFERROR(IF($A209="","",PLANI_LLOGARIVE!$J209),"")</f>
        <v>1</v>
      </c>
    </row>
    <row r="210" customFormat="false" ht="15" hidden="false" customHeight="true" outlineLevel="0" collapsed="false">
      <c r="A210" s="101" t="str">
        <f aca="false">IF(PLANI_LLOGARIVE!$A210="","",PLANI_LLOGARIVE!$A210)</f>
        <v>757</v>
      </c>
      <c r="B210" s="101" t="str">
        <f aca="false">IF($A210="","",PLANI_LLOGARIVE!$B210)</f>
        <v>Penalitete dhe gjoba të arkëtuara</v>
      </c>
      <c r="C210" s="491" t="b">
        <f aca="false">IFERROR(IF($A210="","",PLANI_LLOGARIVE!$J210),"")</f>
        <v>1</v>
      </c>
    </row>
    <row r="211" customFormat="false" ht="15" hidden="false" customHeight="true" outlineLevel="0" collapsed="false">
      <c r="A211" s="101" t="str">
        <f aca="false">IF(PLANI_LLOGARIVE!$A211="","",PLANI_LLOGARIVE!$A211)</f>
        <v>758</v>
      </c>
      <c r="B211" s="101" t="str">
        <f aca="false">IF($A211="","",PLANI_LLOGARIVE!$B211)</f>
        <v>Të ndryshme</v>
      </c>
      <c r="C211" s="491" t="b">
        <f aca="false">IFERROR(IF($A211="","",PLANI_LLOGARIVE!$J211),"")</f>
        <v>1</v>
      </c>
    </row>
    <row r="212" customFormat="false" ht="15" hidden="false" customHeight="true" outlineLevel="0" collapsed="false">
      <c r="A212" s="101" t="str">
        <f aca="false">IF(PLANI_LLOGARIVE!$A212="","",PLANI_LLOGARIVE!$A212)</f>
        <v>76</v>
      </c>
      <c r="B212" s="101" t="str">
        <f aca="false">IF($A212="","",PLANI_LLOGARIVE!$B212)</f>
        <v>Të ardhura financiare</v>
      </c>
      <c r="C212" s="491" t="b">
        <f aca="false">IFERROR(IF($A212="","",PLANI_LLOGARIVE!$J212),"")</f>
        <v>0</v>
      </c>
    </row>
    <row r="213" customFormat="false" ht="15" hidden="false" customHeight="true" outlineLevel="0" collapsed="false">
      <c r="A213" s="101" t="str">
        <f aca="false">IF(PLANI_LLOGARIVE!$A213="","",PLANI_LLOGARIVE!$A213)</f>
        <v>761</v>
      </c>
      <c r="B213" s="101" t="str">
        <f aca="false">IF($A213="","",PLANI_LLOGARIVE!$B213)</f>
        <v>Të ardhura financiare nga shoqëritë e kontrolluara</v>
      </c>
      <c r="C213" s="491" t="b">
        <f aca="false">IFERROR(IF($A213="","",PLANI_LLOGARIVE!$J213),"")</f>
        <v>1</v>
      </c>
    </row>
    <row r="214" customFormat="false" ht="15" hidden="false" customHeight="true" outlineLevel="0" collapsed="false">
      <c r="A214" s="101" t="str">
        <f aca="false">IF(PLANI_LLOGARIVE!$A214="","",PLANI_LLOGARIVE!$A214)</f>
        <v>762</v>
      </c>
      <c r="B214" s="101" t="str">
        <f aca="false">IF($A214="","",PLANI_LLOGARIVE!$B214)</f>
        <v>Të ardhura financiare nga shoqëritë e lidhura</v>
      </c>
      <c r="C214" s="491" t="b">
        <f aca="false">IFERROR(IF($A214="","",PLANI_LLOGARIVE!$J214),"")</f>
        <v>1</v>
      </c>
    </row>
    <row r="215" customFormat="false" ht="15" hidden="false" customHeight="true" outlineLevel="0" collapsed="false">
      <c r="A215" s="101" t="str">
        <f aca="false">IF(PLANI_LLOGARIVE!$A215="","",PLANI_LLOGARIVE!$A215)</f>
        <v>763</v>
      </c>
      <c r="B215" s="101" t="str">
        <f aca="false">IF($A215="","",PLANI_LLOGARIVE!$B215)</f>
        <v>Të ardhura nga dividentët</v>
      </c>
      <c r="C215" s="491" t="b">
        <f aca="false">IFERROR(IF($A215="","",PLANI_LLOGARIVE!$J215),"")</f>
        <v>1</v>
      </c>
    </row>
    <row r="216" customFormat="false" ht="15" hidden="false" customHeight="true" outlineLevel="0" collapsed="false">
      <c r="A216" s="101" t="str">
        <f aca="false">IF(PLANI_LLOGARIVE!$A216="","",PLANI_LLOGARIVE!$A216)</f>
        <v>764</v>
      </c>
      <c r="B216" s="101" t="str">
        <f aca="false">IF($A216="","",PLANI_LLOGARIVE!$B216)</f>
        <v>Fitime nga rivlerësimi i letrave me vlerë</v>
      </c>
      <c r="C216" s="491" t="b">
        <f aca="false">IFERROR(IF($A216="","",PLANI_LLOGARIVE!$J216),"")</f>
        <v>1</v>
      </c>
    </row>
    <row r="217" customFormat="false" ht="15" hidden="false" customHeight="true" outlineLevel="0" collapsed="false">
      <c r="A217" s="101" t="str">
        <f aca="false">IF(PLANI_LLOGARIVE!$A217="","",PLANI_LLOGARIVE!$A217)</f>
        <v>765</v>
      </c>
      <c r="B217" s="101" t="str">
        <f aca="false">IF($A217="","",PLANI_LLOGARIVE!$B217)</f>
        <v>Fitime nga shitja e letrave me vlerë</v>
      </c>
      <c r="C217" s="491" t="b">
        <f aca="false">IFERROR(IF($A217="","",PLANI_LLOGARIVE!$J217),"")</f>
        <v>1</v>
      </c>
    </row>
    <row r="218" customFormat="false" ht="15" hidden="false" customHeight="true" outlineLevel="0" collapsed="false">
      <c r="A218" s="101" t="str">
        <f aca="false">IF(PLANI_LLOGARIVE!$A218="","",PLANI_LLOGARIVE!$A218)</f>
        <v>767</v>
      </c>
      <c r="B218" s="101" t="str">
        <f aca="false">IF($A218="","",PLANI_LLOGARIVE!$B218)</f>
        <v>Të ardhura nga interesat</v>
      </c>
      <c r="C218" s="491" t="b">
        <f aca="false">IFERROR(IF($A218="","",PLANI_LLOGARIVE!$J218),"")</f>
        <v>1</v>
      </c>
    </row>
    <row r="219" customFormat="false" ht="15" hidden="false" customHeight="true" outlineLevel="0" collapsed="false">
      <c r="A219" s="101" t="str">
        <f aca="false">IF(PLANI_LLOGARIVE!$A219="","",PLANI_LLOGARIVE!$A219)</f>
        <v>768</v>
      </c>
      <c r="B219" s="101" t="str">
        <f aca="false">IF($A219="","",PLANI_LLOGARIVE!$B219)</f>
        <v>Të ardhura të tjera financiare</v>
      </c>
      <c r="C219" s="491" t="b">
        <f aca="false">IFERROR(IF($A219="","",PLANI_LLOGARIVE!$J219),"")</f>
        <v>1</v>
      </c>
    </row>
    <row r="220" customFormat="false" ht="15" hidden="false" customHeight="true" outlineLevel="0" collapsed="false">
      <c r="A220" s="101" t="str">
        <f aca="false">IF(PLANI_LLOGARIVE!$A220="","",PLANI_LLOGARIVE!$A220)</f>
        <v>769</v>
      </c>
      <c r="B220" s="101" t="str">
        <f aca="false">IF($A220="","",PLANI_LLOGARIVE!$B220)</f>
        <v>Fitim nga këmbimet valutore</v>
      </c>
      <c r="C220" s="491" t="b">
        <f aca="false">IFERROR(IF($A220="","",PLANI_LLOGARIVE!$J220),"")</f>
        <v>1</v>
      </c>
    </row>
    <row r="221" customFormat="false" ht="15" hidden="false" customHeight="true" outlineLevel="0" collapsed="false">
      <c r="A221" s="101" t="str">
        <f aca="false">IF(PLANI_LLOGARIVE!$A221="","",PLANI_LLOGARIVE!$A221)</f>
        <v>77</v>
      </c>
      <c r="B221" s="101" t="str">
        <f aca="false">IF($A221="","",PLANI_LLOGARIVE!$B221)</f>
        <v>Të ardhura të tjera jo korente</v>
      </c>
      <c r="C221" s="491" t="b">
        <f aca="false">IFERROR(IF($A221="","",PLANI_LLOGARIVE!$J221),"")</f>
        <v>0</v>
      </c>
    </row>
    <row r="222" customFormat="false" ht="15" hidden="false" customHeight="true" outlineLevel="0" collapsed="false">
      <c r="A222" s="101" t="str">
        <f aca="false">IF(PLANI_LLOGARIVE!$A222="","",PLANI_LLOGARIVE!$A222)</f>
        <v>771</v>
      </c>
      <c r="B222" s="101" t="str">
        <f aca="false">IF($A222="","",PLANI_LLOGARIVE!$B222)</f>
        <v>Të ardhura nga shitja e AAGJ</v>
      </c>
      <c r="C222" s="491" t="b">
        <f aca="false">IFERROR(IF($A222="","",PLANI_LLOGARIVE!$J222),"")</f>
        <v>1</v>
      </c>
    </row>
    <row r="223" customFormat="false" ht="15" hidden="false" customHeight="true" outlineLevel="0" collapsed="false">
      <c r="A223" s="101" t="str">
        <f aca="false">IF(PLANI_LLOGARIVE!$A223="","",PLANI_LLOGARIVE!$A223)</f>
        <v>772</v>
      </c>
      <c r="B223" s="101" t="str">
        <f aca="false">IF($A223="","",PLANI_LLOGARIVE!$B223)</f>
        <v>Dëmshpërblime të tjera</v>
      </c>
      <c r="C223" s="491" t="b">
        <f aca="false">IFERROR(IF($A223="","",PLANI_LLOGARIVE!$J223),"")</f>
        <v>1</v>
      </c>
    </row>
    <row r="224" customFormat="false" ht="15" hidden="false" customHeight="true" outlineLevel="0" collapsed="false">
      <c r="A224" s="101" t="str">
        <f aca="false">IF(PLANI_LLOGARIVE!$A224="","",PLANI_LLOGARIVE!$A224)</f>
        <v>78</v>
      </c>
      <c r="B224" s="101" t="str">
        <f aca="false">IF($A224="","",PLANI_LLOGARIVE!$B224)</f>
        <v>Rimarrje shumash të parashikuara</v>
      </c>
      <c r="C224" s="491" t="b">
        <f aca="false">IFERROR(IF($A224="","",PLANI_LLOGARIVE!$J224),"")</f>
        <v>0</v>
      </c>
    </row>
    <row r="225" customFormat="false" ht="15" hidden="false" customHeight="true" outlineLevel="0" collapsed="false">
      <c r="A225" s="101" t="str">
        <f aca="false">IF(PLANI_LLOGARIVE!$A225="","",PLANI_LLOGARIVE!$A225)</f>
        <v>781</v>
      </c>
      <c r="B225" s="101" t="str">
        <f aca="false">IF($A225="","",PLANI_LLOGARIVE!$B225)</f>
        <v>Rimarrje lidhur me veprimtarinë e shfrytëzimit</v>
      </c>
      <c r="C225" s="491" t="b">
        <f aca="false">IFERROR(IF($A225="","",PLANI_LLOGARIVE!$J225),"")</f>
        <v>1</v>
      </c>
    </row>
    <row r="226" customFormat="false" ht="15" hidden="false" customHeight="true" outlineLevel="0" collapsed="false">
      <c r="A226" s="101" t="str">
        <f aca="false">IF(PLANI_LLOGARIVE!$A226="","",PLANI_LLOGARIVE!$A226)</f>
        <v>786</v>
      </c>
      <c r="B226" s="101" t="str">
        <f aca="false">IF($A226="","",PLANI_LLOGARIVE!$B226)</f>
        <v>Rimarrje provizionesh për aktivet financiare</v>
      </c>
      <c r="C226" s="491" t="b">
        <f aca="false">IFERROR(IF($A226="","",PLANI_LLOGARIVE!$J226),"")</f>
        <v>1</v>
      </c>
    </row>
    <row r="227" customFormat="false" ht="15" hidden="false" customHeight="true" outlineLevel="0" collapsed="false">
      <c r="A227" s="101" t="str">
        <f aca="false">IF(PLANI_LLOGARIVE!$A227="","",PLANI_LLOGARIVE!$A227)</f>
        <v>8</v>
      </c>
      <c r="B227" s="101" t="str">
        <f aca="false">IF($A227="","",PLANI_LLOGARIVE!$B227)</f>
        <v>Llogari të mbylljes dhe rezultatit</v>
      </c>
      <c r="C227" s="491" t="b">
        <f aca="false">IFERROR(IF($A227="","",PLANI_LLOGARIVE!$J227),"")</f>
        <v>0</v>
      </c>
    </row>
    <row r="228" customFormat="false" ht="15" hidden="false" customHeight="true" outlineLevel="0" collapsed="false">
      <c r="A228" s="101" t="str">
        <f aca="false">IF(PLANI_LLOGARIVE!$A228="","",PLANI_LLOGARIVE!$A228)</f>
        <v>89</v>
      </c>
      <c r="B228" s="101" t="str">
        <f aca="false">IF($A228="","",PLANI_LLOGARIVE!$B228)</f>
        <v>Rezultati dhe mbyllja e periudhës</v>
      </c>
      <c r="C228" s="491" t="b">
        <f aca="false">IFERROR(IF($A228="","",PLANI_LLOGARIVE!$J228),"")</f>
        <v>0</v>
      </c>
    </row>
    <row r="229" customFormat="false" ht="15" hidden="false" customHeight="true" outlineLevel="0" collapsed="false">
      <c r="A229" s="101" t="str">
        <f aca="false">IF(PLANI_LLOGARIVE!$A229="","",PLANI_LLOGARIVE!$A229)</f>
        <v>891</v>
      </c>
      <c r="B229" s="101" t="str">
        <f aca="false">IF($A229="","",PLANI_LLOGARIVE!$B229)</f>
        <v>Transferim i shpenzimeve në rezultat</v>
      </c>
      <c r="C229" s="491" t="b">
        <f aca="false">IFERROR(IF($A229="","",PLANI_LLOGARIVE!$J229),"")</f>
        <v>0</v>
      </c>
    </row>
    <row r="230" customFormat="false" ht="15" hidden="false" customHeight="true" outlineLevel="0" collapsed="false">
      <c r="A230" s="101" t="str">
        <f aca="false">IF(PLANI_LLOGARIVE!$A230="","",PLANI_LLOGARIVE!$A230)</f>
        <v>892</v>
      </c>
      <c r="B230" s="101" t="str">
        <f aca="false">IF($A230="","",PLANI_LLOGARIVE!$B230)</f>
        <v>Transferim i të ardhurave në rezultat</v>
      </c>
      <c r="C230" s="491" t="b">
        <f aca="false">IFERROR(IF($A230="","",PLANI_LLOGARIVE!$J230),"")</f>
        <v>0</v>
      </c>
    </row>
    <row r="231" customFormat="false" ht="15" hidden="false" customHeight="true" outlineLevel="0" collapsed="false">
      <c r="A231" s="101" t="str">
        <f aca="false">IF(PLANI_LLOGARIVE!$A231="","",PLANI_LLOGARIVE!$A231)</f>
        <v>9</v>
      </c>
      <c r="B231" s="101" t="str">
        <f aca="false">IF($A231="","",PLANI_LLOGARIVE!$B231)</f>
        <v>Analitikë/kosto menaxheriale</v>
      </c>
      <c r="C231" s="491" t="b">
        <f aca="false">IFERROR(IF($A231="","",PLANI_LLOGARIVE!$J231),"")</f>
        <v>0</v>
      </c>
    </row>
    <row r="232" customFormat="false" ht="15" hidden="false" customHeight="true" outlineLevel="0" collapsed="false">
      <c r="A232" s="101" t="str">
        <f aca="false">IF(PLANI_LLOGARIVE!$A232="","",PLANI_LLOGARIVE!$A232)</f>
        <v>90</v>
      </c>
      <c r="B232" s="101" t="str">
        <f aca="false">IF($A232="","",PLANI_LLOGARIVE!$B232)</f>
        <v>Qendra kostoje</v>
      </c>
      <c r="C232" s="491" t="b">
        <f aca="false">IFERROR(IF($A232="","",PLANI_LLOGARIVE!$J232),"")</f>
        <v>0</v>
      </c>
    </row>
    <row r="233" customFormat="false" ht="15" hidden="false" customHeight="true" outlineLevel="0" collapsed="false">
      <c r="A233" s="101" t="str">
        <f aca="false">IF(PLANI_LLOGARIVE!$A233="","",PLANI_LLOGARIVE!$A233)</f>
        <v>901</v>
      </c>
      <c r="B233" s="101" t="str">
        <f aca="false">IF($A233="","",PLANI_LLOGARIVE!$B233)</f>
        <v>Qendra kostoje - Administratë</v>
      </c>
      <c r="C233" s="491" t="b">
        <f aca="false">IFERROR(IF($A233="","",PLANI_LLOGARIVE!$J233),"")</f>
        <v>0</v>
      </c>
    </row>
    <row r="234" customFormat="false" ht="15" hidden="false" customHeight="true" outlineLevel="0" collapsed="false">
      <c r="A234" s="101" t="str">
        <f aca="false">IF(PLANI_LLOGARIVE!$A234="","",PLANI_LLOGARIVE!$A234)</f>
        <v>902</v>
      </c>
      <c r="B234" s="101" t="str">
        <f aca="false">IF($A234="","",PLANI_LLOGARIVE!$B234)</f>
        <v>Qendra kostoje - Prodhim/Shërbim</v>
      </c>
      <c r="C234" s="491" t="b">
        <f aca="false">IFERROR(IF($A234="","",PLANI_LLOGARIVE!$J234),"")</f>
        <v>0</v>
      </c>
    </row>
    <row r="235" customFormat="false" ht="15" hidden="false" customHeight="true" outlineLevel="0" collapsed="false">
      <c r="A235" s="101" t="str">
        <f aca="false">IF(PLANI_LLOGARIVE!$A235="","",PLANI_LLOGARIVE!$A235)</f>
        <v>91</v>
      </c>
      <c r="B235" s="101" t="str">
        <f aca="false">IF($A235="","",PLANI_LLOGARIVE!$B235)</f>
        <v>Projekte/kontrata</v>
      </c>
      <c r="C235" s="491" t="b">
        <f aca="false">IFERROR(IF($A235="","",PLANI_LLOGARIVE!$J235),"")</f>
        <v>0</v>
      </c>
    </row>
    <row r="236" customFormat="false" ht="15" hidden="false" customHeight="true" outlineLevel="0" collapsed="false">
      <c r="A236" s="101" t="str">
        <f aca="false">IF(PLANI_LLOGARIVE!$A236="","",PLANI_LLOGARIVE!$A236)</f>
        <v>911</v>
      </c>
      <c r="B236" s="101" t="str">
        <f aca="false">IF($A236="","",PLANI_LLOGARIVE!$B236)</f>
        <v>Projekt/kontratë 1</v>
      </c>
      <c r="C236" s="491" t="b">
        <f aca="false">IFERROR(IF($A236="","",PLANI_LLOGARIVE!$J236),"")</f>
        <v>0</v>
      </c>
    </row>
    <row r="237" customFormat="false" ht="15" hidden="false" customHeight="true" outlineLevel="0" collapsed="false">
      <c r="A237" s="101" t="str">
        <f aca="false">IF(PLANI_LLOGARIVE!$A237="","",PLANI_LLOGARIVE!$A237)</f>
        <v>HAPËSIRË PËR LLOGARI TË REJA</v>
      </c>
      <c r="B237" s="101" t="str">
        <f aca="false">IF($A237="","",PLANI_LLOGARIVE!$B237)</f>
        <v>Shto llogari të reja poshtë duke plotësuar kodin, emrin, klasën, tipin, balancën normale, Lejohet në Ditar = TRUE dhe Map Bilanc/PASH.</v>
      </c>
      <c r="C237" s="101" t="n">
        <f aca="false">IFERROR(IF($A237="","",PLANI_LLOGARIVE!$J237),"")</f>
        <v>0</v>
      </c>
    </row>
    <row r="238" customFormat="false" ht="15" hidden="false" customHeight="true" outlineLevel="0" collapsed="false">
      <c r="A238" s="101" t="str">
        <f aca="false">IF(PLANI_LLOGARIVE!$A238="","",PLANI_LLOGARIVE!$A238)</f>
        <v/>
      </c>
      <c r="B238" s="101" t="str">
        <f aca="false">IF($A238="","",PLANI_LLOGARIVE!$B238)</f>
        <v/>
      </c>
      <c r="C238" s="101" t="str">
        <f aca="false">IFERROR(IF($A238="","",PLANI_LLOGARIVE!$J238),"")</f>
        <v/>
      </c>
    </row>
    <row r="239" customFormat="false" ht="15" hidden="false" customHeight="true" outlineLevel="0" collapsed="false">
      <c r="A239" s="101" t="str">
        <f aca="false">IF(PLANI_LLOGARIVE!$A239="","",PLANI_LLOGARIVE!$A239)</f>
        <v/>
      </c>
      <c r="B239" s="101" t="str">
        <f aca="false">IF($A239="","",PLANI_LLOGARIVE!$B239)</f>
        <v/>
      </c>
      <c r="C239" s="101" t="str">
        <f aca="false">IFERROR(IF($A239="","",PLANI_LLOGARIVE!$J239),"")</f>
        <v/>
      </c>
    </row>
    <row r="240" customFormat="false" ht="15" hidden="false" customHeight="true" outlineLevel="0" collapsed="false">
      <c r="A240" s="101" t="str">
        <f aca="false">IF(PLANI_LLOGARIVE!$A240="","",PLANI_LLOGARIVE!$A240)</f>
        <v/>
      </c>
      <c r="B240" s="101" t="str">
        <f aca="false">IF($A240="","",PLANI_LLOGARIVE!$B240)</f>
        <v/>
      </c>
      <c r="C240" s="101" t="str">
        <f aca="false">IFERROR(IF($A240="","",PLANI_LLOGARIVE!$J240),"")</f>
        <v/>
      </c>
    </row>
    <row r="241" customFormat="false" ht="15" hidden="false" customHeight="true" outlineLevel="0" collapsed="false">
      <c r="A241" s="101" t="str">
        <f aca="false">IF(PLANI_LLOGARIVE!$A241="","",PLANI_LLOGARIVE!$A241)</f>
        <v/>
      </c>
      <c r="B241" s="101" t="str">
        <f aca="false">IF($A241="","",PLANI_LLOGARIVE!$B241)</f>
        <v/>
      </c>
      <c r="C241" s="101" t="str">
        <f aca="false">IFERROR(IF($A241="","",PLANI_LLOGARIVE!$J241),"")</f>
        <v/>
      </c>
    </row>
    <row r="242" customFormat="false" ht="15" hidden="false" customHeight="true" outlineLevel="0" collapsed="false">
      <c r="A242" s="101" t="str">
        <f aca="false">IF(PLANI_LLOGARIVE!$A242="","",PLANI_LLOGARIVE!$A242)</f>
        <v/>
      </c>
      <c r="B242" s="101" t="str">
        <f aca="false">IF($A242="","",PLANI_LLOGARIVE!$B242)</f>
        <v/>
      </c>
      <c r="C242" s="101" t="str">
        <f aca="false">IFERROR(IF($A242="","",PLANI_LLOGARIVE!$J242),"")</f>
        <v/>
      </c>
    </row>
    <row r="243" customFormat="false" ht="15" hidden="false" customHeight="true" outlineLevel="0" collapsed="false">
      <c r="A243" s="101" t="str">
        <f aca="false">IF(PLANI_LLOGARIVE!$A243="","",PLANI_LLOGARIVE!$A243)</f>
        <v/>
      </c>
      <c r="B243" s="101" t="str">
        <f aca="false">IF($A243="","",PLANI_LLOGARIVE!$B243)</f>
        <v/>
      </c>
      <c r="C243" s="101" t="str">
        <f aca="false">IFERROR(IF($A243="","",PLANI_LLOGARIVE!$J243),"")</f>
        <v/>
      </c>
    </row>
    <row r="244" customFormat="false" ht="15" hidden="false" customHeight="true" outlineLevel="0" collapsed="false">
      <c r="A244" s="101" t="str">
        <f aca="false">IF(PLANI_LLOGARIVE!$A244="","",PLANI_LLOGARIVE!$A244)</f>
        <v/>
      </c>
      <c r="B244" s="101" t="str">
        <f aca="false">IF($A244="","",PLANI_LLOGARIVE!$B244)</f>
        <v/>
      </c>
      <c r="C244" s="101" t="str">
        <f aca="false">IFERROR(IF($A244="","",PLANI_LLOGARIVE!$J244),"")</f>
        <v/>
      </c>
    </row>
    <row r="245" customFormat="false" ht="15" hidden="false" customHeight="true" outlineLevel="0" collapsed="false">
      <c r="A245" s="101" t="str">
        <f aca="false">IF(PLANI_LLOGARIVE!$A245="","",PLANI_LLOGARIVE!$A245)</f>
        <v/>
      </c>
      <c r="B245" s="101" t="str">
        <f aca="false">IF($A245="","",PLANI_LLOGARIVE!$B245)</f>
        <v/>
      </c>
      <c r="C245" s="101" t="str">
        <f aca="false">IFERROR(IF($A245="","",PLANI_LLOGARIVE!$J245),"")</f>
        <v/>
      </c>
    </row>
    <row r="246" customFormat="false" ht="15" hidden="false" customHeight="true" outlineLevel="0" collapsed="false">
      <c r="A246" s="101" t="str">
        <f aca="false">IF(PLANI_LLOGARIVE!$A246="","",PLANI_LLOGARIVE!$A246)</f>
        <v/>
      </c>
      <c r="B246" s="101" t="str">
        <f aca="false">IF($A246="","",PLANI_LLOGARIVE!$B246)</f>
        <v/>
      </c>
      <c r="C246" s="101" t="str">
        <f aca="false">IFERROR(IF($A246="","",PLANI_LLOGARIVE!$J246),"")</f>
        <v/>
      </c>
    </row>
    <row r="247" customFormat="false" ht="15" hidden="false" customHeight="true" outlineLevel="0" collapsed="false">
      <c r="A247" s="101" t="str">
        <f aca="false">IF(PLANI_LLOGARIVE!$A247="","",PLANI_LLOGARIVE!$A247)</f>
        <v/>
      </c>
      <c r="B247" s="101" t="str">
        <f aca="false">IF($A247="","",PLANI_LLOGARIVE!$B247)</f>
        <v/>
      </c>
      <c r="C247" s="101" t="str">
        <f aca="false">IFERROR(IF($A247="","",PLANI_LLOGARIVE!$J247),"")</f>
        <v/>
      </c>
    </row>
    <row r="248" customFormat="false" ht="15" hidden="false" customHeight="true" outlineLevel="0" collapsed="false">
      <c r="A248" s="101" t="str">
        <f aca="false">IF(PLANI_LLOGARIVE!$A248="","",PLANI_LLOGARIVE!$A248)</f>
        <v/>
      </c>
      <c r="B248" s="101" t="str">
        <f aca="false">IF($A248="","",PLANI_LLOGARIVE!$B248)</f>
        <v/>
      </c>
      <c r="C248" s="101" t="str">
        <f aca="false">IFERROR(IF($A248="","",PLANI_LLOGARIVE!$J248),"")</f>
        <v/>
      </c>
    </row>
    <row r="249" customFormat="false" ht="15" hidden="false" customHeight="true" outlineLevel="0" collapsed="false">
      <c r="A249" s="101" t="str">
        <f aca="false">IF(PLANI_LLOGARIVE!$A249="","",PLANI_LLOGARIVE!$A249)</f>
        <v/>
      </c>
      <c r="B249" s="101" t="str">
        <f aca="false">IF($A249="","",PLANI_LLOGARIVE!$B249)</f>
        <v/>
      </c>
      <c r="C249" s="101" t="str">
        <f aca="false">IFERROR(IF($A249="","",PLANI_LLOGARIVE!$J249),"")</f>
        <v/>
      </c>
    </row>
    <row r="250" customFormat="false" ht="15" hidden="false" customHeight="true" outlineLevel="0" collapsed="false">
      <c r="A250" s="101" t="str">
        <f aca="false">IF(PLANI_LLOGARIVE!$A250="","",PLANI_LLOGARIVE!$A250)</f>
        <v/>
      </c>
      <c r="B250" s="101" t="str">
        <f aca="false">IF($A250="","",PLANI_LLOGARIVE!$B250)</f>
        <v/>
      </c>
      <c r="C250" s="101" t="str">
        <f aca="false">IFERROR(IF($A250="","",PLANI_LLOGARIVE!$J250),"")</f>
        <v/>
      </c>
    </row>
    <row r="251" customFormat="false" ht="15" hidden="false" customHeight="true" outlineLevel="0" collapsed="false">
      <c r="A251" s="101" t="str">
        <f aca="false">IF(PLANI_LLOGARIVE!$A251="","",PLANI_LLOGARIVE!$A251)</f>
        <v/>
      </c>
      <c r="B251" s="101" t="str">
        <f aca="false">IF($A251="","",PLANI_LLOGARIVE!$B251)</f>
        <v/>
      </c>
      <c r="C251" s="101" t="str">
        <f aca="false">IFERROR(IF($A251="","",PLANI_LLOGARIVE!$J251),"")</f>
        <v/>
      </c>
    </row>
    <row r="252" customFormat="false" ht="15" hidden="false" customHeight="true" outlineLevel="0" collapsed="false">
      <c r="A252" s="101" t="str">
        <f aca="false">IF(PLANI_LLOGARIVE!$A252="","",PLANI_LLOGARIVE!$A252)</f>
        <v/>
      </c>
      <c r="B252" s="101" t="str">
        <f aca="false">IF($A252="","",PLANI_LLOGARIVE!$B252)</f>
        <v/>
      </c>
      <c r="C252" s="101" t="str">
        <f aca="false">IFERROR(IF($A252="","",PLANI_LLOGARIVE!$J252),"")</f>
        <v/>
      </c>
    </row>
    <row r="253" customFormat="false" ht="15" hidden="false" customHeight="true" outlineLevel="0" collapsed="false">
      <c r="A253" s="101" t="str">
        <f aca="false">IF(PLANI_LLOGARIVE!$A253="","",PLANI_LLOGARIVE!$A253)</f>
        <v/>
      </c>
      <c r="B253" s="101" t="str">
        <f aca="false">IF($A253="","",PLANI_LLOGARIVE!$B253)</f>
        <v/>
      </c>
      <c r="C253" s="101" t="str">
        <f aca="false">IFERROR(IF($A253="","",PLANI_LLOGARIVE!$J253),"")</f>
        <v/>
      </c>
    </row>
    <row r="254" customFormat="false" ht="15" hidden="false" customHeight="true" outlineLevel="0" collapsed="false">
      <c r="A254" s="101" t="str">
        <f aca="false">IF(PLANI_LLOGARIVE!$A254="","",PLANI_LLOGARIVE!$A254)</f>
        <v/>
      </c>
      <c r="B254" s="101" t="str">
        <f aca="false">IF($A254="","",PLANI_LLOGARIVE!$B254)</f>
        <v/>
      </c>
      <c r="C254" s="101" t="str">
        <f aca="false">IFERROR(IF($A254="","",PLANI_LLOGARIVE!$J254),"")</f>
        <v/>
      </c>
    </row>
    <row r="255" customFormat="false" ht="15" hidden="false" customHeight="true" outlineLevel="0" collapsed="false">
      <c r="A255" s="101" t="str">
        <f aca="false">IF(PLANI_LLOGARIVE!$A255="","",PLANI_LLOGARIVE!$A255)</f>
        <v/>
      </c>
      <c r="B255" s="101" t="str">
        <f aca="false">IF($A255="","",PLANI_LLOGARIVE!$B255)</f>
        <v/>
      </c>
      <c r="C255" s="101" t="str">
        <f aca="false">IFERROR(IF($A255="","",PLANI_LLOGARIVE!$J255),"")</f>
        <v/>
      </c>
    </row>
    <row r="256" customFormat="false" ht="15" hidden="false" customHeight="true" outlineLevel="0" collapsed="false">
      <c r="A256" s="101" t="str">
        <f aca="false">IF(PLANI_LLOGARIVE!$A256="","",PLANI_LLOGARIVE!$A256)</f>
        <v/>
      </c>
      <c r="B256" s="101" t="str">
        <f aca="false">IF($A256="","",PLANI_LLOGARIVE!$B256)</f>
        <v/>
      </c>
      <c r="C256" s="101" t="str">
        <f aca="false">IFERROR(IF($A256="","",PLANI_LLOGARIVE!$J256),"")</f>
        <v/>
      </c>
    </row>
    <row r="257" customFormat="false" ht="15" hidden="false" customHeight="true" outlineLevel="0" collapsed="false">
      <c r="A257" s="101" t="str">
        <f aca="false">IF(PLANI_LLOGARIVE!$A257="","",PLANI_LLOGARIVE!$A257)</f>
        <v/>
      </c>
      <c r="B257" s="101" t="str">
        <f aca="false">IF($A257="","",PLANI_LLOGARIVE!$B257)</f>
        <v/>
      </c>
      <c r="C257" s="101" t="str">
        <f aca="false">IFERROR(IF($A257="","",PLANI_LLOGARIVE!$J257),"")</f>
        <v/>
      </c>
    </row>
    <row r="258" customFormat="false" ht="15" hidden="false" customHeight="true" outlineLevel="0" collapsed="false">
      <c r="A258" s="101" t="str">
        <f aca="false">IF(PLANI_LLOGARIVE!$A258="","",PLANI_LLOGARIVE!$A258)</f>
        <v/>
      </c>
      <c r="B258" s="101" t="str">
        <f aca="false">IF($A258="","",PLANI_LLOGARIVE!$B258)</f>
        <v/>
      </c>
      <c r="C258" s="101" t="str">
        <f aca="false">IFERROR(IF($A258="","",PLANI_LLOGARIVE!$J258),"")</f>
        <v/>
      </c>
    </row>
    <row r="259" customFormat="false" ht="15" hidden="false" customHeight="true" outlineLevel="0" collapsed="false">
      <c r="A259" s="101" t="str">
        <f aca="false">IF(PLANI_LLOGARIVE!$A259="","",PLANI_LLOGARIVE!$A259)</f>
        <v/>
      </c>
      <c r="B259" s="101" t="str">
        <f aca="false">IF($A259="","",PLANI_LLOGARIVE!$B259)</f>
        <v/>
      </c>
      <c r="C259" s="101" t="str">
        <f aca="false">IFERROR(IF($A259="","",PLANI_LLOGARIVE!$J259),"")</f>
        <v/>
      </c>
    </row>
    <row r="260" customFormat="false" ht="15" hidden="false" customHeight="true" outlineLevel="0" collapsed="false">
      <c r="A260" s="101" t="str">
        <f aca="false">IF(PLANI_LLOGARIVE!$A260="","",PLANI_LLOGARIVE!$A260)</f>
        <v/>
      </c>
      <c r="B260" s="101" t="str">
        <f aca="false">IF($A260="","",PLANI_LLOGARIVE!$B260)</f>
        <v/>
      </c>
      <c r="C260" s="101" t="str">
        <f aca="false">IFERROR(IF($A260="","",PLANI_LLOGARIVE!$J260),"")</f>
        <v/>
      </c>
    </row>
    <row r="261" customFormat="false" ht="15" hidden="false" customHeight="true" outlineLevel="0" collapsed="false">
      <c r="A261" s="101" t="str">
        <f aca="false">IF(PLANI_LLOGARIVE!$A261="","",PLANI_LLOGARIVE!$A261)</f>
        <v/>
      </c>
      <c r="B261" s="101" t="str">
        <f aca="false">IF($A261="","",PLANI_LLOGARIVE!$B261)</f>
        <v/>
      </c>
      <c r="C261" s="101" t="str">
        <f aca="false">IFERROR(IF($A261="","",PLANI_LLOGARIVE!$J261),"")</f>
        <v/>
      </c>
    </row>
    <row r="262" customFormat="false" ht="15" hidden="false" customHeight="true" outlineLevel="0" collapsed="false">
      <c r="A262" s="101" t="str">
        <f aca="false">IF(PLANI_LLOGARIVE!$A262="","",PLANI_LLOGARIVE!$A262)</f>
        <v/>
      </c>
      <c r="B262" s="101" t="str">
        <f aca="false">IF($A262="","",PLANI_LLOGARIVE!$B262)</f>
        <v/>
      </c>
      <c r="C262" s="101" t="str">
        <f aca="false">IFERROR(IF($A262="","",PLANI_LLOGARIVE!$J262),"")</f>
        <v/>
      </c>
    </row>
    <row r="263" customFormat="false" ht="15" hidden="false" customHeight="true" outlineLevel="0" collapsed="false">
      <c r="A263" s="101" t="str">
        <f aca="false">IF(PLANI_LLOGARIVE!$A263="","",PLANI_LLOGARIVE!$A263)</f>
        <v/>
      </c>
      <c r="B263" s="101" t="str">
        <f aca="false">IF($A263="","",PLANI_LLOGARIVE!$B263)</f>
        <v/>
      </c>
      <c r="C263" s="101" t="str">
        <f aca="false">IFERROR(IF($A263="","",PLANI_LLOGARIVE!$J263),"")</f>
        <v/>
      </c>
    </row>
    <row r="264" customFormat="false" ht="15" hidden="false" customHeight="true" outlineLevel="0" collapsed="false">
      <c r="A264" s="101" t="str">
        <f aca="false">IF(PLANI_LLOGARIVE!$A264="","",PLANI_LLOGARIVE!$A264)</f>
        <v/>
      </c>
      <c r="B264" s="101" t="str">
        <f aca="false">IF($A264="","",PLANI_LLOGARIVE!$B264)</f>
        <v/>
      </c>
      <c r="C264" s="101" t="str">
        <f aca="false">IFERROR(IF($A264="","",PLANI_LLOGARIVE!$J264),"")</f>
        <v/>
      </c>
    </row>
    <row r="265" customFormat="false" ht="15" hidden="false" customHeight="true" outlineLevel="0" collapsed="false">
      <c r="A265" s="101" t="str">
        <f aca="false">IF(PLANI_LLOGARIVE!$A265="","",PLANI_LLOGARIVE!$A265)</f>
        <v/>
      </c>
      <c r="B265" s="101" t="str">
        <f aca="false">IF($A265="","",PLANI_LLOGARIVE!$B265)</f>
        <v/>
      </c>
      <c r="C265" s="101" t="str">
        <f aca="false">IFERROR(IF($A265="","",PLANI_LLOGARIVE!$J265),"")</f>
        <v/>
      </c>
    </row>
    <row r="266" customFormat="false" ht="15" hidden="false" customHeight="true" outlineLevel="0" collapsed="false">
      <c r="A266" s="101" t="str">
        <f aca="false">IF(PLANI_LLOGARIVE!$A266="","",PLANI_LLOGARIVE!$A266)</f>
        <v/>
      </c>
      <c r="B266" s="101" t="str">
        <f aca="false">IF($A266="","",PLANI_LLOGARIVE!$B266)</f>
        <v/>
      </c>
      <c r="C266" s="101" t="str">
        <f aca="false">IFERROR(IF($A266="","",PLANI_LLOGARIVE!$J266),"")</f>
        <v/>
      </c>
    </row>
    <row r="267" customFormat="false" ht="15" hidden="false" customHeight="true" outlineLevel="0" collapsed="false">
      <c r="A267" s="101" t="str">
        <f aca="false">IF(PLANI_LLOGARIVE!$A267="","",PLANI_LLOGARIVE!$A267)</f>
        <v/>
      </c>
      <c r="B267" s="101" t="str">
        <f aca="false">IF($A267="","",PLANI_LLOGARIVE!$B267)</f>
        <v/>
      </c>
      <c r="C267" s="101" t="str">
        <f aca="false">IFERROR(IF($A267="","",PLANI_LLOGARIVE!$J267),"")</f>
        <v/>
      </c>
    </row>
    <row r="268" customFormat="false" ht="15" hidden="false" customHeight="true" outlineLevel="0" collapsed="false">
      <c r="A268" s="101" t="str">
        <f aca="false">IF(PLANI_LLOGARIVE!$A268="","",PLANI_LLOGARIVE!$A268)</f>
        <v/>
      </c>
      <c r="B268" s="101" t="str">
        <f aca="false">IF($A268="","",PLANI_LLOGARIVE!$B268)</f>
        <v/>
      </c>
      <c r="C268" s="101" t="str">
        <f aca="false">IFERROR(IF($A268="","",PLANI_LLOGARIVE!$J268),"")</f>
        <v/>
      </c>
    </row>
    <row r="269" customFormat="false" ht="15" hidden="false" customHeight="true" outlineLevel="0" collapsed="false">
      <c r="A269" s="101" t="str">
        <f aca="false">IF(PLANI_LLOGARIVE!$A269="","",PLANI_LLOGARIVE!$A269)</f>
        <v/>
      </c>
      <c r="B269" s="101" t="str">
        <f aca="false">IF($A269="","",PLANI_LLOGARIVE!$B269)</f>
        <v/>
      </c>
      <c r="C269" s="101" t="str">
        <f aca="false">IFERROR(IF($A269="","",PLANI_LLOGARIVE!$J269),"")</f>
        <v/>
      </c>
    </row>
    <row r="270" customFormat="false" ht="15" hidden="false" customHeight="true" outlineLevel="0" collapsed="false">
      <c r="A270" s="101" t="str">
        <f aca="false">IF(PLANI_LLOGARIVE!$A270="","",PLANI_LLOGARIVE!$A270)</f>
        <v/>
      </c>
      <c r="B270" s="101" t="str">
        <f aca="false">IF($A270="","",PLANI_LLOGARIVE!$B270)</f>
        <v/>
      </c>
      <c r="C270" s="101" t="str">
        <f aca="false">IFERROR(IF($A270="","",PLANI_LLOGARIVE!$J270),"")</f>
        <v/>
      </c>
    </row>
    <row r="271" customFormat="false" ht="15" hidden="false" customHeight="true" outlineLevel="0" collapsed="false">
      <c r="A271" s="101" t="str">
        <f aca="false">IF(PLANI_LLOGARIVE!$A271="","",PLANI_LLOGARIVE!$A271)</f>
        <v/>
      </c>
      <c r="B271" s="101" t="str">
        <f aca="false">IF($A271="","",PLANI_LLOGARIVE!$B271)</f>
        <v/>
      </c>
      <c r="C271" s="101" t="str">
        <f aca="false">IFERROR(IF($A271="","",PLANI_LLOGARIVE!$J271),"")</f>
        <v/>
      </c>
    </row>
    <row r="272" customFormat="false" ht="15" hidden="false" customHeight="true" outlineLevel="0" collapsed="false">
      <c r="A272" s="101" t="str">
        <f aca="false">IF(PLANI_LLOGARIVE!$A272="","",PLANI_LLOGARIVE!$A272)</f>
        <v/>
      </c>
      <c r="B272" s="101" t="str">
        <f aca="false">IF($A272="","",PLANI_LLOGARIVE!$B272)</f>
        <v/>
      </c>
      <c r="C272" s="101" t="str">
        <f aca="false">IFERROR(IF($A272="","",PLANI_LLOGARIVE!$J272),"")</f>
        <v/>
      </c>
    </row>
    <row r="273" customFormat="false" ht="15" hidden="false" customHeight="true" outlineLevel="0" collapsed="false">
      <c r="A273" s="101" t="str">
        <f aca="false">IF(PLANI_LLOGARIVE!$A273="","",PLANI_LLOGARIVE!$A273)</f>
        <v/>
      </c>
      <c r="B273" s="101" t="str">
        <f aca="false">IF($A273="","",PLANI_LLOGARIVE!$B273)</f>
        <v/>
      </c>
      <c r="C273" s="101" t="str">
        <f aca="false">IFERROR(IF($A273="","",PLANI_LLOGARIVE!$J273),"")</f>
        <v/>
      </c>
    </row>
    <row r="274" customFormat="false" ht="15" hidden="false" customHeight="true" outlineLevel="0" collapsed="false">
      <c r="A274" s="101" t="str">
        <f aca="false">IF(PLANI_LLOGARIVE!$A274="","",PLANI_LLOGARIVE!$A274)</f>
        <v/>
      </c>
      <c r="B274" s="101" t="str">
        <f aca="false">IF($A274="","",PLANI_LLOGARIVE!$B274)</f>
        <v/>
      </c>
      <c r="C274" s="101" t="str">
        <f aca="false">IFERROR(IF($A274="","",PLANI_LLOGARIVE!$J274),"")</f>
        <v/>
      </c>
    </row>
    <row r="275" customFormat="false" ht="15" hidden="false" customHeight="true" outlineLevel="0" collapsed="false">
      <c r="A275" s="101" t="str">
        <f aca="false">IF(PLANI_LLOGARIVE!$A275="","",PLANI_LLOGARIVE!$A275)</f>
        <v/>
      </c>
      <c r="B275" s="101" t="str">
        <f aca="false">IF($A275="","",PLANI_LLOGARIVE!$B275)</f>
        <v/>
      </c>
      <c r="C275" s="101" t="str">
        <f aca="false">IFERROR(IF($A275="","",PLANI_LLOGARIVE!$J275),"")</f>
        <v/>
      </c>
    </row>
    <row r="276" customFormat="false" ht="15" hidden="false" customHeight="true" outlineLevel="0" collapsed="false">
      <c r="A276" s="101" t="str">
        <f aca="false">IF(PLANI_LLOGARIVE!$A276="","",PLANI_LLOGARIVE!$A276)</f>
        <v/>
      </c>
      <c r="B276" s="101" t="str">
        <f aca="false">IF($A276="","",PLANI_LLOGARIVE!$B276)</f>
        <v/>
      </c>
      <c r="C276" s="101" t="str">
        <f aca="false">IFERROR(IF($A276="","",PLANI_LLOGARIVE!$J276),"")</f>
        <v/>
      </c>
    </row>
    <row r="277" customFormat="false" ht="15" hidden="false" customHeight="true" outlineLevel="0" collapsed="false">
      <c r="A277" s="101" t="str">
        <f aca="false">IF(PLANI_LLOGARIVE!$A277="","",PLANI_LLOGARIVE!$A277)</f>
        <v/>
      </c>
      <c r="B277" s="101" t="str">
        <f aca="false">IF($A277="","",PLANI_LLOGARIVE!$B277)</f>
        <v/>
      </c>
      <c r="C277" s="101" t="str">
        <f aca="false">IFERROR(IF($A277="","",PLANI_LLOGARIVE!$J277),"")</f>
        <v/>
      </c>
    </row>
    <row r="278" customFormat="false" ht="15" hidden="false" customHeight="true" outlineLevel="0" collapsed="false">
      <c r="A278" s="101" t="str">
        <f aca="false">IF(PLANI_LLOGARIVE!$A278="","",PLANI_LLOGARIVE!$A278)</f>
        <v/>
      </c>
      <c r="B278" s="101" t="str">
        <f aca="false">IF($A278="","",PLANI_LLOGARIVE!$B278)</f>
        <v/>
      </c>
      <c r="C278" s="101" t="str">
        <f aca="false">IFERROR(IF($A278="","",PLANI_LLOGARIVE!$J278),"")</f>
        <v/>
      </c>
    </row>
    <row r="279" customFormat="false" ht="15" hidden="false" customHeight="true" outlineLevel="0" collapsed="false">
      <c r="A279" s="101" t="str">
        <f aca="false">IF(PLANI_LLOGARIVE!$A279="","",PLANI_LLOGARIVE!$A279)</f>
        <v/>
      </c>
      <c r="B279" s="101" t="str">
        <f aca="false">IF($A279="","",PLANI_LLOGARIVE!$B279)</f>
        <v/>
      </c>
      <c r="C279" s="101" t="str">
        <f aca="false">IFERROR(IF($A279="","",PLANI_LLOGARIVE!$J279),"")</f>
        <v/>
      </c>
    </row>
    <row r="280" customFormat="false" ht="15" hidden="false" customHeight="true" outlineLevel="0" collapsed="false">
      <c r="A280" s="101" t="str">
        <f aca="false">IF(PLANI_LLOGARIVE!$A280="","",PLANI_LLOGARIVE!$A280)</f>
        <v/>
      </c>
      <c r="B280" s="101" t="str">
        <f aca="false">IF($A280="","",PLANI_LLOGARIVE!$B280)</f>
        <v/>
      </c>
      <c r="C280" s="101" t="str">
        <f aca="false">IFERROR(IF($A280="","",PLANI_LLOGARIVE!$J280),"")</f>
        <v/>
      </c>
    </row>
    <row r="281" customFormat="false" ht="15" hidden="false" customHeight="true" outlineLevel="0" collapsed="false">
      <c r="A281" s="101" t="str">
        <f aca="false">IF(PLANI_LLOGARIVE!$A281="","",PLANI_LLOGARIVE!$A281)</f>
        <v/>
      </c>
      <c r="B281" s="101" t="str">
        <f aca="false">IF($A281="","",PLANI_LLOGARIVE!$B281)</f>
        <v/>
      </c>
      <c r="C281" s="101" t="str">
        <f aca="false">IFERROR(IF($A281="","",PLANI_LLOGARIVE!$J281),"")</f>
        <v/>
      </c>
    </row>
    <row r="282" customFormat="false" ht="15" hidden="false" customHeight="true" outlineLevel="0" collapsed="false">
      <c r="A282" s="101" t="str">
        <f aca="false">IF(PLANI_LLOGARIVE!$A282="","",PLANI_LLOGARIVE!$A282)</f>
        <v/>
      </c>
      <c r="B282" s="101" t="str">
        <f aca="false">IF($A282="","",PLANI_LLOGARIVE!$B282)</f>
        <v/>
      </c>
      <c r="C282" s="101" t="str">
        <f aca="false">IFERROR(IF($A282="","",PLANI_LLOGARIVE!$J282),"")</f>
        <v/>
      </c>
    </row>
    <row r="283" customFormat="false" ht="15" hidden="false" customHeight="true" outlineLevel="0" collapsed="false">
      <c r="A283" s="101" t="str">
        <f aca="false">IF(PLANI_LLOGARIVE!$A283="","",PLANI_LLOGARIVE!$A283)</f>
        <v/>
      </c>
      <c r="B283" s="101" t="str">
        <f aca="false">IF($A283="","",PLANI_LLOGARIVE!$B283)</f>
        <v/>
      </c>
      <c r="C283" s="101" t="str">
        <f aca="false">IFERROR(IF($A283="","",PLANI_LLOGARIVE!$J283),"")</f>
        <v/>
      </c>
    </row>
    <row r="284" customFormat="false" ht="15" hidden="false" customHeight="true" outlineLevel="0" collapsed="false">
      <c r="A284" s="101" t="str">
        <f aca="false">IF(PLANI_LLOGARIVE!$A284="","",PLANI_LLOGARIVE!$A284)</f>
        <v/>
      </c>
      <c r="B284" s="101" t="str">
        <f aca="false">IF($A284="","",PLANI_LLOGARIVE!$B284)</f>
        <v/>
      </c>
      <c r="C284" s="101" t="str">
        <f aca="false">IFERROR(IF($A284="","",PLANI_LLOGARIVE!$J284),"")</f>
        <v/>
      </c>
    </row>
    <row r="285" customFormat="false" ht="15" hidden="false" customHeight="true" outlineLevel="0" collapsed="false">
      <c r="A285" s="101" t="str">
        <f aca="false">IF(PLANI_LLOGARIVE!$A285="","",PLANI_LLOGARIVE!$A285)</f>
        <v/>
      </c>
      <c r="B285" s="101" t="str">
        <f aca="false">IF($A285="","",PLANI_LLOGARIVE!$B285)</f>
        <v/>
      </c>
      <c r="C285" s="101" t="str">
        <f aca="false">IFERROR(IF($A285="","",PLANI_LLOGARIVE!$J285),"")</f>
        <v/>
      </c>
    </row>
    <row r="286" customFormat="false" ht="15" hidden="false" customHeight="true" outlineLevel="0" collapsed="false">
      <c r="A286" s="101" t="str">
        <f aca="false">IF(PLANI_LLOGARIVE!$A286="","",PLANI_LLOGARIVE!$A286)</f>
        <v/>
      </c>
      <c r="B286" s="101" t="str">
        <f aca="false">IF($A286="","",PLANI_LLOGARIVE!$B286)</f>
        <v/>
      </c>
      <c r="C286" s="101" t="str">
        <f aca="false">IFERROR(IF($A286="","",PLANI_LLOGARIVE!$J286),"")</f>
        <v/>
      </c>
    </row>
    <row r="287" customFormat="false" ht="15" hidden="false" customHeight="true" outlineLevel="0" collapsed="false">
      <c r="A287" s="101" t="str">
        <f aca="false">IF(PLANI_LLOGARIVE!$A287="","",PLANI_LLOGARIVE!$A287)</f>
        <v/>
      </c>
      <c r="B287" s="101" t="str">
        <f aca="false">IF($A287="","",PLANI_LLOGARIVE!$B287)</f>
        <v/>
      </c>
      <c r="C287" s="101" t="str">
        <f aca="false">IFERROR(IF($A287="","",PLANI_LLOGARIVE!$J287),"")</f>
        <v/>
      </c>
    </row>
    <row r="288" customFormat="false" ht="15" hidden="false" customHeight="true" outlineLevel="0" collapsed="false">
      <c r="A288" s="101" t="str">
        <f aca="false">IF(PLANI_LLOGARIVE!$A288="","",PLANI_LLOGARIVE!$A288)</f>
        <v/>
      </c>
      <c r="B288" s="101" t="str">
        <f aca="false">IF($A288="","",PLANI_LLOGARIVE!$B288)</f>
        <v/>
      </c>
      <c r="C288" s="101" t="str">
        <f aca="false">IFERROR(IF($A288="","",PLANI_LLOGARIVE!$J288),"")</f>
        <v/>
      </c>
    </row>
    <row r="289" customFormat="false" ht="15" hidden="false" customHeight="true" outlineLevel="0" collapsed="false">
      <c r="A289" s="101" t="str">
        <f aca="false">IF(PLANI_LLOGARIVE!$A289="","",PLANI_LLOGARIVE!$A289)</f>
        <v/>
      </c>
      <c r="B289" s="101" t="str">
        <f aca="false">IF($A289="","",PLANI_LLOGARIVE!$B289)</f>
        <v/>
      </c>
      <c r="C289" s="101" t="str">
        <f aca="false">IFERROR(IF($A289="","",PLANI_LLOGARIVE!$J289),"")</f>
        <v/>
      </c>
    </row>
    <row r="290" customFormat="false" ht="15" hidden="false" customHeight="true" outlineLevel="0" collapsed="false">
      <c r="A290" s="101" t="str">
        <f aca="false">IF(PLANI_LLOGARIVE!$A290="","",PLANI_LLOGARIVE!$A290)</f>
        <v/>
      </c>
      <c r="B290" s="101" t="str">
        <f aca="false">IF($A290="","",PLANI_LLOGARIVE!$B290)</f>
        <v/>
      </c>
      <c r="C290" s="101" t="str">
        <f aca="false">IFERROR(IF($A290="","",PLANI_LLOGARIVE!$J290),"")</f>
        <v/>
      </c>
    </row>
    <row r="291" customFormat="false" ht="15" hidden="false" customHeight="true" outlineLevel="0" collapsed="false">
      <c r="A291" s="101" t="str">
        <f aca="false">IF(PLANI_LLOGARIVE!$A291="","",PLANI_LLOGARIVE!$A291)</f>
        <v/>
      </c>
      <c r="B291" s="101" t="str">
        <f aca="false">IF($A291="","",PLANI_LLOGARIVE!$B291)</f>
        <v/>
      </c>
      <c r="C291" s="101" t="str">
        <f aca="false">IFERROR(IF($A291="","",PLANI_LLOGARIVE!$J291),"")</f>
        <v/>
      </c>
    </row>
    <row r="292" customFormat="false" ht="15" hidden="false" customHeight="true" outlineLevel="0" collapsed="false">
      <c r="A292" s="101" t="str">
        <f aca="false">IF(PLANI_LLOGARIVE!$A292="","",PLANI_LLOGARIVE!$A292)</f>
        <v/>
      </c>
      <c r="B292" s="101" t="str">
        <f aca="false">IF($A292="","",PLANI_LLOGARIVE!$B292)</f>
        <v/>
      </c>
      <c r="C292" s="101" t="str">
        <f aca="false">IFERROR(IF($A292="","",PLANI_LLOGARIVE!$J292),"")</f>
        <v/>
      </c>
    </row>
    <row r="293" customFormat="false" ht="15" hidden="false" customHeight="true" outlineLevel="0" collapsed="false">
      <c r="A293" s="101" t="str">
        <f aca="false">IF(PLANI_LLOGARIVE!$A293="","",PLANI_LLOGARIVE!$A293)</f>
        <v/>
      </c>
      <c r="B293" s="101" t="str">
        <f aca="false">IF($A293="","",PLANI_LLOGARIVE!$B293)</f>
        <v/>
      </c>
      <c r="C293" s="101" t="str">
        <f aca="false">IFERROR(IF($A293="","",PLANI_LLOGARIVE!$J293),"")</f>
        <v/>
      </c>
    </row>
    <row r="294" customFormat="false" ht="15" hidden="false" customHeight="true" outlineLevel="0" collapsed="false">
      <c r="A294" s="101" t="str">
        <f aca="false">IF(PLANI_LLOGARIVE!$A294="","",PLANI_LLOGARIVE!$A294)</f>
        <v/>
      </c>
      <c r="B294" s="101" t="str">
        <f aca="false">IF($A294="","",PLANI_LLOGARIVE!$B294)</f>
        <v/>
      </c>
      <c r="C294" s="101" t="str">
        <f aca="false">IFERROR(IF($A294="","",PLANI_LLOGARIVE!$J294),"")</f>
        <v/>
      </c>
    </row>
    <row r="295" customFormat="false" ht="15" hidden="false" customHeight="true" outlineLevel="0" collapsed="false">
      <c r="A295" s="101" t="str">
        <f aca="false">IF(PLANI_LLOGARIVE!$A295="","",PLANI_LLOGARIVE!$A295)</f>
        <v/>
      </c>
      <c r="B295" s="101" t="str">
        <f aca="false">IF($A295="","",PLANI_LLOGARIVE!$B295)</f>
        <v/>
      </c>
      <c r="C295" s="101" t="str">
        <f aca="false">IFERROR(IF($A295="","",PLANI_LLOGARIVE!$J295),"")</f>
        <v/>
      </c>
    </row>
    <row r="296" customFormat="false" ht="15" hidden="false" customHeight="true" outlineLevel="0" collapsed="false">
      <c r="A296" s="101" t="str">
        <f aca="false">IF(PLANI_LLOGARIVE!$A296="","",PLANI_LLOGARIVE!$A296)</f>
        <v/>
      </c>
      <c r="B296" s="101" t="str">
        <f aca="false">IF($A296="","",PLANI_LLOGARIVE!$B296)</f>
        <v/>
      </c>
      <c r="C296" s="101" t="str">
        <f aca="false">IFERROR(IF($A296="","",PLANI_LLOGARIVE!$J296),"")</f>
        <v/>
      </c>
    </row>
    <row r="297" customFormat="false" ht="15" hidden="false" customHeight="true" outlineLevel="0" collapsed="false">
      <c r="A297" s="101" t="str">
        <f aca="false">IF(PLANI_LLOGARIVE!$A297="","",PLANI_LLOGARIVE!$A297)</f>
        <v/>
      </c>
      <c r="B297" s="101" t="str">
        <f aca="false">IF($A297="","",PLANI_LLOGARIVE!$B297)</f>
        <v/>
      </c>
      <c r="C297" s="101" t="str">
        <f aca="false">IFERROR(IF($A297="","",PLANI_LLOGARIVE!$J297),"")</f>
        <v/>
      </c>
    </row>
    <row r="298" customFormat="false" ht="15" hidden="false" customHeight="true" outlineLevel="0" collapsed="false">
      <c r="A298" s="101" t="str">
        <f aca="false">IF(PLANI_LLOGARIVE!$A298="","",PLANI_LLOGARIVE!$A298)</f>
        <v/>
      </c>
      <c r="B298" s="101" t="str">
        <f aca="false">IF($A298="","",PLANI_LLOGARIVE!$B298)</f>
        <v/>
      </c>
      <c r="C298" s="101" t="str">
        <f aca="false">IFERROR(IF($A298="","",PLANI_LLOGARIVE!$J298),"")</f>
        <v/>
      </c>
    </row>
    <row r="299" customFormat="false" ht="15" hidden="false" customHeight="true" outlineLevel="0" collapsed="false">
      <c r="A299" s="101" t="str">
        <f aca="false">IF(PLANI_LLOGARIVE!$A299="","",PLANI_LLOGARIVE!$A299)</f>
        <v/>
      </c>
      <c r="B299" s="101" t="str">
        <f aca="false">IF($A299="","",PLANI_LLOGARIVE!$B299)</f>
        <v/>
      </c>
      <c r="C299" s="101" t="str">
        <f aca="false">IFERROR(IF($A299="","",PLANI_LLOGARIVE!$J299),"")</f>
        <v/>
      </c>
    </row>
    <row r="300" customFormat="false" ht="15" hidden="false" customHeight="true" outlineLevel="0" collapsed="false">
      <c r="A300" s="101" t="str">
        <f aca="false">IF(PLANI_LLOGARIVE!$A300="","",PLANI_LLOGARIVE!$A300)</f>
        <v/>
      </c>
      <c r="B300" s="101" t="str">
        <f aca="false">IF($A300="","",PLANI_LLOGARIVE!$B300)</f>
        <v/>
      </c>
      <c r="C300" s="101" t="str">
        <f aca="false">IFERROR(IF($A300="","",PLANI_LLOGARIVE!$J300),"")</f>
        <v/>
      </c>
    </row>
    <row r="301" customFormat="false" ht="15" hidden="false" customHeight="true" outlineLevel="0" collapsed="false">
      <c r="A301" s="101" t="str">
        <f aca="false">IF(PLANI_LLOGARIVE!$A301="","",PLANI_LLOGARIVE!$A301)</f>
        <v/>
      </c>
      <c r="B301" s="101" t="str">
        <f aca="false">IF($A301="","",PLANI_LLOGARIVE!$B301)</f>
        <v/>
      </c>
      <c r="C301" s="101" t="str">
        <f aca="false">IFERROR(IF($A301="","",PLANI_LLOGARIVE!$J301),"")</f>
        <v/>
      </c>
    </row>
    <row r="302" customFormat="false" ht="15" hidden="false" customHeight="true" outlineLevel="0" collapsed="false">
      <c r="A302" s="101" t="str">
        <f aca="false">IF(PLANI_LLOGARIVE!$A302="","",PLANI_LLOGARIVE!$A302)</f>
        <v/>
      </c>
      <c r="B302" s="101" t="str">
        <f aca="false">IF($A302="","",PLANI_LLOGARIVE!$B302)</f>
        <v/>
      </c>
      <c r="C302" s="101" t="str">
        <f aca="false">IFERROR(IF($A302="","",PLANI_LLOGARIVE!$J302),"")</f>
        <v/>
      </c>
    </row>
    <row r="303" customFormat="false" ht="15" hidden="false" customHeight="true" outlineLevel="0" collapsed="false">
      <c r="A303" s="101" t="str">
        <f aca="false">IF(PLANI_LLOGARIVE!$A303="","",PLANI_LLOGARIVE!$A303)</f>
        <v/>
      </c>
      <c r="B303" s="101" t="str">
        <f aca="false">IF($A303="","",PLANI_LLOGARIVE!$B303)</f>
        <v/>
      </c>
      <c r="C303" s="101" t="str">
        <f aca="false">IFERROR(IF($A303="","",PLANI_LLOGARIVE!$J303),"")</f>
        <v/>
      </c>
    </row>
    <row r="304" customFormat="false" ht="15" hidden="false" customHeight="true" outlineLevel="0" collapsed="false">
      <c r="A304" s="101" t="str">
        <f aca="false">IF(PLANI_LLOGARIVE!$A304="","",PLANI_LLOGARIVE!$A304)</f>
        <v/>
      </c>
      <c r="B304" s="101" t="str">
        <f aca="false">IF($A304="","",PLANI_LLOGARIVE!$B304)</f>
        <v/>
      </c>
      <c r="C304" s="101" t="str">
        <f aca="false">IFERROR(IF($A304="","",PLANI_LLOGARIVE!$J304),"")</f>
        <v/>
      </c>
    </row>
    <row r="305" customFormat="false" ht="15" hidden="false" customHeight="true" outlineLevel="0" collapsed="false">
      <c r="A305" s="101" t="str">
        <f aca="false">IF(PLANI_LLOGARIVE!$A305="","",PLANI_LLOGARIVE!$A305)</f>
        <v/>
      </c>
      <c r="B305" s="101" t="str">
        <f aca="false">IF($A305="","",PLANI_LLOGARIVE!$B305)</f>
        <v/>
      </c>
      <c r="C305" s="101" t="str">
        <f aca="false">IFERROR(IF($A305="","",PLANI_LLOGARIVE!$J305),"")</f>
        <v/>
      </c>
    </row>
    <row r="306" customFormat="false" ht="15" hidden="false" customHeight="true" outlineLevel="0" collapsed="false">
      <c r="A306" s="101" t="str">
        <f aca="false">IF(PLANI_LLOGARIVE!$A306="","",PLANI_LLOGARIVE!$A306)</f>
        <v/>
      </c>
      <c r="B306" s="101" t="str">
        <f aca="false">IF($A306="","",PLANI_LLOGARIVE!$B306)</f>
        <v/>
      </c>
      <c r="C306" s="101" t="str">
        <f aca="false">IFERROR(IF($A306="","",PLANI_LLOGARIVE!$J306),"")</f>
        <v/>
      </c>
    </row>
    <row r="307" customFormat="false" ht="15" hidden="false" customHeight="true" outlineLevel="0" collapsed="false">
      <c r="A307" s="101" t="str">
        <f aca="false">IF(PLANI_LLOGARIVE!$A307="","",PLANI_LLOGARIVE!$A307)</f>
        <v/>
      </c>
      <c r="B307" s="101" t="str">
        <f aca="false">IF($A307="","",PLANI_LLOGARIVE!$B307)</f>
        <v/>
      </c>
      <c r="C307" s="101" t="str">
        <f aca="false">IFERROR(IF($A307="","",PLANI_LLOGARIVE!$J307),"")</f>
        <v/>
      </c>
    </row>
    <row r="308" customFormat="false" ht="15" hidden="false" customHeight="true" outlineLevel="0" collapsed="false">
      <c r="A308" s="101" t="str">
        <f aca="false">IF(PLANI_LLOGARIVE!$A308="","",PLANI_LLOGARIVE!$A308)</f>
        <v/>
      </c>
      <c r="B308" s="101" t="str">
        <f aca="false">IF($A308="","",PLANI_LLOGARIVE!$B308)</f>
        <v/>
      </c>
      <c r="C308" s="101" t="str">
        <f aca="false">IFERROR(IF($A308="","",PLANI_LLOGARIVE!$J308),"")</f>
        <v/>
      </c>
    </row>
    <row r="309" customFormat="false" ht="15" hidden="false" customHeight="true" outlineLevel="0" collapsed="false">
      <c r="A309" s="101" t="str">
        <f aca="false">IF(PLANI_LLOGARIVE!$A309="","",PLANI_LLOGARIVE!$A309)</f>
        <v/>
      </c>
      <c r="B309" s="101" t="str">
        <f aca="false">IF($A309="","",PLANI_LLOGARIVE!$B309)</f>
        <v/>
      </c>
      <c r="C309" s="101" t="str">
        <f aca="false">IFERROR(IF($A309="","",PLANI_LLOGARIVE!$J309),"")</f>
        <v/>
      </c>
    </row>
    <row r="310" customFormat="false" ht="15" hidden="false" customHeight="true" outlineLevel="0" collapsed="false">
      <c r="A310" s="101" t="str">
        <f aca="false">IF(PLANI_LLOGARIVE!$A310="","",PLANI_LLOGARIVE!$A310)</f>
        <v/>
      </c>
      <c r="B310" s="101" t="str">
        <f aca="false">IF($A310="","",PLANI_LLOGARIVE!$B310)</f>
        <v/>
      </c>
      <c r="C310" s="101" t="str">
        <f aca="false">IFERROR(IF($A310="","",PLANI_LLOGARIVE!$J310),"")</f>
        <v/>
      </c>
    </row>
    <row r="311" customFormat="false" ht="15" hidden="false" customHeight="true" outlineLevel="0" collapsed="false">
      <c r="A311" s="101" t="str">
        <f aca="false">IF(PLANI_LLOGARIVE!$A311="","",PLANI_LLOGARIVE!$A311)</f>
        <v/>
      </c>
      <c r="B311" s="101" t="str">
        <f aca="false">IF($A311="","",PLANI_LLOGARIVE!$B311)</f>
        <v/>
      </c>
      <c r="C311" s="101" t="str">
        <f aca="false">IFERROR(IF($A311="","",PLANI_LLOGARIVE!$J311),"")</f>
        <v/>
      </c>
    </row>
    <row r="312" customFormat="false" ht="15" hidden="false" customHeight="true" outlineLevel="0" collapsed="false">
      <c r="A312" s="101" t="str">
        <f aca="false">IF(PLANI_LLOGARIVE!$A312="","",PLANI_LLOGARIVE!$A312)</f>
        <v/>
      </c>
      <c r="B312" s="101" t="str">
        <f aca="false">IF($A312="","",PLANI_LLOGARIVE!$B312)</f>
        <v/>
      </c>
      <c r="C312" s="101" t="str">
        <f aca="false">IFERROR(IF($A312="","",PLANI_LLOGARIVE!$J312),"")</f>
        <v/>
      </c>
    </row>
    <row r="313" customFormat="false" ht="15" hidden="false" customHeight="true" outlineLevel="0" collapsed="false">
      <c r="A313" s="101" t="str">
        <f aca="false">IF(PLANI_LLOGARIVE!$A313="","",PLANI_LLOGARIVE!$A313)</f>
        <v/>
      </c>
      <c r="B313" s="101" t="str">
        <f aca="false">IF($A313="","",PLANI_LLOGARIVE!$B313)</f>
        <v/>
      </c>
      <c r="C313" s="101" t="str">
        <f aca="false">IFERROR(IF($A313="","",PLANI_LLOGARIVE!$J313),"")</f>
        <v/>
      </c>
    </row>
    <row r="314" customFormat="false" ht="15" hidden="false" customHeight="true" outlineLevel="0" collapsed="false">
      <c r="A314" s="101" t="str">
        <f aca="false">IF(PLANI_LLOGARIVE!$A314="","",PLANI_LLOGARIVE!$A314)</f>
        <v/>
      </c>
      <c r="B314" s="101" t="str">
        <f aca="false">IF($A314="","",PLANI_LLOGARIVE!$B314)</f>
        <v/>
      </c>
      <c r="C314" s="101" t="str">
        <f aca="false">IFERROR(IF($A314="","",PLANI_LLOGARIVE!$J314),"")</f>
        <v/>
      </c>
    </row>
    <row r="315" customFormat="false" ht="15" hidden="false" customHeight="true" outlineLevel="0" collapsed="false">
      <c r="A315" s="101" t="str">
        <f aca="false">IF(PLANI_LLOGARIVE!$A315="","",PLANI_LLOGARIVE!$A315)</f>
        <v/>
      </c>
      <c r="B315" s="101" t="str">
        <f aca="false">IF($A315="","",PLANI_LLOGARIVE!$B315)</f>
        <v/>
      </c>
      <c r="C315" s="101" t="str">
        <f aca="false">IFERROR(IF($A315="","",PLANI_LLOGARIVE!$J315),"")</f>
        <v/>
      </c>
    </row>
    <row r="316" customFormat="false" ht="15" hidden="false" customHeight="true" outlineLevel="0" collapsed="false">
      <c r="A316" s="101" t="str">
        <f aca="false">IF(PLANI_LLOGARIVE!$A316="","",PLANI_LLOGARIVE!$A316)</f>
        <v/>
      </c>
      <c r="B316" s="101" t="str">
        <f aca="false">IF($A316="","",PLANI_LLOGARIVE!$B316)</f>
        <v/>
      </c>
      <c r="C316" s="101" t="str">
        <f aca="false">IFERROR(IF($A316="","",PLANI_LLOGARIVE!$J316),"")</f>
        <v/>
      </c>
    </row>
    <row r="317" customFormat="false" ht="15" hidden="false" customHeight="true" outlineLevel="0" collapsed="false">
      <c r="A317" s="101" t="str">
        <f aca="false">IF(PLANI_LLOGARIVE!$A317="","",PLANI_LLOGARIVE!$A317)</f>
        <v/>
      </c>
      <c r="B317" s="101" t="str">
        <f aca="false">IF($A317="","",PLANI_LLOGARIVE!$B317)</f>
        <v/>
      </c>
      <c r="C317" s="101" t="str">
        <f aca="false">IFERROR(IF($A317="","",PLANI_LLOGARIVE!$J317),"")</f>
        <v/>
      </c>
    </row>
    <row r="318" customFormat="false" ht="15" hidden="false" customHeight="true" outlineLevel="0" collapsed="false">
      <c r="A318" s="101" t="str">
        <f aca="false">IF(PLANI_LLOGARIVE!$A318="","",PLANI_LLOGARIVE!$A318)</f>
        <v/>
      </c>
      <c r="B318" s="101" t="str">
        <f aca="false">IF($A318="","",PLANI_LLOGARIVE!$B318)</f>
        <v/>
      </c>
      <c r="C318" s="101" t="str">
        <f aca="false">IFERROR(IF($A318="","",PLANI_LLOGARIVE!$J318),"")</f>
        <v/>
      </c>
    </row>
    <row r="319" customFormat="false" ht="15" hidden="false" customHeight="true" outlineLevel="0" collapsed="false">
      <c r="A319" s="101" t="str">
        <f aca="false">IF(PLANI_LLOGARIVE!$A319="","",PLANI_LLOGARIVE!$A319)</f>
        <v/>
      </c>
      <c r="B319" s="101" t="str">
        <f aca="false">IF($A319="","",PLANI_LLOGARIVE!$B319)</f>
        <v/>
      </c>
      <c r="C319" s="101" t="str">
        <f aca="false">IFERROR(IF($A319="","",PLANI_LLOGARIVE!$J319),"")</f>
        <v/>
      </c>
    </row>
    <row r="320" customFormat="false" ht="15" hidden="false" customHeight="true" outlineLevel="0" collapsed="false">
      <c r="A320" s="101" t="str">
        <f aca="false">IF(PLANI_LLOGARIVE!$A320="","",PLANI_LLOGARIVE!$A320)</f>
        <v/>
      </c>
      <c r="B320" s="101" t="str">
        <f aca="false">IF($A320="","",PLANI_LLOGARIVE!$B320)</f>
        <v/>
      </c>
      <c r="C320" s="101" t="str">
        <f aca="false">IFERROR(IF($A320="","",PLANI_LLOGARIVE!$J320),"")</f>
        <v/>
      </c>
    </row>
    <row r="321" customFormat="false" ht="15" hidden="false" customHeight="true" outlineLevel="0" collapsed="false">
      <c r="A321" s="101" t="str">
        <f aca="false">IF(PLANI_LLOGARIVE!$A321="","",PLANI_LLOGARIVE!$A321)</f>
        <v/>
      </c>
      <c r="B321" s="101" t="str">
        <f aca="false">IF($A321="","",PLANI_LLOGARIVE!$B321)</f>
        <v/>
      </c>
      <c r="C321" s="101" t="str">
        <f aca="false">IFERROR(IF($A321="","",PLANI_LLOGARIVE!$J321),"")</f>
        <v/>
      </c>
    </row>
    <row r="322" customFormat="false" ht="15" hidden="false" customHeight="true" outlineLevel="0" collapsed="false">
      <c r="A322" s="101" t="str">
        <f aca="false">IF(PLANI_LLOGARIVE!$A322="","",PLANI_LLOGARIVE!$A322)</f>
        <v/>
      </c>
      <c r="B322" s="101" t="str">
        <f aca="false">IF($A322="","",PLANI_LLOGARIVE!$B322)</f>
        <v/>
      </c>
      <c r="C322" s="101" t="str">
        <f aca="false">IFERROR(IF($A322="","",PLANI_LLOGARIVE!$J322),"")</f>
        <v/>
      </c>
    </row>
    <row r="323" customFormat="false" ht="15" hidden="false" customHeight="true" outlineLevel="0" collapsed="false">
      <c r="A323" s="101" t="str">
        <f aca="false">IF(PLANI_LLOGARIVE!$A323="","",PLANI_LLOGARIVE!$A323)</f>
        <v/>
      </c>
      <c r="B323" s="101" t="str">
        <f aca="false">IF($A323="","",PLANI_LLOGARIVE!$B323)</f>
        <v/>
      </c>
      <c r="C323" s="101" t="str">
        <f aca="false">IFERROR(IF($A323="","",PLANI_LLOGARIVE!$J323),"")</f>
        <v/>
      </c>
    </row>
    <row r="324" customFormat="false" ht="15" hidden="false" customHeight="true" outlineLevel="0" collapsed="false">
      <c r="A324" s="101" t="str">
        <f aca="false">IF(PLANI_LLOGARIVE!$A324="","",PLANI_LLOGARIVE!$A324)</f>
        <v/>
      </c>
      <c r="B324" s="101" t="str">
        <f aca="false">IF($A324="","",PLANI_LLOGARIVE!$B324)</f>
        <v/>
      </c>
      <c r="C324" s="101" t="str">
        <f aca="false">IFERROR(IF($A324="","",PLANI_LLOGARIVE!$J324),"")</f>
        <v/>
      </c>
    </row>
    <row r="325" customFormat="false" ht="15" hidden="false" customHeight="true" outlineLevel="0" collapsed="false">
      <c r="A325" s="101" t="str">
        <f aca="false">IF(PLANI_LLOGARIVE!$A325="","",PLANI_LLOGARIVE!$A325)</f>
        <v/>
      </c>
      <c r="B325" s="101" t="str">
        <f aca="false">IF($A325="","",PLANI_LLOGARIVE!$B325)</f>
        <v/>
      </c>
      <c r="C325" s="101" t="str">
        <f aca="false">IFERROR(IF($A325="","",PLANI_LLOGARIVE!$J325),"")</f>
        <v/>
      </c>
    </row>
    <row r="326" customFormat="false" ht="15" hidden="false" customHeight="true" outlineLevel="0" collapsed="false">
      <c r="A326" s="101" t="str">
        <f aca="false">IF(PLANI_LLOGARIVE!$A326="","",PLANI_LLOGARIVE!$A326)</f>
        <v/>
      </c>
      <c r="B326" s="101" t="str">
        <f aca="false">IF($A326="","",PLANI_LLOGARIVE!$B326)</f>
        <v/>
      </c>
      <c r="C326" s="101" t="str">
        <f aca="false">IFERROR(IF($A326="","",PLANI_LLOGARIVE!$J326),"")</f>
        <v/>
      </c>
    </row>
    <row r="327" customFormat="false" ht="15" hidden="false" customHeight="true" outlineLevel="0" collapsed="false">
      <c r="A327" s="101" t="str">
        <f aca="false">IF(PLANI_LLOGARIVE!$A327="","",PLANI_LLOGARIVE!$A327)</f>
        <v/>
      </c>
      <c r="B327" s="101" t="str">
        <f aca="false">IF($A327="","",PLANI_LLOGARIVE!$B327)</f>
        <v/>
      </c>
      <c r="C327" s="101" t="str">
        <f aca="false">IFERROR(IF($A327="","",PLANI_LLOGARIVE!$J327),"")</f>
        <v/>
      </c>
    </row>
    <row r="328" customFormat="false" ht="15" hidden="false" customHeight="true" outlineLevel="0" collapsed="false">
      <c r="A328" s="101" t="str">
        <f aca="false">IF(PLANI_LLOGARIVE!$A328="","",PLANI_LLOGARIVE!$A328)</f>
        <v/>
      </c>
      <c r="B328" s="101" t="str">
        <f aca="false">IF($A328="","",PLANI_LLOGARIVE!$B328)</f>
        <v/>
      </c>
      <c r="C328" s="101" t="str">
        <f aca="false">IFERROR(IF($A328="","",PLANI_LLOGARIVE!$J328),"")</f>
        <v/>
      </c>
    </row>
    <row r="329" customFormat="false" ht="15" hidden="false" customHeight="true" outlineLevel="0" collapsed="false">
      <c r="A329" s="101" t="str">
        <f aca="false">IF(PLANI_LLOGARIVE!$A329="","",PLANI_LLOGARIVE!$A329)</f>
        <v/>
      </c>
      <c r="B329" s="101" t="str">
        <f aca="false">IF($A329="","",PLANI_LLOGARIVE!$B329)</f>
        <v/>
      </c>
      <c r="C329" s="101" t="str">
        <f aca="false">IFERROR(IF($A329="","",PLANI_LLOGARIVE!$J329),"")</f>
        <v/>
      </c>
    </row>
    <row r="330" customFormat="false" ht="15" hidden="false" customHeight="true" outlineLevel="0" collapsed="false">
      <c r="A330" s="101" t="str">
        <f aca="false">IF(PLANI_LLOGARIVE!$A330="","",PLANI_LLOGARIVE!$A330)</f>
        <v/>
      </c>
      <c r="B330" s="101" t="str">
        <f aca="false">IF($A330="","",PLANI_LLOGARIVE!$B330)</f>
        <v/>
      </c>
      <c r="C330" s="101" t="str">
        <f aca="false">IFERROR(IF($A330="","",PLANI_LLOGARIVE!$J330),"")</f>
        <v/>
      </c>
    </row>
    <row r="331" customFormat="false" ht="15" hidden="false" customHeight="true" outlineLevel="0" collapsed="false">
      <c r="A331" s="101" t="str">
        <f aca="false">IF(PLANI_LLOGARIVE!$A331="","",PLANI_LLOGARIVE!$A331)</f>
        <v/>
      </c>
      <c r="B331" s="101" t="str">
        <f aca="false">IF($A331="","",PLANI_LLOGARIVE!$B331)</f>
        <v/>
      </c>
      <c r="C331" s="101" t="str">
        <f aca="false">IFERROR(IF($A331="","",PLANI_LLOGARIVE!$J331),"")</f>
        <v/>
      </c>
    </row>
    <row r="332" customFormat="false" ht="15" hidden="false" customHeight="true" outlineLevel="0" collapsed="false">
      <c r="A332" s="101" t="str">
        <f aca="false">IF(PLANI_LLOGARIVE!$A332="","",PLANI_LLOGARIVE!$A332)</f>
        <v/>
      </c>
      <c r="B332" s="101" t="str">
        <f aca="false">IF($A332="","",PLANI_LLOGARIVE!$B332)</f>
        <v/>
      </c>
      <c r="C332" s="101" t="str">
        <f aca="false">IFERROR(IF($A332="","",PLANI_LLOGARIVE!$J332),"")</f>
        <v/>
      </c>
    </row>
    <row r="333" customFormat="false" ht="15" hidden="false" customHeight="true" outlineLevel="0" collapsed="false">
      <c r="A333" s="101" t="str">
        <f aca="false">IF(PLANI_LLOGARIVE!$A333="","",PLANI_LLOGARIVE!$A333)</f>
        <v/>
      </c>
      <c r="B333" s="101" t="str">
        <f aca="false">IF($A333="","",PLANI_LLOGARIVE!$B333)</f>
        <v/>
      </c>
      <c r="C333" s="101" t="str">
        <f aca="false">IFERROR(IF($A333="","",PLANI_LLOGARIVE!$J333),"")</f>
        <v/>
      </c>
    </row>
    <row r="334" customFormat="false" ht="15" hidden="false" customHeight="true" outlineLevel="0" collapsed="false">
      <c r="A334" s="101" t="str">
        <f aca="false">IF(PLANI_LLOGARIVE!$A334="","",PLANI_LLOGARIVE!$A334)</f>
        <v/>
      </c>
      <c r="B334" s="101" t="str">
        <f aca="false">IF($A334="","",PLANI_LLOGARIVE!$B334)</f>
        <v/>
      </c>
      <c r="C334" s="101" t="str">
        <f aca="false">IFERROR(IF($A334="","",PLANI_LLOGARIVE!$J334),"")</f>
        <v/>
      </c>
    </row>
    <row r="335" customFormat="false" ht="15" hidden="false" customHeight="true" outlineLevel="0" collapsed="false">
      <c r="A335" s="101" t="str">
        <f aca="false">IF(PLANI_LLOGARIVE!$A335="","",PLANI_LLOGARIVE!$A335)</f>
        <v/>
      </c>
      <c r="B335" s="101" t="str">
        <f aca="false">IF($A335="","",PLANI_LLOGARIVE!$B335)</f>
        <v/>
      </c>
      <c r="C335" s="101" t="str">
        <f aca="false">IFERROR(IF($A335="","",PLANI_LLOGARIVE!$J335),"")</f>
        <v/>
      </c>
    </row>
    <row r="336" customFormat="false" ht="15" hidden="false" customHeight="true" outlineLevel="0" collapsed="false">
      <c r="A336" s="101" t="str">
        <f aca="false">IF(PLANI_LLOGARIVE!$A336="","",PLANI_LLOGARIVE!$A336)</f>
        <v/>
      </c>
      <c r="B336" s="101" t="str">
        <f aca="false">IF($A336="","",PLANI_LLOGARIVE!$B336)</f>
        <v/>
      </c>
      <c r="C336" s="101" t="str">
        <f aca="false">IFERROR(IF($A336="","",PLANI_LLOGARIVE!$J336),"")</f>
        <v/>
      </c>
    </row>
    <row r="337" customFormat="false" ht="15" hidden="false" customHeight="true" outlineLevel="0" collapsed="false">
      <c r="A337" s="101" t="str">
        <f aca="false">IF(PLANI_LLOGARIVE!$A337="","",PLANI_LLOGARIVE!$A337)</f>
        <v/>
      </c>
      <c r="B337" s="101" t="str">
        <f aca="false">IF($A337="","",PLANI_LLOGARIVE!$B337)</f>
        <v/>
      </c>
      <c r="C337" s="101" t="str">
        <f aca="false">IFERROR(IF($A337="","",PLANI_LLOGARIVE!$J337),"")</f>
        <v/>
      </c>
    </row>
    <row r="338" customFormat="false" ht="15" hidden="false" customHeight="true" outlineLevel="0" collapsed="false">
      <c r="A338" s="101" t="str">
        <f aca="false">IF(PLANI_LLOGARIVE!$A338="","",PLANI_LLOGARIVE!$A338)</f>
        <v/>
      </c>
      <c r="B338" s="101" t="str">
        <f aca="false">IF($A338="","",PLANI_LLOGARIVE!$B338)</f>
        <v/>
      </c>
      <c r="C338" s="101" t="str">
        <f aca="false">IFERROR(IF($A338="","",PLANI_LLOGARIVE!$J338),"")</f>
        <v/>
      </c>
    </row>
    <row r="339" customFormat="false" ht="15" hidden="false" customHeight="true" outlineLevel="0" collapsed="false">
      <c r="A339" s="101" t="str">
        <f aca="false">IF(PLANI_LLOGARIVE!$A339="","",PLANI_LLOGARIVE!$A339)</f>
        <v/>
      </c>
      <c r="B339" s="101" t="str">
        <f aca="false">IF($A339="","",PLANI_LLOGARIVE!$B339)</f>
        <v/>
      </c>
      <c r="C339" s="101" t="str">
        <f aca="false">IFERROR(IF($A339="","",PLANI_LLOGARIVE!$J339),"")</f>
        <v/>
      </c>
    </row>
    <row r="340" customFormat="false" ht="15" hidden="false" customHeight="true" outlineLevel="0" collapsed="false">
      <c r="A340" s="101" t="str">
        <f aca="false">IF(PLANI_LLOGARIVE!$A340="","",PLANI_LLOGARIVE!$A340)</f>
        <v/>
      </c>
      <c r="B340" s="101" t="str">
        <f aca="false">IF($A340="","",PLANI_LLOGARIVE!$B340)</f>
        <v/>
      </c>
      <c r="C340" s="101" t="str">
        <f aca="false">IFERROR(IF($A340="","",PLANI_LLOGARIVE!$J340),"")</f>
        <v/>
      </c>
    </row>
    <row r="341" customFormat="false" ht="15" hidden="false" customHeight="true" outlineLevel="0" collapsed="false">
      <c r="A341" s="101" t="str">
        <f aca="false">IF(PLANI_LLOGARIVE!$A341="","",PLANI_LLOGARIVE!$A341)</f>
        <v/>
      </c>
      <c r="B341" s="101" t="str">
        <f aca="false">IF($A341="","",PLANI_LLOGARIVE!$B341)</f>
        <v/>
      </c>
      <c r="C341" s="101" t="str">
        <f aca="false">IFERROR(IF($A341="","",PLANI_LLOGARIVE!$J341),"")</f>
        <v/>
      </c>
    </row>
    <row r="342" customFormat="false" ht="15" hidden="false" customHeight="true" outlineLevel="0" collapsed="false">
      <c r="A342" s="101" t="str">
        <f aca="false">IF(PLANI_LLOGARIVE!$A342="","",PLANI_LLOGARIVE!$A342)</f>
        <v/>
      </c>
      <c r="B342" s="101" t="str">
        <f aca="false">IF($A342="","",PLANI_LLOGARIVE!$B342)</f>
        <v/>
      </c>
      <c r="C342" s="101" t="str">
        <f aca="false">IFERROR(IF($A342="","",PLANI_LLOGARIVE!$J342),"")</f>
        <v/>
      </c>
    </row>
    <row r="343" customFormat="false" ht="15" hidden="false" customHeight="true" outlineLevel="0" collapsed="false">
      <c r="A343" s="101" t="str">
        <f aca="false">IF(PLANI_LLOGARIVE!$A343="","",PLANI_LLOGARIVE!$A343)</f>
        <v/>
      </c>
      <c r="B343" s="101" t="str">
        <f aca="false">IF($A343="","",PLANI_LLOGARIVE!$B343)</f>
        <v/>
      </c>
      <c r="C343" s="101" t="str">
        <f aca="false">IFERROR(IF($A343="","",PLANI_LLOGARIVE!$J343),"")</f>
        <v/>
      </c>
    </row>
    <row r="344" customFormat="false" ht="15" hidden="false" customHeight="true" outlineLevel="0" collapsed="false">
      <c r="A344" s="101" t="str">
        <f aca="false">IF(PLANI_LLOGARIVE!$A344="","",PLANI_LLOGARIVE!$A344)</f>
        <v/>
      </c>
      <c r="B344" s="101" t="str">
        <f aca="false">IF($A344="","",PLANI_LLOGARIVE!$B344)</f>
        <v/>
      </c>
      <c r="C344" s="101" t="str">
        <f aca="false">IFERROR(IF($A344="","",PLANI_LLOGARIVE!$J344),"")</f>
        <v/>
      </c>
    </row>
    <row r="345" customFormat="false" ht="15" hidden="false" customHeight="true" outlineLevel="0" collapsed="false">
      <c r="A345" s="101" t="str">
        <f aca="false">IF(PLANI_LLOGARIVE!$A345="","",PLANI_LLOGARIVE!$A345)</f>
        <v/>
      </c>
      <c r="B345" s="101" t="str">
        <f aca="false">IF($A345="","",PLANI_LLOGARIVE!$B345)</f>
        <v/>
      </c>
      <c r="C345" s="101" t="str">
        <f aca="false">IFERROR(IF($A345="","",PLANI_LLOGARIVE!$J345),"")</f>
        <v/>
      </c>
    </row>
    <row r="346" customFormat="false" ht="15" hidden="false" customHeight="true" outlineLevel="0" collapsed="false">
      <c r="A346" s="101" t="str">
        <f aca="false">IF(PLANI_LLOGARIVE!$A346="","",PLANI_LLOGARIVE!$A346)</f>
        <v/>
      </c>
      <c r="B346" s="101" t="str">
        <f aca="false">IF($A346="","",PLANI_LLOGARIVE!$B346)</f>
        <v/>
      </c>
      <c r="C346" s="101" t="str">
        <f aca="false">IFERROR(IF($A346="","",PLANI_LLOGARIVE!$J346),"")</f>
        <v/>
      </c>
    </row>
    <row r="347" customFormat="false" ht="15" hidden="false" customHeight="true" outlineLevel="0" collapsed="false">
      <c r="A347" s="101" t="str">
        <f aca="false">IF(PLANI_LLOGARIVE!$A347="","",PLANI_LLOGARIVE!$A347)</f>
        <v/>
      </c>
      <c r="B347" s="101" t="str">
        <f aca="false">IF($A347="","",PLANI_LLOGARIVE!$B347)</f>
        <v/>
      </c>
      <c r="C347" s="101" t="str">
        <f aca="false">IFERROR(IF($A347="","",PLANI_LLOGARIVE!$J347),"")</f>
        <v/>
      </c>
    </row>
    <row r="348" customFormat="false" ht="15" hidden="false" customHeight="true" outlineLevel="0" collapsed="false">
      <c r="A348" s="101" t="str">
        <f aca="false">IF(PLANI_LLOGARIVE!$A348="","",PLANI_LLOGARIVE!$A348)</f>
        <v/>
      </c>
      <c r="B348" s="101" t="str">
        <f aca="false">IF($A348="","",PLANI_LLOGARIVE!$B348)</f>
        <v/>
      </c>
      <c r="C348" s="101" t="str">
        <f aca="false">IFERROR(IF($A348="","",PLANI_LLOGARIVE!$J348),"")</f>
        <v/>
      </c>
    </row>
    <row r="349" customFormat="false" ht="15" hidden="false" customHeight="true" outlineLevel="0" collapsed="false">
      <c r="A349" s="101" t="str">
        <f aca="false">IF(PLANI_LLOGARIVE!$A349="","",PLANI_LLOGARIVE!$A349)</f>
        <v/>
      </c>
      <c r="B349" s="101" t="str">
        <f aca="false">IF($A349="","",PLANI_LLOGARIVE!$B349)</f>
        <v/>
      </c>
      <c r="C349" s="101" t="str">
        <f aca="false">IFERROR(IF($A349="","",PLANI_LLOGARIVE!$J349),"")</f>
        <v/>
      </c>
    </row>
    <row r="350" customFormat="false" ht="15" hidden="false" customHeight="true" outlineLevel="0" collapsed="false">
      <c r="A350" s="101" t="str">
        <f aca="false">IF(PLANI_LLOGARIVE!$A350="","",PLANI_LLOGARIVE!$A350)</f>
        <v/>
      </c>
      <c r="B350" s="101" t="str">
        <f aca="false">IF($A350="","",PLANI_LLOGARIVE!$B350)</f>
        <v/>
      </c>
      <c r="C350" s="101" t="str">
        <f aca="false">IFERROR(IF($A350="","",PLANI_LLOGARIVE!$J350),"")</f>
        <v/>
      </c>
    </row>
    <row r="351" customFormat="false" ht="15" hidden="false" customHeight="true" outlineLevel="0" collapsed="false">
      <c r="A351" s="101" t="str">
        <f aca="false">IF(PLANI_LLOGARIVE!$A351="","",PLANI_LLOGARIVE!$A351)</f>
        <v/>
      </c>
      <c r="B351" s="101" t="str">
        <f aca="false">IF($A351="","",PLANI_LLOGARIVE!$B351)</f>
        <v/>
      </c>
      <c r="C351" s="101" t="str">
        <f aca="false">IFERROR(IF($A351="","",PLANI_LLOGARIVE!$J351),"")</f>
        <v/>
      </c>
    </row>
    <row r="352" customFormat="false" ht="15" hidden="false" customHeight="true" outlineLevel="0" collapsed="false">
      <c r="A352" s="101" t="str">
        <f aca="false">IF(PLANI_LLOGARIVE!$A352="","",PLANI_LLOGARIVE!$A352)</f>
        <v/>
      </c>
      <c r="B352" s="101" t="str">
        <f aca="false">IF($A352="","",PLANI_LLOGARIVE!$B352)</f>
        <v/>
      </c>
      <c r="C352" s="101" t="str">
        <f aca="false">IFERROR(IF($A352="","",PLANI_LLOGARIVE!$J352),"")</f>
        <v/>
      </c>
    </row>
    <row r="353" customFormat="false" ht="15" hidden="false" customHeight="true" outlineLevel="0" collapsed="false">
      <c r="A353" s="101" t="str">
        <f aca="false">IF(PLANI_LLOGARIVE!$A353="","",PLANI_LLOGARIVE!$A353)</f>
        <v/>
      </c>
      <c r="B353" s="101" t="str">
        <f aca="false">IF($A353="","",PLANI_LLOGARIVE!$B353)</f>
        <v/>
      </c>
      <c r="C353" s="101" t="str">
        <f aca="false">IFERROR(IF($A353="","",PLANI_LLOGARIVE!$J353),"")</f>
        <v/>
      </c>
    </row>
    <row r="354" customFormat="false" ht="15" hidden="false" customHeight="true" outlineLevel="0" collapsed="false">
      <c r="A354" s="101" t="str">
        <f aca="false">IF(PLANI_LLOGARIVE!$A354="","",PLANI_LLOGARIVE!$A354)</f>
        <v/>
      </c>
      <c r="B354" s="101" t="str">
        <f aca="false">IF($A354="","",PLANI_LLOGARIVE!$B354)</f>
        <v/>
      </c>
      <c r="C354" s="101" t="str">
        <f aca="false">IFERROR(IF($A354="","",PLANI_LLOGARIVE!$J354),"")</f>
        <v/>
      </c>
    </row>
    <row r="355" customFormat="false" ht="15" hidden="false" customHeight="true" outlineLevel="0" collapsed="false">
      <c r="A355" s="101" t="str">
        <f aca="false">IF(PLANI_LLOGARIVE!$A355="","",PLANI_LLOGARIVE!$A355)</f>
        <v/>
      </c>
      <c r="B355" s="101" t="str">
        <f aca="false">IF($A355="","",PLANI_LLOGARIVE!$B355)</f>
        <v/>
      </c>
      <c r="C355" s="101" t="str">
        <f aca="false">IFERROR(IF($A355="","",PLANI_LLOGARIVE!$J355),"")</f>
        <v/>
      </c>
    </row>
    <row r="356" customFormat="false" ht="15" hidden="false" customHeight="true" outlineLevel="0" collapsed="false">
      <c r="A356" s="101" t="str">
        <f aca="false">IF(PLANI_LLOGARIVE!$A356="","",PLANI_LLOGARIVE!$A356)</f>
        <v/>
      </c>
      <c r="B356" s="101" t="str">
        <f aca="false">IF($A356="","",PLANI_LLOGARIVE!$B356)</f>
        <v/>
      </c>
      <c r="C356" s="101" t="str">
        <f aca="false">IFERROR(IF($A356="","",PLANI_LLOGARIVE!$J356),"")</f>
        <v/>
      </c>
    </row>
    <row r="357" customFormat="false" ht="15" hidden="false" customHeight="true" outlineLevel="0" collapsed="false">
      <c r="A357" s="101" t="str">
        <f aca="false">IF(PLANI_LLOGARIVE!$A357="","",PLANI_LLOGARIVE!$A357)</f>
        <v/>
      </c>
      <c r="B357" s="101" t="str">
        <f aca="false">IF($A357="","",PLANI_LLOGARIVE!$B357)</f>
        <v/>
      </c>
      <c r="C357" s="101" t="str">
        <f aca="false">IFERROR(IF($A357="","",PLANI_LLOGARIVE!$J357),"")</f>
        <v/>
      </c>
    </row>
    <row r="358" customFormat="false" ht="15" hidden="false" customHeight="true" outlineLevel="0" collapsed="false">
      <c r="A358" s="101" t="str">
        <f aca="false">IF(PLANI_LLOGARIVE!$A358="","",PLANI_LLOGARIVE!$A358)</f>
        <v/>
      </c>
      <c r="B358" s="101" t="str">
        <f aca="false">IF($A358="","",PLANI_LLOGARIVE!$B358)</f>
        <v/>
      </c>
      <c r="C358" s="101" t="str">
        <f aca="false">IFERROR(IF($A358="","",PLANI_LLOGARIVE!$J358),"")</f>
        <v/>
      </c>
    </row>
    <row r="359" customFormat="false" ht="15" hidden="false" customHeight="true" outlineLevel="0" collapsed="false">
      <c r="A359" s="101" t="str">
        <f aca="false">IF(PLANI_LLOGARIVE!$A359="","",PLANI_LLOGARIVE!$A359)</f>
        <v/>
      </c>
      <c r="B359" s="101" t="str">
        <f aca="false">IF($A359="","",PLANI_LLOGARIVE!$B359)</f>
        <v/>
      </c>
      <c r="C359" s="101" t="str">
        <f aca="false">IFERROR(IF($A359="","",PLANI_LLOGARIVE!$J359),"")</f>
        <v/>
      </c>
    </row>
    <row r="360" customFormat="false" ht="15" hidden="false" customHeight="true" outlineLevel="0" collapsed="false">
      <c r="A360" s="101" t="str">
        <f aca="false">IF(PLANI_LLOGARIVE!$A360="","",PLANI_LLOGARIVE!$A360)</f>
        <v/>
      </c>
      <c r="B360" s="101" t="str">
        <f aca="false">IF($A360="","",PLANI_LLOGARIVE!$B360)</f>
        <v/>
      </c>
      <c r="C360" s="101" t="str">
        <f aca="false">IFERROR(IF($A360="","",PLANI_LLOGARIVE!$J360),"")</f>
        <v/>
      </c>
    </row>
    <row r="361" customFormat="false" ht="15" hidden="false" customHeight="true" outlineLevel="0" collapsed="false">
      <c r="A361" s="101" t="str">
        <f aca="false">IF(PLANI_LLOGARIVE!$A361="","",PLANI_LLOGARIVE!$A361)</f>
        <v/>
      </c>
      <c r="B361" s="101" t="str">
        <f aca="false">IF($A361="","",PLANI_LLOGARIVE!$B361)</f>
        <v/>
      </c>
      <c r="C361" s="101" t="str">
        <f aca="false">IFERROR(IF($A361="","",PLANI_LLOGARIVE!$J361),"")</f>
        <v/>
      </c>
    </row>
    <row r="362" customFormat="false" ht="15" hidden="false" customHeight="true" outlineLevel="0" collapsed="false">
      <c r="A362" s="101" t="str">
        <f aca="false">IF(PLANI_LLOGARIVE!$A362="","",PLANI_LLOGARIVE!$A362)</f>
        <v/>
      </c>
      <c r="B362" s="101" t="str">
        <f aca="false">IF($A362="","",PLANI_LLOGARIVE!$B362)</f>
        <v/>
      </c>
      <c r="C362" s="101" t="str">
        <f aca="false">IFERROR(IF($A362="","",PLANI_LLOGARIVE!$J362),"")</f>
        <v/>
      </c>
    </row>
    <row r="363" customFormat="false" ht="15" hidden="false" customHeight="true" outlineLevel="0" collapsed="false">
      <c r="A363" s="101" t="str">
        <f aca="false">IF(PLANI_LLOGARIVE!$A363="","",PLANI_LLOGARIVE!$A363)</f>
        <v/>
      </c>
      <c r="B363" s="101" t="str">
        <f aca="false">IF($A363="","",PLANI_LLOGARIVE!$B363)</f>
        <v/>
      </c>
      <c r="C363" s="101" t="str">
        <f aca="false">IFERROR(IF($A363="","",PLANI_LLOGARIVE!$J363),"")</f>
        <v/>
      </c>
    </row>
    <row r="364" customFormat="false" ht="15" hidden="false" customHeight="true" outlineLevel="0" collapsed="false">
      <c r="A364" s="101" t="str">
        <f aca="false">IF(PLANI_LLOGARIVE!$A364="","",PLANI_LLOGARIVE!$A364)</f>
        <v/>
      </c>
      <c r="B364" s="101" t="str">
        <f aca="false">IF($A364="","",PLANI_LLOGARIVE!$B364)</f>
        <v/>
      </c>
      <c r="C364" s="101" t="str">
        <f aca="false">IFERROR(IF($A364="","",PLANI_LLOGARIVE!$J364),"")</f>
        <v/>
      </c>
    </row>
    <row r="365" customFormat="false" ht="15" hidden="false" customHeight="true" outlineLevel="0" collapsed="false">
      <c r="A365" s="101" t="str">
        <f aca="false">IF(PLANI_LLOGARIVE!$A365="","",PLANI_LLOGARIVE!$A365)</f>
        <v/>
      </c>
      <c r="B365" s="101" t="str">
        <f aca="false">IF($A365="","",PLANI_LLOGARIVE!$B365)</f>
        <v/>
      </c>
      <c r="C365" s="101" t="str">
        <f aca="false">IFERROR(IF($A365="","",PLANI_LLOGARIVE!$J365),"")</f>
        <v/>
      </c>
    </row>
    <row r="366" customFormat="false" ht="15" hidden="false" customHeight="true" outlineLevel="0" collapsed="false">
      <c r="A366" s="101" t="str">
        <f aca="false">IF(PLANI_LLOGARIVE!$A366="","",PLANI_LLOGARIVE!$A366)</f>
        <v/>
      </c>
      <c r="B366" s="101" t="str">
        <f aca="false">IF($A366="","",PLANI_LLOGARIVE!$B366)</f>
        <v/>
      </c>
      <c r="C366" s="101" t="str">
        <f aca="false">IFERROR(IF($A366="","",PLANI_LLOGARIVE!$J366),"")</f>
        <v/>
      </c>
    </row>
    <row r="367" customFormat="false" ht="15" hidden="false" customHeight="true" outlineLevel="0" collapsed="false">
      <c r="A367" s="101" t="str">
        <f aca="false">IF(PLANI_LLOGARIVE!$A367="","",PLANI_LLOGARIVE!$A367)</f>
        <v/>
      </c>
      <c r="B367" s="101" t="str">
        <f aca="false">IF($A367="","",PLANI_LLOGARIVE!$B367)</f>
        <v/>
      </c>
      <c r="C367" s="101" t="str">
        <f aca="false">IFERROR(IF($A367="","",PLANI_LLOGARIVE!$J367),"")</f>
        <v/>
      </c>
    </row>
    <row r="368" customFormat="false" ht="15" hidden="false" customHeight="true" outlineLevel="0" collapsed="false">
      <c r="A368" s="101" t="str">
        <f aca="false">IF(PLANI_LLOGARIVE!$A368="","",PLANI_LLOGARIVE!$A368)</f>
        <v/>
      </c>
      <c r="B368" s="101" t="str">
        <f aca="false">IF($A368="","",PLANI_LLOGARIVE!$B368)</f>
        <v/>
      </c>
      <c r="C368" s="101" t="str">
        <f aca="false">IFERROR(IF($A368="","",PLANI_LLOGARIVE!$J368),"")</f>
        <v/>
      </c>
    </row>
    <row r="369" customFormat="false" ht="15" hidden="false" customHeight="true" outlineLevel="0" collapsed="false">
      <c r="A369" s="101" t="str">
        <f aca="false">IF(PLANI_LLOGARIVE!$A369="","",PLANI_LLOGARIVE!$A369)</f>
        <v/>
      </c>
      <c r="B369" s="101" t="str">
        <f aca="false">IF($A369="","",PLANI_LLOGARIVE!$B369)</f>
        <v/>
      </c>
      <c r="C369" s="101" t="str">
        <f aca="false">IFERROR(IF($A369="","",PLANI_LLOGARIVE!$J369),"")</f>
        <v/>
      </c>
    </row>
    <row r="370" customFormat="false" ht="15" hidden="false" customHeight="true" outlineLevel="0" collapsed="false">
      <c r="A370" s="101" t="str">
        <f aca="false">IF(PLANI_LLOGARIVE!$A370="","",PLANI_LLOGARIVE!$A370)</f>
        <v/>
      </c>
      <c r="B370" s="101" t="str">
        <f aca="false">IF($A370="","",PLANI_LLOGARIVE!$B370)</f>
        <v/>
      </c>
      <c r="C370" s="101" t="str">
        <f aca="false">IFERROR(IF($A370="","",PLANI_LLOGARIVE!$J370),"")</f>
        <v/>
      </c>
    </row>
    <row r="371" customFormat="false" ht="15" hidden="false" customHeight="true" outlineLevel="0" collapsed="false">
      <c r="A371" s="101" t="str">
        <f aca="false">IF(PLANI_LLOGARIVE!$A371="","",PLANI_LLOGARIVE!$A371)</f>
        <v/>
      </c>
      <c r="B371" s="101" t="str">
        <f aca="false">IF($A371="","",PLANI_LLOGARIVE!$B371)</f>
        <v/>
      </c>
      <c r="C371" s="101" t="str">
        <f aca="false">IFERROR(IF($A371="","",PLANI_LLOGARIVE!$J371),"")</f>
        <v/>
      </c>
    </row>
    <row r="372" customFormat="false" ht="15" hidden="false" customHeight="true" outlineLevel="0" collapsed="false">
      <c r="A372" s="101" t="str">
        <f aca="false">IF(PLANI_LLOGARIVE!$A372="","",PLANI_LLOGARIVE!$A372)</f>
        <v/>
      </c>
      <c r="B372" s="101" t="str">
        <f aca="false">IF($A372="","",PLANI_LLOGARIVE!$B372)</f>
        <v/>
      </c>
      <c r="C372" s="101" t="str">
        <f aca="false">IFERROR(IF($A372="","",PLANI_LLOGARIVE!$J372),"")</f>
        <v/>
      </c>
    </row>
    <row r="373" customFormat="false" ht="15" hidden="false" customHeight="true" outlineLevel="0" collapsed="false">
      <c r="A373" s="101" t="str">
        <f aca="false">IF(PLANI_LLOGARIVE!$A373="","",PLANI_LLOGARIVE!$A373)</f>
        <v/>
      </c>
      <c r="B373" s="101" t="str">
        <f aca="false">IF($A373="","",PLANI_LLOGARIVE!$B373)</f>
        <v/>
      </c>
      <c r="C373" s="101" t="str">
        <f aca="false">IFERROR(IF($A373="","",PLANI_LLOGARIVE!$J373),"")</f>
        <v/>
      </c>
    </row>
    <row r="374" customFormat="false" ht="15" hidden="false" customHeight="true" outlineLevel="0" collapsed="false">
      <c r="A374" s="101" t="str">
        <f aca="false">IF(PLANI_LLOGARIVE!$A374="","",PLANI_LLOGARIVE!$A374)</f>
        <v/>
      </c>
      <c r="B374" s="101" t="str">
        <f aca="false">IF($A374="","",PLANI_LLOGARIVE!$B374)</f>
        <v/>
      </c>
      <c r="C374" s="101" t="str">
        <f aca="false">IFERROR(IF($A374="","",PLANI_LLOGARIVE!$J374),"")</f>
        <v/>
      </c>
    </row>
    <row r="375" customFormat="false" ht="15" hidden="false" customHeight="true" outlineLevel="0" collapsed="false">
      <c r="A375" s="101" t="str">
        <f aca="false">IF(PLANI_LLOGARIVE!$A375="","",PLANI_LLOGARIVE!$A375)</f>
        <v/>
      </c>
      <c r="B375" s="101" t="str">
        <f aca="false">IF($A375="","",PLANI_LLOGARIVE!$B375)</f>
        <v/>
      </c>
      <c r="C375" s="101" t="str">
        <f aca="false">IFERROR(IF($A375="","",PLANI_LLOGARIVE!$J375),"")</f>
        <v/>
      </c>
    </row>
    <row r="376" customFormat="false" ht="15" hidden="false" customHeight="true" outlineLevel="0" collapsed="false">
      <c r="A376" s="101" t="str">
        <f aca="false">IF(PLANI_LLOGARIVE!$A376="","",PLANI_LLOGARIVE!$A376)</f>
        <v/>
      </c>
      <c r="B376" s="101" t="str">
        <f aca="false">IF($A376="","",PLANI_LLOGARIVE!$B376)</f>
        <v/>
      </c>
      <c r="C376" s="101" t="str">
        <f aca="false">IFERROR(IF($A376="","",PLANI_LLOGARIVE!$J376),"")</f>
        <v/>
      </c>
    </row>
    <row r="377" customFormat="false" ht="15" hidden="false" customHeight="true" outlineLevel="0" collapsed="false">
      <c r="A377" s="101" t="str">
        <f aca="false">IF(PLANI_LLOGARIVE!$A377="","",PLANI_LLOGARIVE!$A377)</f>
        <v/>
      </c>
      <c r="B377" s="101" t="str">
        <f aca="false">IF($A377="","",PLANI_LLOGARIVE!$B377)</f>
        <v/>
      </c>
      <c r="C377" s="101" t="str">
        <f aca="false">IFERROR(IF($A377="","",PLANI_LLOGARIVE!$J377),"")</f>
        <v/>
      </c>
    </row>
    <row r="378" customFormat="false" ht="15" hidden="false" customHeight="true" outlineLevel="0" collapsed="false">
      <c r="A378" s="101" t="str">
        <f aca="false">IF(PLANI_LLOGARIVE!$A378="","",PLANI_LLOGARIVE!$A378)</f>
        <v/>
      </c>
      <c r="B378" s="101" t="str">
        <f aca="false">IF($A378="","",PLANI_LLOGARIVE!$B378)</f>
        <v/>
      </c>
      <c r="C378" s="101" t="str">
        <f aca="false">IFERROR(IF($A378="","",PLANI_LLOGARIVE!$J378),"")</f>
        <v/>
      </c>
    </row>
    <row r="379" customFormat="false" ht="15" hidden="false" customHeight="true" outlineLevel="0" collapsed="false">
      <c r="A379" s="101" t="str">
        <f aca="false">IF(PLANI_LLOGARIVE!$A379="","",PLANI_LLOGARIVE!$A379)</f>
        <v/>
      </c>
      <c r="B379" s="101" t="str">
        <f aca="false">IF($A379="","",PLANI_LLOGARIVE!$B379)</f>
        <v/>
      </c>
      <c r="C379" s="101" t="str">
        <f aca="false">IFERROR(IF($A379="","",PLANI_LLOGARIVE!$J379),"")</f>
        <v/>
      </c>
    </row>
    <row r="380" customFormat="false" ht="15" hidden="false" customHeight="true" outlineLevel="0" collapsed="false">
      <c r="A380" s="101" t="str">
        <f aca="false">IF(PLANI_LLOGARIVE!$A380="","",PLANI_LLOGARIVE!$A380)</f>
        <v/>
      </c>
      <c r="B380" s="101" t="str">
        <f aca="false">IF($A380="","",PLANI_LLOGARIVE!$B380)</f>
        <v/>
      </c>
      <c r="C380" s="101" t="str">
        <f aca="false">IFERROR(IF($A380="","",PLANI_LLOGARIVE!$J380),"")</f>
        <v/>
      </c>
    </row>
    <row r="381" customFormat="false" ht="15" hidden="false" customHeight="true" outlineLevel="0" collapsed="false">
      <c r="A381" s="101" t="str">
        <f aca="false">IF(PLANI_LLOGARIVE!$A381="","",PLANI_LLOGARIVE!$A381)</f>
        <v/>
      </c>
      <c r="B381" s="101" t="str">
        <f aca="false">IF($A381="","",PLANI_LLOGARIVE!$B381)</f>
        <v/>
      </c>
      <c r="C381" s="101" t="str">
        <f aca="false">IFERROR(IF($A381="","",PLANI_LLOGARIVE!$J381),"")</f>
        <v/>
      </c>
    </row>
    <row r="382" customFormat="false" ht="15" hidden="false" customHeight="true" outlineLevel="0" collapsed="false">
      <c r="A382" s="101" t="str">
        <f aca="false">IF(PLANI_LLOGARIVE!$A382="","",PLANI_LLOGARIVE!$A382)</f>
        <v/>
      </c>
      <c r="B382" s="101" t="str">
        <f aca="false">IF($A382="","",PLANI_LLOGARIVE!$B382)</f>
        <v/>
      </c>
      <c r="C382" s="101" t="str">
        <f aca="false">IFERROR(IF($A382="","",PLANI_LLOGARIVE!$J382),"")</f>
        <v/>
      </c>
    </row>
    <row r="383" customFormat="false" ht="15" hidden="false" customHeight="true" outlineLevel="0" collapsed="false">
      <c r="A383" s="101" t="str">
        <f aca="false">IF(PLANI_LLOGARIVE!$A383="","",PLANI_LLOGARIVE!$A383)</f>
        <v/>
      </c>
      <c r="B383" s="101" t="str">
        <f aca="false">IF($A383="","",PLANI_LLOGARIVE!$B383)</f>
        <v/>
      </c>
      <c r="C383" s="101" t="str">
        <f aca="false">IFERROR(IF($A383="","",PLANI_LLOGARIVE!$J383),"")</f>
        <v/>
      </c>
    </row>
    <row r="384" customFormat="false" ht="15" hidden="false" customHeight="true" outlineLevel="0" collapsed="false">
      <c r="A384" s="101" t="str">
        <f aca="false">IF(PLANI_LLOGARIVE!$A384="","",PLANI_LLOGARIVE!$A384)</f>
        <v/>
      </c>
      <c r="B384" s="101" t="str">
        <f aca="false">IF($A384="","",PLANI_LLOGARIVE!$B384)</f>
        <v/>
      </c>
      <c r="C384" s="101" t="str">
        <f aca="false">IFERROR(IF($A384="","",PLANI_LLOGARIVE!$J384),"")</f>
        <v/>
      </c>
    </row>
    <row r="385" customFormat="false" ht="15" hidden="false" customHeight="true" outlineLevel="0" collapsed="false">
      <c r="A385" s="101" t="str">
        <f aca="false">IF(PLANI_LLOGARIVE!$A385="","",PLANI_LLOGARIVE!$A385)</f>
        <v/>
      </c>
      <c r="B385" s="101" t="str">
        <f aca="false">IF($A385="","",PLANI_LLOGARIVE!$B385)</f>
        <v/>
      </c>
      <c r="C385" s="101" t="str">
        <f aca="false">IFERROR(IF($A385="","",PLANI_LLOGARIVE!$J385),"")</f>
        <v/>
      </c>
    </row>
    <row r="386" customFormat="false" ht="15" hidden="false" customHeight="true" outlineLevel="0" collapsed="false">
      <c r="A386" s="101" t="str">
        <f aca="false">IF(PLANI_LLOGARIVE!$A386="","",PLANI_LLOGARIVE!$A386)</f>
        <v/>
      </c>
      <c r="B386" s="101" t="str">
        <f aca="false">IF($A386="","",PLANI_LLOGARIVE!$B386)</f>
        <v/>
      </c>
      <c r="C386" s="101" t="str">
        <f aca="false">IFERROR(IF($A386="","",PLANI_LLOGARIVE!$J386),"")</f>
        <v/>
      </c>
    </row>
    <row r="387" customFormat="false" ht="15" hidden="false" customHeight="true" outlineLevel="0" collapsed="false">
      <c r="A387" s="101" t="str">
        <f aca="false">IF(PLANI_LLOGARIVE!$A387="","",PLANI_LLOGARIVE!$A387)</f>
        <v/>
      </c>
      <c r="B387" s="101" t="str">
        <f aca="false">IF($A387="","",PLANI_LLOGARIVE!$B387)</f>
        <v/>
      </c>
      <c r="C387" s="101" t="str">
        <f aca="false">IFERROR(IF($A387="","",PLANI_LLOGARIVE!$J387),"")</f>
        <v/>
      </c>
    </row>
    <row r="388" customFormat="false" ht="15" hidden="false" customHeight="true" outlineLevel="0" collapsed="false">
      <c r="A388" s="101" t="str">
        <f aca="false">IF(PLANI_LLOGARIVE!$A388="","",PLANI_LLOGARIVE!$A388)</f>
        <v/>
      </c>
      <c r="B388" s="101" t="str">
        <f aca="false">IF($A388="","",PLANI_LLOGARIVE!$B388)</f>
        <v/>
      </c>
      <c r="C388" s="101" t="str">
        <f aca="false">IFERROR(IF($A388="","",PLANI_LLOGARIVE!$J388),"")</f>
        <v/>
      </c>
    </row>
    <row r="389" customFormat="false" ht="15" hidden="false" customHeight="true" outlineLevel="0" collapsed="false">
      <c r="A389" s="101" t="str">
        <f aca="false">IF(PLANI_LLOGARIVE!$A389="","",PLANI_LLOGARIVE!$A389)</f>
        <v/>
      </c>
      <c r="B389" s="101" t="str">
        <f aca="false">IF($A389="","",PLANI_LLOGARIVE!$B389)</f>
        <v/>
      </c>
      <c r="C389" s="101" t="str">
        <f aca="false">IFERROR(IF($A389="","",PLANI_LLOGARIVE!$J389),"")</f>
        <v/>
      </c>
    </row>
    <row r="390" customFormat="false" ht="15" hidden="false" customHeight="true" outlineLevel="0" collapsed="false">
      <c r="A390" s="101" t="str">
        <f aca="false">IF(PLANI_LLOGARIVE!$A390="","",PLANI_LLOGARIVE!$A390)</f>
        <v/>
      </c>
      <c r="B390" s="101" t="str">
        <f aca="false">IF($A390="","",PLANI_LLOGARIVE!$B390)</f>
        <v/>
      </c>
      <c r="C390" s="101" t="str">
        <f aca="false">IFERROR(IF($A390="","",PLANI_LLOGARIVE!$J390),"")</f>
        <v/>
      </c>
    </row>
    <row r="391" customFormat="false" ht="15" hidden="false" customHeight="true" outlineLevel="0" collapsed="false">
      <c r="A391" s="101" t="str">
        <f aca="false">IF(PLANI_LLOGARIVE!$A391="","",PLANI_LLOGARIVE!$A391)</f>
        <v/>
      </c>
      <c r="B391" s="101" t="str">
        <f aca="false">IF($A391="","",PLANI_LLOGARIVE!$B391)</f>
        <v/>
      </c>
      <c r="C391" s="101" t="str">
        <f aca="false">IFERROR(IF($A391="","",PLANI_LLOGARIVE!$J391),"")</f>
        <v/>
      </c>
    </row>
    <row r="392" customFormat="false" ht="15" hidden="false" customHeight="true" outlineLevel="0" collapsed="false">
      <c r="A392" s="101" t="str">
        <f aca="false">IF(PLANI_LLOGARIVE!$A392="","",PLANI_LLOGARIVE!$A392)</f>
        <v/>
      </c>
      <c r="B392" s="101" t="str">
        <f aca="false">IF($A392="","",PLANI_LLOGARIVE!$B392)</f>
        <v/>
      </c>
      <c r="C392" s="101" t="str">
        <f aca="false">IFERROR(IF($A392="","",PLANI_LLOGARIVE!$J392),"")</f>
        <v/>
      </c>
    </row>
    <row r="393" customFormat="false" ht="15" hidden="false" customHeight="true" outlineLevel="0" collapsed="false">
      <c r="A393" s="101" t="str">
        <f aca="false">IF(PLANI_LLOGARIVE!$A393="","",PLANI_LLOGARIVE!$A393)</f>
        <v/>
      </c>
      <c r="B393" s="101" t="str">
        <f aca="false">IF($A393="","",PLANI_LLOGARIVE!$B393)</f>
        <v/>
      </c>
      <c r="C393" s="101" t="str">
        <f aca="false">IFERROR(IF($A393="","",PLANI_LLOGARIVE!$J393),"")</f>
        <v/>
      </c>
    </row>
    <row r="394" customFormat="false" ht="15" hidden="false" customHeight="true" outlineLevel="0" collapsed="false">
      <c r="A394" s="101" t="str">
        <f aca="false">IF(PLANI_LLOGARIVE!$A394="","",PLANI_LLOGARIVE!$A394)</f>
        <v/>
      </c>
      <c r="B394" s="101" t="str">
        <f aca="false">IF($A394="","",PLANI_LLOGARIVE!$B394)</f>
        <v/>
      </c>
      <c r="C394" s="101" t="str">
        <f aca="false">IFERROR(IF($A394="","",PLANI_LLOGARIVE!$J394),"")</f>
        <v/>
      </c>
    </row>
    <row r="395" customFormat="false" ht="15" hidden="false" customHeight="true" outlineLevel="0" collapsed="false">
      <c r="A395" s="101" t="str">
        <f aca="false">IF(PLANI_LLOGARIVE!$A395="","",PLANI_LLOGARIVE!$A395)</f>
        <v/>
      </c>
      <c r="B395" s="101" t="str">
        <f aca="false">IF($A395="","",PLANI_LLOGARIVE!$B395)</f>
        <v/>
      </c>
      <c r="C395" s="101" t="str">
        <f aca="false">IFERROR(IF($A395="","",PLANI_LLOGARIVE!$J395),"")</f>
        <v/>
      </c>
    </row>
    <row r="396" customFormat="false" ht="15" hidden="false" customHeight="true" outlineLevel="0" collapsed="false">
      <c r="A396" s="101" t="str">
        <f aca="false">IF(PLANI_LLOGARIVE!$A396="","",PLANI_LLOGARIVE!$A396)</f>
        <v/>
      </c>
      <c r="B396" s="101" t="str">
        <f aca="false">IF($A396="","",PLANI_LLOGARIVE!$B396)</f>
        <v/>
      </c>
      <c r="C396" s="101" t="str">
        <f aca="false">IFERROR(IF($A396="","",PLANI_LLOGARIVE!$J396),"")</f>
        <v/>
      </c>
    </row>
    <row r="397" customFormat="false" ht="15" hidden="false" customHeight="true" outlineLevel="0" collapsed="false">
      <c r="A397" s="101" t="str">
        <f aca="false">IF(PLANI_LLOGARIVE!$A397="","",PLANI_LLOGARIVE!$A397)</f>
        <v/>
      </c>
      <c r="B397" s="101" t="str">
        <f aca="false">IF($A397="","",PLANI_LLOGARIVE!$B397)</f>
        <v/>
      </c>
      <c r="C397" s="101" t="str">
        <f aca="false">IFERROR(IF($A397="","",PLANI_LLOGARIVE!$J397),"")</f>
        <v/>
      </c>
    </row>
    <row r="398" customFormat="false" ht="15" hidden="false" customHeight="true" outlineLevel="0" collapsed="false">
      <c r="A398" s="101" t="str">
        <f aca="false">IF(PLANI_LLOGARIVE!$A398="","",PLANI_LLOGARIVE!$A398)</f>
        <v/>
      </c>
      <c r="B398" s="101" t="str">
        <f aca="false">IF($A398="","",PLANI_LLOGARIVE!$B398)</f>
        <v/>
      </c>
      <c r="C398" s="101" t="str">
        <f aca="false">IFERROR(IF($A398="","",PLANI_LLOGARIVE!$J398),"")</f>
        <v/>
      </c>
    </row>
    <row r="399" customFormat="false" ht="15" hidden="false" customHeight="true" outlineLevel="0" collapsed="false">
      <c r="A399" s="101" t="str">
        <f aca="false">IF(PLANI_LLOGARIVE!$A399="","",PLANI_LLOGARIVE!$A399)</f>
        <v/>
      </c>
      <c r="B399" s="101" t="str">
        <f aca="false">IF($A399="","",PLANI_LLOGARIVE!$B399)</f>
        <v/>
      </c>
      <c r="C399" s="101" t="str">
        <f aca="false">IFERROR(IF($A399="","",PLANI_LLOGARIVE!$J399),"")</f>
        <v/>
      </c>
    </row>
    <row r="400" customFormat="false" ht="15" hidden="false" customHeight="true" outlineLevel="0" collapsed="false">
      <c r="A400" s="101" t="str">
        <f aca="false">IF(PLANI_LLOGARIVE!$A400="","",PLANI_LLOGARIVE!$A400)</f>
        <v/>
      </c>
      <c r="B400" s="101" t="str">
        <f aca="false">IF($A400="","",PLANI_LLOGARIVE!$B400)</f>
        <v/>
      </c>
      <c r="C400" s="101" t="str">
        <f aca="false">IFERROR(IF($A400="","",PLANI_LLOGARIVE!$J400),"")</f>
        <v/>
      </c>
    </row>
    <row r="401" customFormat="false" ht="15" hidden="false" customHeight="true" outlineLevel="0" collapsed="false">
      <c r="A401" s="101" t="str">
        <f aca="false">IF(PLANI_LLOGARIVE!$A401="","",PLANI_LLOGARIVE!$A401)</f>
        <v/>
      </c>
      <c r="B401" s="101" t="str">
        <f aca="false">IF($A401="","",PLANI_LLOGARIVE!$B401)</f>
        <v/>
      </c>
      <c r="C401" s="101" t="str">
        <f aca="false">IFERROR(IF($A401="","",PLANI_LLOGARIVE!$J401),"")</f>
        <v/>
      </c>
    </row>
    <row r="402" customFormat="false" ht="15" hidden="false" customHeight="true" outlineLevel="0" collapsed="false">
      <c r="A402" s="101" t="str">
        <f aca="false">IF(PLANI_LLOGARIVE!$A402="","",PLANI_LLOGARIVE!$A402)</f>
        <v/>
      </c>
      <c r="B402" s="101" t="str">
        <f aca="false">IF($A402="","",PLANI_LLOGARIVE!$B402)</f>
        <v/>
      </c>
      <c r="C402" s="101" t="str">
        <f aca="false">IFERROR(IF($A402="","",PLANI_LLOGARIVE!$J402),"")</f>
        <v/>
      </c>
    </row>
    <row r="403" customFormat="false" ht="15" hidden="false" customHeight="true" outlineLevel="0" collapsed="false">
      <c r="A403" s="101" t="str">
        <f aca="false">IF(PLANI_LLOGARIVE!$A403="","",PLANI_LLOGARIVE!$A403)</f>
        <v/>
      </c>
      <c r="B403" s="101" t="str">
        <f aca="false">IF($A403="","",PLANI_LLOGARIVE!$B403)</f>
        <v/>
      </c>
      <c r="C403" s="101" t="str">
        <f aca="false">IFERROR(IF($A403="","",PLANI_LLOGARIVE!$J403),"")</f>
        <v/>
      </c>
    </row>
    <row r="404" customFormat="false" ht="15" hidden="false" customHeight="true" outlineLevel="0" collapsed="false">
      <c r="A404" s="101" t="str">
        <f aca="false">IF(PLANI_LLOGARIVE!$A404="","",PLANI_LLOGARIVE!$A404)</f>
        <v/>
      </c>
      <c r="B404" s="101" t="str">
        <f aca="false">IF($A404="","",PLANI_LLOGARIVE!$B404)</f>
        <v/>
      </c>
      <c r="C404" s="101" t="str">
        <f aca="false">IFERROR(IF($A404="","",PLANI_LLOGARIVE!$J404),"")</f>
        <v/>
      </c>
    </row>
    <row r="405" customFormat="false" ht="15" hidden="false" customHeight="true" outlineLevel="0" collapsed="false">
      <c r="A405" s="101" t="str">
        <f aca="false">IF(PLANI_LLOGARIVE!$A405="","",PLANI_LLOGARIVE!$A405)</f>
        <v/>
      </c>
      <c r="B405" s="101" t="str">
        <f aca="false">IF($A405="","",PLANI_LLOGARIVE!$B405)</f>
        <v/>
      </c>
      <c r="C405" s="101" t="str">
        <f aca="false">IFERROR(IF($A405="","",PLANI_LLOGARIVE!$J405),"")</f>
        <v/>
      </c>
    </row>
    <row r="406" customFormat="false" ht="15" hidden="false" customHeight="true" outlineLevel="0" collapsed="false">
      <c r="A406" s="101" t="str">
        <f aca="false">IF(PLANI_LLOGARIVE!$A406="","",PLANI_LLOGARIVE!$A406)</f>
        <v/>
      </c>
      <c r="B406" s="101" t="str">
        <f aca="false">IF($A406="","",PLANI_LLOGARIVE!$B406)</f>
        <v/>
      </c>
      <c r="C406" s="101" t="str">
        <f aca="false">IFERROR(IF($A406="","",PLANI_LLOGARIVE!$J406),"")</f>
        <v/>
      </c>
    </row>
    <row r="407" customFormat="false" ht="15" hidden="false" customHeight="true" outlineLevel="0" collapsed="false">
      <c r="A407" s="101" t="str">
        <f aca="false">IF(PLANI_LLOGARIVE!$A407="","",PLANI_LLOGARIVE!$A407)</f>
        <v/>
      </c>
      <c r="B407" s="101" t="str">
        <f aca="false">IF($A407="","",PLANI_LLOGARIVE!$B407)</f>
        <v/>
      </c>
      <c r="C407" s="101" t="str">
        <f aca="false">IFERROR(IF($A407="","",PLANI_LLOGARIVE!$J407),"")</f>
        <v/>
      </c>
    </row>
    <row r="408" customFormat="false" ht="15" hidden="false" customHeight="true" outlineLevel="0" collapsed="false">
      <c r="A408" s="101" t="str">
        <f aca="false">IF(PLANI_LLOGARIVE!$A408="","",PLANI_LLOGARIVE!$A408)</f>
        <v/>
      </c>
      <c r="B408" s="101" t="str">
        <f aca="false">IF($A408="","",PLANI_LLOGARIVE!$B408)</f>
        <v/>
      </c>
      <c r="C408" s="101" t="str">
        <f aca="false">IFERROR(IF($A408="","",PLANI_LLOGARIVE!$J408),"")</f>
        <v/>
      </c>
    </row>
    <row r="409" customFormat="false" ht="15" hidden="false" customHeight="true" outlineLevel="0" collapsed="false">
      <c r="A409" s="101" t="str">
        <f aca="false">IF(PLANI_LLOGARIVE!$A409="","",PLANI_LLOGARIVE!$A409)</f>
        <v/>
      </c>
      <c r="B409" s="101" t="str">
        <f aca="false">IF($A409="","",PLANI_LLOGARIVE!$B409)</f>
        <v/>
      </c>
      <c r="C409" s="101" t="str">
        <f aca="false">IFERROR(IF($A409="","",PLANI_LLOGARIVE!$J409),"")</f>
        <v/>
      </c>
    </row>
    <row r="410" customFormat="false" ht="15" hidden="false" customHeight="true" outlineLevel="0" collapsed="false">
      <c r="A410" s="101" t="str">
        <f aca="false">IF(PLANI_LLOGARIVE!$A410="","",PLANI_LLOGARIVE!$A410)</f>
        <v/>
      </c>
      <c r="B410" s="101" t="str">
        <f aca="false">IF($A410="","",PLANI_LLOGARIVE!$B410)</f>
        <v/>
      </c>
      <c r="C410" s="101" t="str">
        <f aca="false">IFERROR(IF($A410="","",PLANI_LLOGARIVE!$J410),"")</f>
        <v/>
      </c>
    </row>
    <row r="411" customFormat="false" ht="15" hidden="false" customHeight="true" outlineLevel="0" collapsed="false">
      <c r="A411" s="101" t="str">
        <f aca="false">IF(PLANI_LLOGARIVE!$A411="","",PLANI_LLOGARIVE!$A411)</f>
        <v/>
      </c>
      <c r="B411" s="101" t="str">
        <f aca="false">IF($A411="","",PLANI_LLOGARIVE!$B411)</f>
        <v/>
      </c>
      <c r="C411" s="101" t="str">
        <f aca="false">IFERROR(IF($A411="","",PLANI_LLOGARIVE!$J411),"")</f>
        <v/>
      </c>
    </row>
    <row r="412" customFormat="false" ht="15" hidden="false" customHeight="true" outlineLevel="0" collapsed="false">
      <c r="A412" s="101" t="str">
        <f aca="false">IF(PLANI_LLOGARIVE!$A412="","",PLANI_LLOGARIVE!$A412)</f>
        <v/>
      </c>
      <c r="B412" s="101" t="str">
        <f aca="false">IF($A412="","",PLANI_LLOGARIVE!$B412)</f>
        <v/>
      </c>
      <c r="C412" s="101" t="str">
        <f aca="false">IFERROR(IF($A412="","",PLANI_LLOGARIVE!$J412),"")</f>
        <v/>
      </c>
    </row>
    <row r="413" customFormat="false" ht="15" hidden="false" customHeight="true" outlineLevel="0" collapsed="false">
      <c r="A413" s="101" t="str">
        <f aca="false">IF(PLANI_LLOGARIVE!$A413="","",PLANI_LLOGARIVE!$A413)</f>
        <v/>
      </c>
      <c r="B413" s="101" t="str">
        <f aca="false">IF($A413="","",PLANI_LLOGARIVE!$B413)</f>
        <v/>
      </c>
      <c r="C413" s="101" t="str">
        <f aca="false">IFERROR(IF($A413="","",PLANI_LLOGARIVE!$J413),"")</f>
        <v/>
      </c>
    </row>
    <row r="414" customFormat="false" ht="15" hidden="false" customHeight="true" outlineLevel="0" collapsed="false">
      <c r="A414" s="101" t="str">
        <f aca="false">IF(PLANI_LLOGARIVE!$A414="","",PLANI_LLOGARIVE!$A414)</f>
        <v/>
      </c>
      <c r="B414" s="101" t="str">
        <f aca="false">IF($A414="","",PLANI_LLOGARIVE!$B414)</f>
        <v/>
      </c>
      <c r="C414" s="101" t="str">
        <f aca="false">IFERROR(IF($A414="","",PLANI_LLOGARIVE!$J414),"")</f>
        <v/>
      </c>
    </row>
    <row r="415" customFormat="false" ht="15" hidden="false" customHeight="true" outlineLevel="0" collapsed="false">
      <c r="A415" s="101" t="str">
        <f aca="false">IF(PLANI_LLOGARIVE!$A415="","",PLANI_LLOGARIVE!$A415)</f>
        <v/>
      </c>
      <c r="B415" s="101" t="str">
        <f aca="false">IF($A415="","",PLANI_LLOGARIVE!$B415)</f>
        <v/>
      </c>
      <c r="C415" s="101" t="str">
        <f aca="false">IFERROR(IF($A415="","",PLANI_LLOGARIVE!$J415),"")</f>
        <v/>
      </c>
    </row>
    <row r="416" customFormat="false" ht="15" hidden="false" customHeight="true" outlineLevel="0" collapsed="false">
      <c r="A416" s="101" t="str">
        <f aca="false">IF(PLANI_LLOGARIVE!$A416="","",PLANI_LLOGARIVE!$A416)</f>
        <v/>
      </c>
      <c r="B416" s="101" t="str">
        <f aca="false">IF($A416="","",PLANI_LLOGARIVE!$B416)</f>
        <v/>
      </c>
      <c r="C416" s="101" t="str">
        <f aca="false">IFERROR(IF($A416="","",PLANI_LLOGARIVE!$J416),"")</f>
        <v/>
      </c>
    </row>
    <row r="417" customFormat="false" ht="15" hidden="false" customHeight="true" outlineLevel="0" collapsed="false">
      <c r="A417" s="101" t="str">
        <f aca="false">IF(PLANI_LLOGARIVE!$A417="","",PLANI_LLOGARIVE!$A417)</f>
        <v/>
      </c>
      <c r="B417" s="101" t="str">
        <f aca="false">IF($A417="","",PLANI_LLOGARIVE!$B417)</f>
        <v/>
      </c>
      <c r="C417" s="101" t="str">
        <f aca="false">IFERROR(IF($A417="","",PLANI_LLOGARIVE!$J417),"")</f>
        <v/>
      </c>
    </row>
    <row r="418" customFormat="false" ht="15" hidden="false" customHeight="true" outlineLevel="0" collapsed="false">
      <c r="A418" s="101" t="str">
        <f aca="false">IF(PLANI_LLOGARIVE!$A418="","",PLANI_LLOGARIVE!$A418)</f>
        <v/>
      </c>
      <c r="B418" s="101" t="str">
        <f aca="false">IF($A418="","",PLANI_LLOGARIVE!$B418)</f>
        <v/>
      </c>
      <c r="C418" s="101" t="str">
        <f aca="false">IFERROR(IF($A418="","",PLANI_LLOGARIVE!$J418),"")</f>
        <v/>
      </c>
    </row>
    <row r="419" customFormat="false" ht="15" hidden="false" customHeight="true" outlineLevel="0" collapsed="false">
      <c r="A419" s="101" t="str">
        <f aca="false">IF(PLANI_LLOGARIVE!$A419="","",PLANI_LLOGARIVE!$A419)</f>
        <v/>
      </c>
      <c r="B419" s="101" t="str">
        <f aca="false">IF($A419="","",PLANI_LLOGARIVE!$B419)</f>
        <v/>
      </c>
      <c r="C419" s="101" t="str">
        <f aca="false">IFERROR(IF($A419="","",PLANI_LLOGARIVE!$J419),"")</f>
        <v/>
      </c>
    </row>
    <row r="420" customFormat="false" ht="15" hidden="false" customHeight="true" outlineLevel="0" collapsed="false">
      <c r="A420" s="101" t="str">
        <f aca="false">IF(PLANI_LLOGARIVE!$A420="","",PLANI_LLOGARIVE!$A420)</f>
        <v/>
      </c>
      <c r="B420" s="101" t="str">
        <f aca="false">IF($A420="","",PLANI_LLOGARIVE!$B420)</f>
        <v/>
      </c>
      <c r="C420" s="101" t="str">
        <f aca="false">IFERROR(IF($A420="","",PLANI_LLOGARIVE!$J420),"")</f>
        <v/>
      </c>
    </row>
    <row r="421" customFormat="false" ht="15" hidden="false" customHeight="true" outlineLevel="0" collapsed="false">
      <c r="A421" s="101" t="str">
        <f aca="false">IF(PLANI_LLOGARIVE!$A421="","",PLANI_LLOGARIVE!$A421)</f>
        <v/>
      </c>
      <c r="B421" s="101" t="str">
        <f aca="false">IF($A421="","",PLANI_LLOGARIVE!$B421)</f>
        <v/>
      </c>
      <c r="C421" s="101" t="str">
        <f aca="false">IFERROR(IF($A421="","",PLANI_LLOGARIVE!$J421),"")</f>
        <v/>
      </c>
    </row>
    <row r="422" customFormat="false" ht="15" hidden="false" customHeight="true" outlineLevel="0" collapsed="false">
      <c r="A422" s="101" t="str">
        <f aca="false">IF(PLANI_LLOGARIVE!$A422="","",PLANI_LLOGARIVE!$A422)</f>
        <v/>
      </c>
      <c r="B422" s="101" t="str">
        <f aca="false">IF($A422="","",PLANI_LLOGARIVE!$B422)</f>
        <v/>
      </c>
      <c r="C422" s="101" t="str">
        <f aca="false">IFERROR(IF($A422="","",PLANI_LLOGARIVE!$J422),"")</f>
        <v/>
      </c>
    </row>
    <row r="423" customFormat="false" ht="15" hidden="false" customHeight="true" outlineLevel="0" collapsed="false">
      <c r="A423" s="101" t="str">
        <f aca="false">IF(PLANI_LLOGARIVE!$A423="","",PLANI_LLOGARIVE!$A423)</f>
        <v/>
      </c>
      <c r="B423" s="101" t="str">
        <f aca="false">IF($A423="","",PLANI_LLOGARIVE!$B423)</f>
        <v/>
      </c>
      <c r="C423" s="101" t="str">
        <f aca="false">IFERROR(IF($A423="","",PLANI_LLOGARIVE!$J423),"")</f>
        <v/>
      </c>
    </row>
    <row r="424" customFormat="false" ht="15" hidden="false" customHeight="true" outlineLevel="0" collapsed="false">
      <c r="A424" s="101" t="str">
        <f aca="false">IF(PLANI_LLOGARIVE!$A424="","",PLANI_LLOGARIVE!$A424)</f>
        <v/>
      </c>
      <c r="B424" s="101" t="str">
        <f aca="false">IF($A424="","",PLANI_LLOGARIVE!$B424)</f>
        <v/>
      </c>
      <c r="C424" s="101" t="str">
        <f aca="false">IFERROR(IF($A424="","",PLANI_LLOGARIVE!$J424),"")</f>
        <v/>
      </c>
    </row>
    <row r="425" customFormat="false" ht="15" hidden="false" customHeight="true" outlineLevel="0" collapsed="false">
      <c r="A425" s="101" t="str">
        <f aca="false">IF(PLANI_LLOGARIVE!$A425="","",PLANI_LLOGARIVE!$A425)</f>
        <v/>
      </c>
      <c r="B425" s="101" t="str">
        <f aca="false">IF($A425="","",PLANI_LLOGARIVE!$B425)</f>
        <v/>
      </c>
      <c r="C425" s="101" t="str">
        <f aca="false">IFERROR(IF($A425="","",PLANI_LLOGARIVE!$J425),"")</f>
        <v/>
      </c>
    </row>
    <row r="426" customFormat="false" ht="15" hidden="false" customHeight="true" outlineLevel="0" collapsed="false">
      <c r="A426" s="101" t="str">
        <f aca="false">IF(PLANI_LLOGARIVE!$A426="","",PLANI_LLOGARIVE!$A426)</f>
        <v/>
      </c>
      <c r="B426" s="101" t="str">
        <f aca="false">IF($A426="","",PLANI_LLOGARIVE!$B426)</f>
        <v/>
      </c>
      <c r="C426" s="101" t="str">
        <f aca="false">IFERROR(IF($A426="","",PLANI_LLOGARIVE!$J426),"")</f>
        <v/>
      </c>
    </row>
    <row r="427" customFormat="false" ht="15" hidden="false" customHeight="true" outlineLevel="0" collapsed="false">
      <c r="A427" s="101" t="str">
        <f aca="false">IF(PLANI_LLOGARIVE!$A427="","",PLANI_LLOGARIVE!$A427)</f>
        <v/>
      </c>
      <c r="B427" s="101" t="str">
        <f aca="false">IF($A427="","",PLANI_LLOGARIVE!$B427)</f>
        <v/>
      </c>
      <c r="C427" s="101" t="str">
        <f aca="false">IFERROR(IF($A427="","",PLANI_LLOGARIVE!$J427),"")</f>
        <v/>
      </c>
    </row>
    <row r="428" customFormat="false" ht="15" hidden="false" customHeight="true" outlineLevel="0" collapsed="false">
      <c r="A428" s="101" t="str">
        <f aca="false">IF(PLANI_LLOGARIVE!$A428="","",PLANI_LLOGARIVE!$A428)</f>
        <v/>
      </c>
      <c r="B428" s="101" t="str">
        <f aca="false">IF($A428="","",PLANI_LLOGARIVE!$B428)</f>
        <v/>
      </c>
      <c r="C428" s="101" t="str">
        <f aca="false">IFERROR(IF($A428="","",PLANI_LLOGARIVE!$J428),"")</f>
        <v/>
      </c>
    </row>
    <row r="429" customFormat="false" ht="15" hidden="false" customHeight="true" outlineLevel="0" collapsed="false">
      <c r="A429" s="101" t="str">
        <f aca="false">IF(PLANI_LLOGARIVE!$A429="","",PLANI_LLOGARIVE!$A429)</f>
        <v/>
      </c>
      <c r="B429" s="101" t="str">
        <f aca="false">IF($A429="","",PLANI_LLOGARIVE!$B429)</f>
        <v/>
      </c>
      <c r="C429" s="101" t="str">
        <f aca="false">IFERROR(IF($A429="","",PLANI_LLOGARIVE!$J429),"")</f>
        <v/>
      </c>
    </row>
    <row r="430" customFormat="false" ht="15" hidden="false" customHeight="true" outlineLevel="0" collapsed="false">
      <c r="A430" s="101" t="str">
        <f aca="false">IF(PLANI_LLOGARIVE!$A430="","",PLANI_LLOGARIVE!$A430)</f>
        <v/>
      </c>
      <c r="B430" s="101" t="str">
        <f aca="false">IF($A430="","",PLANI_LLOGARIVE!$B430)</f>
        <v/>
      </c>
      <c r="C430" s="101" t="str">
        <f aca="false">IFERROR(IF($A430="","",PLANI_LLOGARIVE!$J430),"")</f>
        <v/>
      </c>
    </row>
    <row r="431" customFormat="false" ht="15" hidden="false" customHeight="true" outlineLevel="0" collapsed="false">
      <c r="A431" s="101" t="str">
        <f aca="false">IF(PLANI_LLOGARIVE!$A431="","",PLANI_LLOGARIVE!$A431)</f>
        <v/>
      </c>
      <c r="B431" s="101" t="str">
        <f aca="false">IF($A431="","",PLANI_LLOGARIVE!$B431)</f>
        <v/>
      </c>
      <c r="C431" s="101" t="str">
        <f aca="false">IFERROR(IF($A431="","",PLANI_LLOGARIVE!$J431),"")</f>
        <v/>
      </c>
    </row>
    <row r="432" customFormat="false" ht="15" hidden="false" customHeight="true" outlineLevel="0" collapsed="false">
      <c r="A432" s="101" t="str">
        <f aca="false">IF(PLANI_LLOGARIVE!$A432="","",PLANI_LLOGARIVE!$A432)</f>
        <v/>
      </c>
      <c r="B432" s="101" t="str">
        <f aca="false">IF($A432="","",PLANI_LLOGARIVE!$B432)</f>
        <v/>
      </c>
      <c r="C432" s="101" t="str">
        <f aca="false">IFERROR(IF($A432="","",PLANI_LLOGARIVE!$J432),"")</f>
        <v/>
      </c>
    </row>
    <row r="433" customFormat="false" ht="15" hidden="false" customHeight="true" outlineLevel="0" collapsed="false">
      <c r="A433" s="101" t="str">
        <f aca="false">IF(PLANI_LLOGARIVE!$A433="","",PLANI_LLOGARIVE!$A433)</f>
        <v/>
      </c>
      <c r="B433" s="101" t="str">
        <f aca="false">IF($A433="","",PLANI_LLOGARIVE!$B433)</f>
        <v/>
      </c>
      <c r="C433" s="101" t="str">
        <f aca="false">IFERROR(IF($A433="","",PLANI_LLOGARIVE!$J433),"")</f>
        <v/>
      </c>
    </row>
    <row r="434" customFormat="false" ht="15" hidden="false" customHeight="true" outlineLevel="0" collapsed="false">
      <c r="A434" s="101" t="str">
        <f aca="false">IF(PLANI_LLOGARIVE!$A434="","",PLANI_LLOGARIVE!$A434)</f>
        <v/>
      </c>
      <c r="B434" s="101" t="str">
        <f aca="false">IF($A434="","",PLANI_LLOGARIVE!$B434)</f>
        <v/>
      </c>
      <c r="C434" s="101" t="str">
        <f aca="false">IFERROR(IF($A434="","",PLANI_LLOGARIVE!$J434),"")</f>
        <v/>
      </c>
    </row>
    <row r="435" customFormat="false" ht="15" hidden="false" customHeight="true" outlineLevel="0" collapsed="false">
      <c r="A435" s="101" t="str">
        <f aca="false">IF(PLANI_LLOGARIVE!$A435="","",PLANI_LLOGARIVE!$A435)</f>
        <v/>
      </c>
      <c r="B435" s="101" t="str">
        <f aca="false">IF($A435="","",PLANI_LLOGARIVE!$B435)</f>
        <v/>
      </c>
      <c r="C435" s="101" t="str">
        <f aca="false">IFERROR(IF($A435="","",PLANI_LLOGARIVE!$J435),"")</f>
        <v/>
      </c>
    </row>
    <row r="436" customFormat="false" ht="15" hidden="false" customHeight="true" outlineLevel="0" collapsed="false">
      <c r="A436" s="101" t="str">
        <f aca="false">IF(PLANI_LLOGARIVE!$A436="","",PLANI_LLOGARIVE!$A436)</f>
        <v/>
      </c>
      <c r="B436" s="101" t="str">
        <f aca="false">IF($A436="","",PLANI_LLOGARIVE!$B436)</f>
        <v/>
      </c>
      <c r="C436" s="101" t="str">
        <f aca="false">IFERROR(IF($A436="","",PLANI_LLOGARIVE!$J436),"")</f>
        <v/>
      </c>
    </row>
    <row r="437" customFormat="false" ht="15" hidden="false" customHeight="true" outlineLevel="0" collapsed="false">
      <c r="A437" s="101" t="str">
        <f aca="false">IF(PLANI_LLOGARIVE!$A437="","",PLANI_LLOGARIVE!$A437)</f>
        <v/>
      </c>
      <c r="B437" s="101" t="str">
        <f aca="false">IF($A437="","",PLANI_LLOGARIVE!$B437)</f>
        <v/>
      </c>
      <c r="C437" s="101" t="str">
        <f aca="false">IFERROR(IF($A437="","",PLANI_LLOGARIVE!$J437),"")</f>
        <v/>
      </c>
    </row>
    <row r="438" customFormat="false" ht="15" hidden="false" customHeight="true" outlineLevel="0" collapsed="false">
      <c r="A438" s="101" t="str">
        <f aca="false">IF(PLANI_LLOGARIVE!$A438="","",PLANI_LLOGARIVE!$A438)</f>
        <v/>
      </c>
      <c r="B438" s="101" t="str">
        <f aca="false">IF($A438="","",PLANI_LLOGARIVE!$B438)</f>
        <v/>
      </c>
      <c r="C438" s="101" t="str">
        <f aca="false">IFERROR(IF($A438="","",PLANI_LLOGARIVE!$J438),"")</f>
        <v/>
      </c>
    </row>
    <row r="439" customFormat="false" ht="15" hidden="false" customHeight="true" outlineLevel="0" collapsed="false">
      <c r="A439" s="101" t="str">
        <f aca="false">IF(PLANI_LLOGARIVE!$A439="","",PLANI_LLOGARIVE!$A439)</f>
        <v/>
      </c>
      <c r="B439" s="101" t="str">
        <f aca="false">IF($A439="","",PLANI_LLOGARIVE!$B439)</f>
        <v/>
      </c>
      <c r="C439" s="101" t="str">
        <f aca="false">IFERROR(IF($A439="","",PLANI_LLOGARIVE!$J439),"")</f>
        <v/>
      </c>
    </row>
    <row r="440" customFormat="false" ht="15" hidden="false" customHeight="true" outlineLevel="0" collapsed="false">
      <c r="A440" s="101" t="str">
        <f aca="false">IF(PLANI_LLOGARIVE!$A440="","",PLANI_LLOGARIVE!$A440)</f>
        <v/>
      </c>
      <c r="B440" s="101" t="str">
        <f aca="false">IF($A440="","",PLANI_LLOGARIVE!$B440)</f>
        <v/>
      </c>
      <c r="C440" s="101" t="str">
        <f aca="false">IFERROR(IF($A440="","",PLANI_LLOGARIVE!$J440),"")</f>
        <v/>
      </c>
    </row>
    <row r="441" customFormat="false" ht="15" hidden="false" customHeight="true" outlineLevel="0" collapsed="false">
      <c r="A441" s="101" t="str">
        <f aca="false">IF(PLANI_LLOGARIVE!$A441="","",PLANI_LLOGARIVE!$A441)</f>
        <v/>
      </c>
      <c r="B441" s="101" t="str">
        <f aca="false">IF($A441="","",PLANI_LLOGARIVE!$B441)</f>
        <v/>
      </c>
      <c r="C441" s="101" t="str">
        <f aca="false">IFERROR(IF($A441="","",PLANI_LLOGARIVE!$J441),"")</f>
        <v/>
      </c>
    </row>
    <row r="442" customFormat="false" ht="15" hidden="false" customHeight="true" outlineLevel="0" collapsed="false">
      <c r="A442" s="101" t="str">
        <f aca="false">IF(PLANI_LLOGARIVE!$A442="","",PLANI_LLOGARIVE!$A442)</f>
        <v/>
      </c>
      <c r="B442" s="101" t="str">
        <f aca="false">IF($A442="","",PLANI_LLOGARIVE!$B442)</f>
        <v/>
      </c>
      <c r="C442" s="101" t="str">
        <f aca="false">IFERROR(IF($A442="","",PLANI_LLOGARIVE!$J442),"")</f>
        <v/>
      </c>
    </row>
    <row r="443" customFormat="false" ht="15" hidden="false" customHeight="true" outlineLevel="0" collapsed="false">
      <c r="A443" s="101" t="str">
        <f aca="false">IF(PLANI_LLOGARIVE!$A443="","",PLANI_LLOGARIVE!$A443)</f>
        <v/>
      </c>
      <c r="B443" s="101" t="str">
        <f aca="false">IF($A443="","",PLANI_LLOGARIVE!$B443)</f>
        <v/>
      </c>
      <c r="C443" s="101" t="str">
        <f aca="false">IFERROR(IF($A443="","",PLANI_LLOGARIVE!$J443),"")</f>
        <v/>
      </c>
    </row>
    <row r="444" customFormat="false" ht="15" hidden="false" customHeight="true" outlineLevel="0" collapsed="false">
      <c r="A444" s="101" t="str">
        <f aca="false">IF(PLANI_LLOGARIVE!$A444="","",PLANI_LLOGARIVE!$A444)</f>
        <v/>
      </c>
      <c r="B444" s="101" t="str">
        <f aca="false">IF($A444="","",PLANI_LLOGARIVE!$B444)</f>
        <v/>
      </c>
      <c r="C444" s="101" t="str">
        <f aca="false">IFERROR(IF($A444="","",PLANI_LLOGARIVE!$J444),"")</f>
        <v/>
      </c>
    </row>
    <row r="445" customFormat="false" ht="15" hidden="false" customHeight="true" outlineLevel="0" collapsed="false">
      <c r="A445" s="101" t="str">
        <f aca="false">IF(PLANI_LLOGARIVE!$A445="","",PLANI_LLOGARIVE!$A445)</f>
        <v/>
      </c>
      <c r="B445" s="101" t="str">
        <f aca="false">IF($A445="","",PLANI_LLOGARIVE!$B445)</f>
        <v/>
      </c>
      <c r="C445" s="101" t="str">
        <f aca="false">IFERROR(IF($A445="","",PLANI_LLOGARIVE!$J445),"")</f>
        <v/>
      </c>
    </row>
    <row r="446" customFormat="false" ht="15" hidden="false" customHeight="true" outlineLevel="0" collapsed="false">
      <c r="A446" s="101" t="str">
        <f aca="false">IF(PLANI_LLOGARIVE!$A446="","",PLANI_LLOGARIVE!$A446)</f>
        <v/>
      </c>
      <c r="B446" s="101" t="str">
        <f aca="false">IF($A446="","",PLANI_LLOGARIVE!$B446)</f>
        <v/>
      </c>
      <c r="C446" s="101" t="str">
        <f aca="false">IFERROR(IF($A446="","",PLANI_LLOGARIVE!$J446),"")</f>
        <v/>
      </c>
    </row>
    <row r="447" customFormat="false" ht="15" hidden="false" customHeight="true" outlineLevel="0" collapsed="false">
      <c r="A447" s="101" t="str">
        <f aca="false">IF(PLANI_LLOGARIVE!$A447="","",PLANI_LLOGARIVE!$A447)</f>
        <v/>
      </c>
      <c r="B447" s="101" t="str">
        <f aca="false">IF($A447="","",PLANI_LLOGARIVE!$B447)</f>
        <v/>
      </c>
      <c r="C447" s="101" t="str">
        <f aca="false">IFERROR(IF($A447="","",PLANI_LLOGARIVE!$J447),"")</f>
        <v/>
      </c>
    </row>
    <row r="448" customFormat="false" ht="15" hidden="false" customHeight="true" outlineLevel="0" collapsed="false">
      <c r="A448" s="101" t="str">
        <f aca="false">IF(PLANI_LLOGARIVE!$A448="","",PLANI_LLOGARIVE!$A448)</f>
        <v/>
      </c>
      <c r="B448" s="101" t="str">
        <f aca="false">IF($A448="","",PLANI_LLOGARIVE!$B448)</f>
        <v/>
      </c>
      <c r="C448" s="101" t="str">
        <f aca="false">IFERROR(IF($A448="","",PLANI_LLOGARIVE!$J448),"")</f>
        <v/>
      </c>
    </row>
    <row r="449" customFormat="false" ht="15" hidden="false" customHeight="true" outlineLevel="0" collapsed="false">
      <c r="A449" s="101" t="str">
        <f aca="false">IF(PLANI_LLOGARIVE!$A449="","",PLANI_LLOGARIVE!$A449)</f>
        <v/>
      </c>
      <c r="B449" s="101" t="str">
        <f aca="false">IF($A449="","",PLANI_LLOGARIVE!$B449)</f>
        <v/>
      </c>
      <c r="C449" s="101" t="str">
        <f aca="false">IFERROR(IF($A449="","",PLANI_LLOGARIVE!$J449),"")</f>
        <v/>
      </c>
    </row>
    <row r="450" customFormat="false" ht="15" hidden="false" customHeight="true" outlineLevel="0" collapsed="false">
      <c r="A450" s="101" t="str">
        <f aca="false">IF(PLANI_LLOGARIVE!$A450="","",PLANI_LLOGARIVE!$A450)</f>
        <v/>
      </c>
      <c r="B450" s="101" t="str">
        <f aca="false">IF($A450="","",PLANI_LLOGARIVE!$B450)</f>
        <v/>
      </c>
      <c r="C450" s="101" t="str">
        <f aca="false">IFERROR(IF($A450="","",PLANI_LLOGARIVE!$J450),"")</f>
        <v/>
      </c>
    </row>
    <row r="451" customFormat="false" ht="15" hidden="false" customHeight="true" outlineLevel="0" collapsed="false">
      <c r="A451" s="101" t="str">
        <f aca="false">IF(PLANI_LLOGARIVE!$A451="","",PLANI_LLOGARIVE!$A451)</f>
        <v/>
      </c>
      <c r="B451" s="101" t="str">
        <f aca="false">IF($A451="","",PLANI_LLOGARIVE!$B451)</f>
        <v/>
      </c>
      <c r="C451" s="101" t="str">
        <f aca="false">IFERROR(IF($A451="","",PLANI_LLOGARIVE!$J451),"")</f>
        <v/>
      </c>
    </row>
    <row r="452" customFormat="false" ht="15" hidden="false" customHeight="true" outlineLevel="0" collapsed="false">
      <c r="A452" s="101" t="str">
        <f aca="false">IF(PLANI_LLOGARIVE!$A452="","",PLANI_LLOGARIVE!$A452)</f>
        <v/>
      </c>
      <c r="B452" s="101" t="str">
        <f aca="false">IF($A452="","",PLANI_LLOGARIVE!$B452)</f>
        <v/>
      </c>
      <c r="C452" s="101" t="str">
        <f aca="false">IFERROR(IF($A452="","",PLANI_LLOGARIVE!$J452),"")</f>
        <v/>
      </c>
    </row>
    <row r="453" customFormat="false" ht="15" hidden="false" customHeight="true" outlineLevel="0" collapsed="false">
      <c r="A453" s="101" t="str">
        <f aca="false">IF(PLANI_LLOGARIVE!$A453="","",PLANI_LLOGARIVE!$A453)</f>
        <v/>
      </c>
      <c r="B453" s="101" t="str">
        <f aca="false">IF($A453="","",PLANI_LLOGARIVE!$B453)</f>
        <v/>
      </c>
      <c r="C453" s="101" t="str">
        <f aca="false">IFERROR(IF($A453="","",PLANI_LLOGARIVE!$J453),"")</f>
        <v/>
      </c>
    </row>
    <row r="454" customFormat="false" ht="15" hidden="false" customHeight="true" outlineLevel="0" collapsed="false">
      <c r="A454" s="101" t="str">
        <f aca="false">IF(PLANI_LLOGARIVE!$A454="","",PLANI_LLOGARIVE!$A454)</f>
        <v/>
      </c>
      <c r="B454" s="101" t="str">
        <f aca="false">IF($A454="","",PLANI_LLOGARIVE!$B454)</f>
        <v/>
      </c>
      <c r="C454" s="101" t="str">
        <f aca="false">IFERROR(IF($A454="","",PLANI_LLOGARIVE!$J454),"")</f>
        <v/>
      </c>
    </row>
    <row r="455" customFormat="false" ht="15" hidden="false" customHeight="true" outlineLevel="0" collapsed="false">
      <c r="A455" s="101" t="str">
        <f aca="false">IF(PLANI_LLOGARIVE!$A455="","",PLANI_LLOGARIVE!$A455)</f>
        <v/>
      </c>
      <c r="B455" s="101" t="str">
        <f aca="false">IF($A455="","",PLANI_LLOGARIVE!$B455)</f>
        <v/>
      </c>
      <c r="C455" s="101" t="str">
        <f aca="false">IFERROR(IF($A455="","",PLANI_LLOGARIVE!$J455),"")</f>
        <v/>
      </c>
    </row>
    <row r="456" customFormat="false" ht="15" hidden="false" customHeight="true" outlineLevel="0" collapsed="false">
      <c r="A456" s="101" t="str">
        <f aca="false">IF(PLANI_LLOGARIVE!$A456="","",PLANI_LLOGARIVE!$A456)</f>
        <v/>
      </c>
      <c r="B456" s="101" t="str">
        <f aca="false">IF($A456="","",PLANI_LLOGARIVE!$B456)</f>
        <v/>
      </c>
      <c r="C456" s="101" t="str">
        <f aca="false">IFERROR(IF($A456="","",PLANI_LLOGARIVE!$J456),"")</f>
        <v/>
      </c>
    </row>
    <row r="457" customFormat="false" ht="15" hidden="false" customHeight="true" outlineLevel="0" collapsed="false">
      <c r="A457" s="101" t="str">
        <f aca="false">IF(PLANI_LLOGARIVE!$A457="","",PLANI_LLOGARIVE!$A457)</f>
        <v/>
      </c>
      <c r="B457" s="101" t="str">
        <f aca="false">IF($A457="","",PLANI_LLOGARIVE!$B457)</f>
        <v/>
      </c>
      <c r="C457" s="101" t="str">
        <f aca="false">IFERROR(IF($A457="","",PLANI_LLOGARIVE!$J457),"")</f>
        <v/>
      </c>
    </row>
    <row r="458" customFormat="false" ht="15" hidden="false" customHeight="true" outlineLevel="0" collapsed="false">
      <c r="A458" s="101" t="str">
        <f aca="false">IF(PLANI_LLOGARIVE!$A458="","",PLANI_LLOGARIVE!$A458)</f>
        <v/>
      </c>
      <c r="B458" s="101" t="str">
        <f aca="false">IF($A458="","",PLANI_LLOGARIVE!$B458)</f>
        <v/>
      </c>
      <c r="C458" s="101" t="str">
        <f aca="false">IFERROR(IF($A458="","",PLANI_LLOGARIVE!$J458),"")</f>
        <v/>
      </c>
    </row>
    <row r="459" customFormat="false" ht="15" hidden="false" customHeight="true" outlineLevel="0" collapsed="false">
      <c r="A459" s="101" t="str">
        <f aca="false">IF(PLANI_LLOGARIVE!$A459="","",PLANI_LLOGARIVE!$A459)</f>
        <v/>
      </c>
      <c r="B459" s="101" t="str">
        <f aca="false">IF($A459="","",PLANI_LLOGARIVE!$B459)</f>
        <v/>
      </c>
      <c r="C459" s="101" t="str">
        <f aca="false">IFERROR(IF($A459="","",PLANI_LLOGARIVE!$J459),"")</f>
        <v/>
      </c>
    </row>
    <row r="460" customFormat="false" ht="15" hidden="false" customHeight="true" outlineLevel="0" collapsed="false">
      <c r="A460" s="101" t="str">
        <f aca="false">IF(PLANI_LLOGARIVE!$A460="","",PLANI_LLOGARIVE!$A460)</f>
        <v/>
      </c>
      <c r="B460" s="101" t="str">
        <f aca="false">IF($A460="","",PLANI_LLOGARIVE!$B460)</f>
        <v/>
      </c>
      <c r="C460" s="101" t="str">
        <f aca="false">IFERROR(IF($A460="","",PLANI_LLOGARIVE!$J460),"")</f>
        <v/>
      </c>
    </row>
    <row r="461" customFormat="false" ht="15" hidden="false" customHeight="true" outlineLevel="0" collapsed="false">
      <c r="A461" s="101" t="str">
        <f aca="false">IF(PLANI_LLOGARIVE!$A461="","",PLANI_LLOGARIVE!$A461)</f>
        <v/>
      </c>
      <c r="B461" s="101" t="str">
        <f aca="false">IF($A461="","",PLANI_LLOGARIVE!$B461)</f>
        <v/>
      </c>
      <c r="C461" s="101" t="str">
        <f aca="false">IFERROR(IF($A461="","",PLANI_LLOGARIVE!$J461),"")</f>
        <v/>
      </c>
    </row>
    <row r="462" customFormat="false" ht="15" hidden="false" customHeight="true" outlineLevel="0" collapsed="false">
      <c r="A462" s="101" t="str">
        <f aca="false">IF(PLANI_LLOGARIVE!$A462="","",PLANI_LLOGARIVE!$A462)</f>
        <v/>
      </c>
      <c r="B462" s="101" t="str">
        <f aca="false">IF($A462="","",PLANI_LLOGARIVE!$B462)</f>
        <v/>
      </c>
      <c r="C462" s="101" t="str">
        <f aca="false">IFERROR(IF($A462="","",PLANI_LLOGARIVE!$J462),"")</f>
        <v/>
      </c>
    </row>
    <row r="463" customFormat="false" ht="15" hidden="false" customHeight="true" outlineLevel="0" collapsed="false">
      <c r="A463" s="101" t="str">
        <f aca="false">IF(PLANI_LLOGARIVE!$A463="","",PLANI_LLOGARIVE!$A463)</f>
        <v/>
      </c>
      <c r="B463" s="101" t="str">
        <f aca="false">IF($A463="","",PLANI_LLOGARIVE!$B463)</f>
        <v/>
      </c>
      <c r="C463" s="101" t="str">
        <f aca="false">IFERROR(IF($A463="","",PLANI_LLOGARIVE!$J463),"")</f>
        <v/>
      </c>
    </row>
    <row r="464" customFormat="false" ht="15" hidden="false" customHeight="true" outlineLevel="0" collapsed="false">
      <c r="A464" s="101" t="str">
        <f aca="false">IF(PLANI_LLOGARIVE!$A464="","",PLANI_LLOGARIVE!$A464)</f>
        <v/>
      </c>
      <c r="B464" s="101" t="str">
        <f aca="false">IF($A464="","",PLANI_LLOGARIVE!$B464)</f>
        <v/>
      </c>
      <c r="C464" s="101" t="str">
        <f aca="false">IFERROR(IF($A464="","",PLANI_LLOGARIVE!$J464),"")</f>
        <v/>
      </c>
    </row>
    <row r="465" customFormat="false" ht="15" hidden="false" customHeight="true" outlineLevel="0" collapsed="false">
      <c r="A465" s="101" t="str">
        <f aca="false">IF(PLANI_LLOGARIVE!$A465="","",PLANI_LLOGARIVE!$A465)</f>
        <v/>
      </c>
      <c r="B465" s="101" t="str">
        <f aca="false">IF($A465="","",PLANI_LLOGARIVE!$B465)</f>
        <v/>
      </c>
      <c r="C465" s="101" t="str">
        <f aca="false">IFERROR(IF($A465="","",PLANI_LLOGARIVE!$J465),"")</f>
        <v/>
      </c>
    </row>
    <row r="466" customFormat="false" ht="15" hidden="false" customHeight="true" outlineLevel="0" collapsed="false">
      <c r="A466" s="101" t="str">
        <f aca="false">IF(PLANI_LLOGARIVE!$A466="","",PLANI_LLOGARIVE!$A466)</f>
        <v/>
      </c>
      <c r="B466" s="101" t="str">
        <f aca="false">IF($A466="","",PLANI_LLOGARIVE!$B466)</f>
        <v/>
      </c>
      <c r="C466" s="101" t="str">
        <f aca="false">IFERROR(IF($A466="","",PLANI_LLOGARIVE!$J466),"")</f>
        <v/>
      </c>
    </row>
    <row r="467" customFormat="false" ht="15" hidden="false" customHeight="true" outlineLevel="0" collapsed="false">
      <c r="A467" s="101" t="str">
        <f aca="false">IF(PLANI_LLOGARIVE!$A467="","",PLANI_LLOGARIVE!$A467)</f>
        <v/>
      </c>
      <c r="B467" s="101" t="str">
        <f aca="false">IF($A467="","",PLANI_LLOGARIVE!$B467)</f>
        <v/>
      </c>
      <c r="C467" s="101" t="str">
        <f aca="false">IFERROR(IF($A467="","",PLANI_LLOGARIVE!$J467),"")</f>
        <v/>
      </c>
    </row>
    <row r="468" customFormat="false" ht="15" hidden="false" customHeight="true" outlineLevel="0" collapsed="false">
      <c r="A468" s="101" t="str">
        <f aca="false">IF(PLANI_LLOGARIVE!$A468="","",PLANI_LLOGARIVE!$A468)</f>
        <v/>
      </c>
      <c r="B468" s="101" t="str">
        <f aca="false">IF($A468="","",PLANI_LLOGARIVE!$B468)</f>
        <v/>
      </c>
      <c r="C468" s="101" t="str">
        <f aca="false">IFERROR(IF($A468="","",PLANI_LLOGARIVE!$J468),"")</f>
        <v/>
      </c>
    </row>
    <row r="469" customFormat="false" ht="15" hidden="false" customHeight="true" outlineLevel="0" collapsed="false">
      <c r="A469" s="101" t="str">
        <f aca="false">IF(PLANI_LLOGARIVE!$A469="","",PLANI_LLOGARIVE!$A469)</f>
        <v/>
      </c>
      <c r="B469" s="101" t="str">
        <f aca="false">IF($A469="","",PLANI_LLOGARIVE!$B469)</f>
        <v/>
      </c>
      <c r="C469" s="101" t="str">
        <f aca="false">IFERROR(IF($A469="","",PLANI_LLOGARIVE!$J469),"")</f>
        <v/>
      </c>
    </row>
    <row r="470" customFormat="false" ht="15" hidden="false" customHeight="true" outlineLevel="0" collapsed="false">
      <c r="A470" s="101" t="str">
        <f aca="false">IF(PLANI_LLOGARIVE!$A470="","",PLANI_LLOGARIVE!$A470)</f>
        <v/>
      </c>
      <c r="B470" s="101" t="str">
        <f aca="false">IF($A470="","",PLANI_LLOGARIVE!$B470)</f>
        <v/>
      </c>
      <c r="C470" s="101" t="str">
        <f aca="false">IFERROR(IF($A470="","",PLANI_LLOGARIVE!$J470),"")</f>
        <v/>
      </c>
    </row>
    <row r="471" customFormat="false" ht="15" hidden="false" customHeight="true" outlineLevel="0" collapsed="false">
      <c r="A471" s="101" t="str">
        <f aca="false">IF(PLANI_LLOGARIVE!$A471="","",PLANI_LLOGARIVE!$A471)</f>
        <v/>
      </c>
      <c r="B471" s="101" t="str">
        <f aca="false">IF($A471="","",PLANI_LLOGARIVE!$B471)</f>
        <v/>
      </c>
      <c r="C471" s="101" t="str">
        <f aca="false">IFERROR(IF($A471="","",PLANI_LLOGARIVE!$J471),"")</f>
        <v/>
      </c>
    </row>
    <row r="472" customFormat="false" ht="15" hidden="false" customHeight="true" outlineLevel="0" collapsed="false">
      <c r="A472" s="101" t="str">
        <f aca="false">IF(PLANI_LLOGARIVE!$A472="","",PLANI_LLOGARIVE!$A472)</f>
        <v/>
      </c>
      <c r="B472" s="101" t="str">
        <f aca="false">IF($A472="","",PLANI_LLOGARIVE!$B472)</f>
        <v/>
      </c>
      <c r="C472" s="101" t="str">
        <f aca="false">IFERROR(IF($A472="","",PLANI_LLOGARIVE!$J472),"")</f>
        <v/>
      </c>
    </row>
    <row r="473" customFormat="false" ht="15" hidden="false" customHeight="true" outlineLevel="0" collapsed="false">
      <c r="A473" s="101" t="str">
        <f aca="false">IF(PLANI_LLOGARIVE!$A473="","",PLANI_LLOGARIVE!$A473)</f>
        <v/>
      </c>
      <c r="B473" s="101" t="str">
        <f aca="false">IF($A473="","",PLANI_LLOGARIVE!$B473)</f>
        <v/>
      </c>
      <c r="C473" s="101" t="str">
        <f aca="false">IFERROR(IF($A473="","",PLANI_LLOGARIVE!$J473),"")</f>
        <v/>
      </c>
    </row>
    <row r="474" customFormat="false" ht="15" hidden="false" customHeight="true" outlineLevel="0" collapsed="false">
      <c r="A474" s="101" t="str">
        <f aca="false">IF(PLANI_LLOGARIVE!$A474="","",PLANI_LLOGARIVE!$A474)</f>
        <v/>
      </c>
      <c r="B474" s="101" t="str">
        <f aca="false">IF($A474="","",PLANI_LLOGARIVE!$B474)</f>
        <v/>
      </c>
      <c r="C474" s="101" t="str">
        <f aca="false">IFERROR(IF($A474="","",PLANI_LLOGARIVE!$J474),"")</f>
        <v/>
      </c>
    </row>
    <row r="475" customFormat="false" ht="15" hidden="false" customHeight="true" outlineLevel="0" collapsed="false">
      <c r="A475" s="101" t="str">
        <f aca="false">IF(PLANI_LLOGARIVE!$A475="","",PLANI_LLOGARIVE!$A475)</f>
        <v/>
      </c>
      <c r="B475" s="101" t="str">
        <f aca="false">IF($A475="","",PLANI_LLOGARIVE!$B475)</f>
        <v/>
      </c>
      <c r="C475" s="101" t="str">
        <f aca="false">IFERROR(IF($A475="","",PLANI_LLOGARIVE!$J475),"")</f>
        <v/>
      </c>
    </row>
    <row r="476" customFormat="false" ht="15" hidden="false" customHeight="true" outlineLevel="0" collapsed="false">
      <c r="A476" s="101" t="str">
        <f aca="false">IF(PLANI_LLOGARIVE!$A476="","",PLANI_LLOGARIVE!$A476)</f>
        <v/>
      </c>
      <c r="B476" s="101" t="str">
        <f aca="false">IF($A476="","",PLANI_LLOGARIVE!$B476)</f>
        <v/>
      </c>
      <c r="C476" s="101" t="str">
        <f aca="false">IFERROR(IF($A476="","",PLANI_LLOGARIVE!$J476),"")</f>
        <v/>
      </c>
    </row>
    <row r="477" customFormat="false" ht="15" hidden="false" customHeight="true" outlineLevel="0" collapsed="false">
      <c r="A477" s="101" t="str">
        <f aca="false">IF(PLANI_LLOGARIVE!$A477="","",PLANI_LLOGARIVE!$A477)</f>
        <v/>
      </c>
      <c r="B477" s="101" t="str">
        <f aca="false">IF($A477="","",PLANI_LLOGARIVE!$B477)</f>
        <v/>
      </c>
      <c r="C477" s="101" t="str">
        <f aca="false">IFERROR(IF($A477="","",PLANI_LLOGARIVE!$J477),"")</f>
        <v/>
      </c>
    </row>
    <row r="478" customFormat="false" ht="15" hidden="false" customHeight="true" outlineLevel="0" collapsed="false">
      <c r="A478" s="101" t="str">
        <f aca="false">IF(PLANI_LLOGARIVE!$A478="","",PLANI_LLOGARIVE!$A478)</f>
        <v/>
      </c>
      <c r="B478" s="101" t="str">
        <f aca="false">IF($A478="","",PLANI_LLOGARIVE!$B478)</f>
        <v/>
      </c>
      <c r="C478" s="101" t="str">
        <f aca="false">IFERROR(IF($A478="","",PLANI_LLOGARIVE!$J478),"")</f>
        <v/>
      </c>
    </row>
    <row r="479" customFormat="false" ht="15" hidden="false" customHeight="true" outlineLevel="0" collapsed="false">
      <c r="A479" s="101" t="str">
        <f aca="false">IF(PLANI_LLOGARIVE!$A479="","",PLANI_LLOGARIVE!$A479)</f>
        <v/>
      </c>
      <c r="B479" s="101" t="str">
        <f aca="false">IF($A479="","",PLANI_LLOGARIVE!$B479)</f>
        <v/>
      </c>
      <c r="C479" s="101" t="str">
        <f aca="false">IFERROR(IF($A479="","",PLANI_LLOGARIVE!$J479),"")</f>
        <v/>
      </c>
    </row>
    <row r="480" customFormat="false" ht="15" hidden="false" customHeight="true" outlineLevel="0" collapsed="false">
      <c r="A480" s="101" t="str">
        <f aca="false">IF(PLANI_LLOGARIVE!$A480="","",PLANI_LLOGARIVE!$A480)</f>
        <v/>
      </c>
      <c r="B480" s="101" t="str">
        <f aca="false">IF($A480="","",PLANI_LLOGARIVE!$B480)</f>
        <v/>
      </c>
      <c r="C480" s="101" t="str">
        <f aca="false">IFERROR(IF($A480="","",PLANI_LLOGARIVE!$J480),"")</f>
        <v/>
      </c>
    </row>
    <row r="481" customFormat="false" ht="15" hidden="false" customHeight="true" outlineLevel="0" collapsed="false">
      <c r="A481" s="101" t="str">
        <f aca="false">IF(PLANI_LLOGARIVE!$A481="","",PLANI_LLOGARIVE!$A481)</f>
        <v/>
      </c>
      <c r="B481" s="101" t="str">
        <f aca="false">IF($A481="","",PLANI_LLOGARIVE!$B481)</f>
        <v/>
      </c>
      <c r="C481" s="101" t="str">
        <f aca="false">IFERROR(IF($A481="","",PLANI_LLOGARIVE!$J481),"")</f>
        <v/>
      </c>
    </row>
    <row r="482" customFormat="false" ht="15" hidden="false" customHeight="true" outlineLevel="0" collapsed="false">
      <c r="A482" s="101" t="str">
        <f aca="false">IF(PLANI_LLOGARIVE!$A482="","",PLANI_LLOGARIVE!$A482)</f>
        <v/>
      </c>
      <c r="B482" s="101" t="str">
        <f aca="false">IF($A482="","",PLANI_LLOGARIVE!$B482)</f>
        <v/>
      </c>
      <c r="C482" s="101" t="str">
        <f aca="false">IFERROR(IF($A482="","",PLANI_LLOGARIVE!$J482),"")</f>
        <v/>
      </c>
    </row>
    <row r="483" customFormat="false" ht="15" hidden="false" customHeight="true" outlineLevel="0" collapsed="false">
      <c r="A483" s="101" t="str">
        <f aca="false">IF(PLANI_LLOGARIVE!$A483="","",PLANI_LLOGARIVE!$A483)</f>
        <v/>
      </c>
      <c r="B483" s="101" t="str">
        <f aca="false">IF($A483="","",PLANI_LLOGARIVE!$B483)</f>
        <v/>
      </c>
      <c r="C483" s="101" t="str">
        <f aca="false">IFERROR(IF($A483="","",PLANI_LLOGARIVE!$J483),"")</f>
        <v/>
      </c>
    </row>
    <row r="484" customFormat="false" ht="15" hidden="false" customHeight="true" outlineLevel="0" collapsed="false">
      <c r="A484" s="101" t="str">
        <f aca="false">IF(PLANI_LLOGARIVE!$A484="","",PLANI_LLOGARIVE!$A484)</f>
        <v/>
      </c>
      <c r="B484" s="101" t="str">
        <f aca="false">IF($A484="","",PLANI_LLOGARIVE!$B484)</f>
        <v/>
      </c>
      <c r="C484" s="101" t="str">
        <f aca="false">IFERROR(IF($A484="","",PLANI_LLOGARIVE!$J484),"")</f>
        <v/>
      </c>
    </row>
    <row r="485" customFormat="false" ht="15" hidden="false" customHeight="true" outlineLevel="0" collapsed="false">
      <c r="A485" s="101" t="str">
        <f aca="false">IF(PLANI_LLOGARIVE!$A485="","",PLANI_LLOGARIVE!$A485)</f>
        <v/>
      </c>
      <c r="B485" s="101" t="str">
        <f aca="false">IF($A485="","",PLANI_LLOGARIVE!$B485)</f>
        <v/>
      </c>
      <c r="C485" s="101" t="str">
        <f aca="false">IFERROR(IF($A485="","",PLANI_LLOGARIVE!$J485),"")</f>
        <v/>
      </c>
    </row>
    <row r="486" customFormat="false" ht="15" hidden="false" customHeight="true" outlineLevel="0" collapsed="false">
      <c r="A486" s="101" t="str">
        <f aca="false">IF(PLANI_LLOGARIVE!$A486="","",PLANI_LLOGARIVE!$A486)</f>
        <v/>
      </c>
      <c r="B486" s="101" t="str">
        <f aca="false">IF($A486="","",PLANI_LLOGARIVE!$B486)</f>
        <v/>
      </c>
      <c r="C486" s="101" t="str">
        <f aca="false">IFERROR(IF($A486="","",PLANI_LLOGARIVE!$J486),"")</f>
        <v/>
      </c>
    </row>
    <row r="487" customFormat="false" ht="15" hidden="false" customHeight="true" outlineLevel="0" collapsed="false">
      <c r="A487" s="101" t="str">
        <f aca="false">IF(PLANI_LLOGARIVE!$A487="","",PLANI_LLOGARIVE!$A487)</f>
        <v/>
      </c>
      <c r="B487" s="101" t="str">
        <f aca="false">IF($A487="","",PLANI_LLOGARIVE!$B487)</f>
        <v/>
      </c>
      <c r="C487" s="101" t="str">
        <f aca="false">IFERROR(IF($A487="","",PLANI_LLOGARIVE!$J487),"")</f>
        <v/>
      </c>
    </row>
    <row r="488" customFormat="false" ht="15" hidden="false" customHeight="true" outlineLevel="0" collapsed="false">
      <c r="A488" s="101" t="str">
        <f aca="false">IF(PLANI_LLOGARIVE!$A488="","",PLANI_LLOGARIVE!$A488)</f>
        <v/>
      </c>
      <c r="B488" s="101" t="str">
        <f aca="false">IF($A488="","",PLANI_LLOGARIVE!$B488)</f>
        <v/>
      </c>
      <c r="C488" s="101" t="str">
        <f aca="false">IFERROR(IF($A488="","",PLANI_LLOGARIVE!$J488),"")</f>
        <v/>
      </c>
    </row>
    <row r="489" customFormat="false" ht="15" hidden="false" customHeight="true" outlineLevel="0" collapsed="false">
      <c r="A489" s="101" t="str">
        <f aca="false">IF(PLANI_LLOGARIVE!$A489="","",PLANI_LLOGARIVE!$A489)</f>
        <v/>
      </c>
      <c r="B489" s="101" t="str">
        <f aca="false">IF($A489="","",PLANI_LLOGARIVE!$B489)</f>
        <v/>
      </c>
      <c r="C489" s="101" t="str">
        <f aca="false">IFERROR(IF($A489="","",PLANI_LLOGARIVE!$J489),"")</f>
        <v/>
      </c>
    </row>
    <row r="490" customFormat="false" ht="15" hidden="false" customHeight="true" outlineLevel="0" collapsed="false">
      <c r="A490" s="101" t="str">
        <f aca="false">IF(PLANI_LLOGARIVE!$A490="","",PLANI_LLOGARIVE!$A490)</f>
        <v/>
      </c>
      <c r="B490" s="101" t="str">
        <f aca="false">IF($A490="","",PLANI_LLOGARIVE!$B490)</f>
        <v/>
      </c>
      <c r="C490" s="101" t="str">
        <f aca="false">IFERROR(IF($A490="","",PLANI_LLOGARIVE!$J490),"")</f>
        <v/>
      </c>
    </row>
    <row r="491" customFormat="false" ht="15" hidden="false" customHeight="true" outlineLevel="0" collapsed="false">
      <c r="A491" s="101" t="str">
        <f aca="false">IF(PLANI_LLOGARIVE!$A491="","",PLANI_LLOGARIVE!$A491)</f>
        <v/>
      </c>
      <c r="B491" s="101" t="str">
        <f aca="false">IF($A491="","",PLANI_LLOGARIVE!$B491)</f>
        <v/>
      </c>
      <c r="C491" s="101" t="str">
        <f aca="false">IFERROR(IF($A491="","",PLANI_LLOGARIVE!$J491),"")</f>
        <v/>
      </c>
    </row>
    <row r="492" customFormat="false" ht="15" hidden="false" customHeight="true" outlineLevel="0" collapsed="false">
      <c r="A492" s="101" t="str">
        <f aca="false">IF(PLANI_LLOGARIVE!$A492="","",PLANI_LLOGARIVE!$A492)</f>
        <v/>
      </c>
      <c r="B492" s="101" t="str">
        <f aca="false">IF($A492="","",PLANI_LLOGARIVE!$B492)</f>
        <v/>
      </c>
      <c r="C492" s="101" t="str">
        <f aca="false">IFERROR(IF($A492="","",PLANI_LLOGARIVE!$J492),"")</f>
        <v/>
      </c>
    </row>
    <row r="493" customFormat="false" ht="15" hidden="false" customHeight="true" outlineLevel="0" collapsed="false">
      <c r="A493" s="101" t="str">
        <f aca="false">IF(PLANI_LLOGARIVE!$A493="","",PLANI_LLOGARIVE!$A493)</f>
        <v/>
      </c>
      <c r="B493" s="101" t="str">
        <f aca="false">IF($A493="","",PLANI_LLOGARIVE!$B493)</f>
        <v/>
      </c>
      <c r="C493" s="101" t="str">
        <f aca="false">IFERROR(IF($A493="","",PLANI_LLOGARIVE!$J493),"")</f>
        <v/>
      </c>
    </row>
    <row r="494" customFormat="false" ht="15" hidden="false" customHeight="true" outlineLevel="0" collapsed="false">
      <c r="A494" s="101" t="str">
        <f aca="false">IF(PLANI_LLOGARIVE!$A494="","",PLANI_LLOGARIVE!$A494)</f>
        <v/>
      </c>
      <c r="B494" s="101" t="str">
        <f aca="false">IF($A494="","",PLANI_LLOGARIVE!$B494)</f>
        <v/>
      </c>
      <c r="C494" s="101" t="str">
        <f aca="false">IFERROR(IF($A494="","",PLANI_LLOGARIVE!$J494),"")</f>
        <v/>
      </c>
    </row>
    <row r="495" customFormat="false" ht="15" hidden="false" customHeight="true" outlineLevel="0" collapsed="false">
      <c r="A495" s="101" t="str">
        <f aca="false">IF(PLANI_LLOGARIVE!$A495="","",PLANI_LLOGARIVE!$A495)</f>
        <v/>
      </c>
      <c r="B495" s="101" t="str">
        <f aca="false">IF($A495="","",PLANI_LLOGARIVE!$B495)</f>
        <v/>
      </c>
      <c r="C495" s="101" t="str">
        <f aca="false">IFERROR(IF($A495="","",PLANI_LLOGARIVE!$J495),"")</f>
        <v/>
      </c>
    </row>
    <row r="496" customFormat="false" ht="15" hidden="false" customHeight="true" outlineLevel="0" collapsed="false">
      <c r="A496" s="101" t="str">
        <f aca="false">IF(PLANI_LLOGARIVE!$A496="","",PLANI_LLOGARIVE!$A496)</f>
        <v/>
      </c>
      <c r="B496" s="101" t="str">
        <f aca="false">IF($A496="","",PLANI_LLOGARIVE!$B496)</f>
        <v/>
      </c>
      <c r="C496" s="101" t="str">
        <f aca="false">IFERROR(IF($A496="","",PLANI_LLOGARIVE!$J496),"")</f>
        <v/>
      </c>
    </row>
    <row r="497" customFormat="false" ht="15" hidden="false" customHeight="true" outlineLevel="0" collapsed="false">
      <c r="A497" s="101" t="str">
        <f aca="false">IF(PLANI_LLOGARIVE!$A497="","",PLANI_LLOGARIVE!$A497)</f>
        <v/>
      </c>
      <c r="B497" s="101" t="str">
        <f aca="false">IF($A497="","",PLANI_LLOGARIVE!$B497)</f>
        <v/>
      </c>
      <c r="C497" s="101" t="str">
        <f aca="false">IFERROR(IF($A497="","",PLANI_LLOGARIVE!$J497),"")</f>
        <v/>
      </c>
    </row>
    <row r="498" customFormat="false" ht="15" hidden="false" customHeight="true" outlineLevel="0" collapsed="false">
      <c r="A498" s="101" t="str">
        <f aca="false">IF(PLANI_LLOGARIVE!$A498="","",PLANI_LLOGARIVE!$A498)</f>
        <v/>
      </c>
      <c r="B498" s="101" t="str">
        <f aca="false">IF($A498="","",PLANI_LLOGARIVE!$B498)</f>
        <v/>
      </c>
      <c r="C498" s="101" t="str">
        <f aca="false">IFERROR(IF($A498="","",PLANI_LLOGARIVE!$J498),"")</f>
        <v/>
      </c>
    </row>
    <row r="499" customFormat="false" ht="15" hidden="false" customHeight="true" outlineLevel="0" collapsed="false">
      <c r="A499" s="101" t="str">
        <f aca="false">IF(PLANI_LLOGARIVE!$A499="","",PLANI_LLOGARIVE!$A499)</f>
        <v>6XX</v>
      </c>
      <c r="B499" s="101" t="str">
        <f aca="false">IF($A499="","",PLANI_LLOGARIVE!$B499)</f>
        <v>Mbyllje sintetike e klasës 6</v>
      </c>
      <c r="C499" s="491" t="b">
        <f aca="false">IFERROR(IF($A499="","",PLANI_LLOGARIVE!$J499),"")</f>
        <v>1</v>
      </c>
    </row>
    <row r="500" customFormat="false" ht="15" hidden="false" customHeight="true" outlineLevel="0" collapsed="false">
      <c r="A500" s="101" t="str">
        <f aca="false">IF(PLANI_LLOGARIVE!$A500="","",PLANI_LLOGARIVE!$A500)</f>
        <v>7XX</v>
      </c>
      <c r="B500" s="101" t="str">
        <f aca="false">IF($A500="","",PLANI_LLOGARIVE!$B500)</f>
        <v>Mbyllje sintetike e klasës 7</v>
      </c>
      <c r="C500" s="491" t="b">
        <f aca="false">IFERROR(IF($A500="","",PLANI_LLOGARIVE!$J500),"")</f>
        <v>1</v>
      </c>
    </row>
  </sheetData>
  <sheetProtection sheet="true" password="91db" formatCells="false" formatColumns="false" formatRows="false" sort="false" autoFilter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4"/>
    <col collapsed="false" customWidth="true" hidden="false" outlineLevel="0" max="3" min="3" style="1" width="16"/>
    <col collapsed="false" customWidth="true" hidden="false" outlineLevel="0" max="4" min="4" style="1" width="34"/>
    <col collapsed="false" customWidth="true" hidden="false" outlineLevel="0" max="5" min="5" style="1" width="22"/>
    <col collapsed="false" customWidth="true" hidden="false" outlineLevel="0" max="9" min="6" style="1" width="14"/>
    <col collapsed="false" customWidth="true" hidden="true" outlineLevel="0" max="10" min="10" style="1" width="13"/>
    <col collapsed="false" customWidth="true" hidden="false" outlineLevel="0" max="11" min="11" style="1" width="16"/>
  </cols>
  <sheetData>
    <row r="1" customFormat="false" ht="18" hidden="false" customHeight="true" outlineLevel="0" collapsed="false">
      <c r="A1" s="139" t="s">
        <v>1477</v>
      </c>
      <c r="B1" s="139"/>
      <c r="C1" s="139"/>
      <c r="D1" s="139"/>
      <c r="E1" s="139"/>
      <c r="F1" s="139"/>
      <c r="G1" s="139"/>
      <c r="H1" s="139"/>
      <c r="I1" s="139"/>
      <c r="K1" s="29" t="s">
        <v>19</v>
      </c>
    </row>
    <row r="3" customFormat="false" ht="15" hidden="false" customHeight="true" outlineLevel="0" collapsed="false">
      <c r="A3" s="141" t="s">
        <v>757</v>
      </c>
      <c r="B3" s="492" t="str">
        <f aca="false">LIBRI_I_MADH!B4</f>
        <v>101</v>
      </c>
      <c r="D3" s="141" t="s">
        <v>1478</v>
      </c>
      <c r="E3" s="492" t="str">
        <f aca="false">LIBRI_I_MADH!E4</f>
        <v>Kapitali i paguar / themeltar</v>
      </c>
    </row>
    <row r="5" customFormat="false" ht="15" hidden="false" customHeight="true" outlineLevel="0" collapsed="false">
      <c r="A5" s="147" t="s">
        <v>740</v>
      </c>
      <c r="B5" s="147" t="s">
        <v>741</v>
      </c>
      <c r="C5" s="147" t="s">
        <v>1479</v>
      </c>
      <c r="D5" s="147" t="s">
        <v>747</v>
      </c>
      <c r="E5" s="147" t="s">
        <v>746</v>
      </c>
      <c r="F5" s="147" t="s">
        <v>212</v>
      </c>
      <c r="G5" s="147" t="s">
        <v>745</v>
      </c>
      <c r="H5" s="147" t="s">
        <v>1466</v>
      </c>
      <c r="I5" s="147" t="s">
        <v>1337</v>
      </c>
      <c r="J5" s="1" t="s">
        <v>1480</v>
      </c>
    </row>
    <row r="6" customFormat="false" ht="15" hidden="false" customHeight="true" outlineLevel="0" collapsed="false">
      <c r="A6" s="148" t="str">
        <f aca="false">IF($J6="","",INDEX(LEDGER_ENGINE!$B$2:$B$546,$J6))</f>
        <v/>
      </c>
      <c r="B6" s="149" t="str">
        <f aca="false">IF($J6="","",INDEX(LEDGER_ENGINE!$C$2:$C$546,$J6))</f>
        <v/>
      </c>
      <c r="C6" s="149" t="str">
        <f aca="false">IF($J6="","",INDEX(LEDGER_ENGINE!$D$2:$D$546,$J6))</f>
        <v/>
      </c>
      <c r="D6" s="149" t="str">
        <f aca="false">IF($J6="","",INDEX(LEDGER_ENGINE!$G$2:$G$546,$J6))</f>
        <v/>
      </c>
      <c r="E6" s="151" t="str">
        <f aca="false">IFERROR(IF($J6="","",INDEX(LEDGER_ENGINE!$H$2:$H$546,$J6)),"")</f>
        <v/>
      </c>
      <c r="F6" s="150" t="str">
        <f aca="false">IF($J6="","",INDEX(LEDGER_ENGINE!$I$2:$I$546,$J6))</f>
        <v/>
      </c>
      <c r="G6" s="150" t="str">
        <f aca="false">IF($J6="","",INDEX(LEDGER_ENGINE!$J$2:$J$546,$J6))</f>
        <v/>
      </c>
      <c r="H6" s="150" t="str">
        <f aca="false">IF($J6="","",INDEX(LEDGER_ENGINE!$L$2:$L$546,$J6))</f>
        <v/>
      </c>
      <c r="I6" s="150" t="str">
        <f aca="false">IF(A6="","",H6)</f>
        <v/>
      </c>
      <c r="J6" s="101" t="str">
        <f aca="false">IFERROR(MATCH(LIBRI_I_MADH!$B$4&amp;"|"&amp;ROWS($A$6:A6),LEDGER_ENGINE!$U$2:$U$546,0),"")</f>
        <v/>
      </c>
    </row>
    <row r="7" customFormat="false" ht="15" hidden="false" customHeight="true" outlineLevel="0" collapsed="false">
      <c r="A7" s="148" t="str">
        <f aca="false">IF($J7="","",INDEX(LEDGER_ENGINE!$B$2:$B$546,$J7))</f>
        <v/>
      </c>
      <c r="B7" s="149" t="str">
        <f aca="false">IF($J7="","",INDEX(LEDGER_ENGINE!$C$2:$C$546,$J7))</f>
        <v/>
      </c>
      <c r="C7" s="149" t="str">
        <f aca="false">IF($J7="","",INDEX(LEDGER_ENGINE!$D$2:$D$546,$J7))</f>
        <v/>
      </c>
      <c r="D7" s="149" t="str">
        <f aca="false">IF($J7="","",INDEX(LEDGER_ENGINE!$G$2:$G$546,$J7))</f>
        <v/>
      </c>
      <c r="E7" s="151" t="str">
        <f aca="false">IFERROR(IF($J7="","",INDEX(LEDGER_ENGINE!$H$2:$H$546,$J7)),"")</f>
        <v/>
      </c>
      <c r="F7" s="150" t="str">
        <f aca="false">IF($J7="","",INDEX(LEDGER_ENGINE!$I$2:$I$546,$J7))</f>
        <v/>
      </c>
      <c r="G7" s="150" t="str">
        <f aca="false">IF($J7="","",INDEX(LEDGER_ENGINE!$J$2:$J$546,$J7))</f>
        <v/>
      </c>
      <c r="H7" s="150" t="str">
        <f aca="false">IF($J7="","",INDEX(LEDGER_ENGINE!$L$2:$L$546,$J7))</f>
        <v/>
      </c>
      <c r="I7" s="150" t="str">
        <f aca="false">IF(A7="","",I6+H7)</f>
        <v/>
      </c>
      <c r="J7" s="101" t="str">
        <f aca="false">IFERROR(MATCH(LIBRI_I_MADH!$B$4&amp;"|"&amp;ROWS($A$6:A7),LEDGER_ENGINE!$U$2:$U$546,0),"")</f>
        <v/>
      </c>
    </row>
    <row r="8" customFormat="false" ht="15" hidden="false" customHeight="true" outlineLevel="0" collapsed="false">
      <c r="A8" s="148" t="str">
        <f aca="false">IF($J8="","",INDEX(LEDGER_ENGINE!$B$2:$B$546,$J8))</f>
        <v/>
      </c>
      <c r="B8" s="149" t="str">
        <f aca="false">IF($J8="","",INDEX(LEDGER_ENGINE!$C$2:$C$546,$J8))</f>
        <v/>
      </c>
      <c r="C8" s="149" t="str">
        <f aca="false">IF($J8="","",INDEX(LEDGER_ENGINE!$D$2:$D$546,$J8))</f>
        <v/>
      </c>
      <c r="D8" s="149" t="str">
        <f aca="false">IF($J8="","",INDEX(LEDGER_ENGINE!$G$2:$G$546,$J8))</f>
        <v/>
      </c>
      <c r="E8" s="151" t="str">
        <f aca="false">IFERROR(IF($J8="","",INDEX(LEDGER_ENGINE!$H$2:$H$546,$J8)),"")</f>
        <v/>
      </c>
      <c r="F8" s="150" t="str">
        <f aca="false">IF($J8="","",INDEX(LEDGER_ENGINE!$I$2:$I$546,$J8))</f>
        <v/>
      </c>
      <c r="G8" s="150" t="str">
        <f aca="false">IF($J8="","",INDEX(LEDGER_ENGINE!$J$2:$J$546,$J8))</f>
        <v/>
      </c>
      <c r="H8" s="150" t="str">
        <f aca="false">IF($J8="","",INDEX(LEDGER_ENGINE!$L$2:$L$546,$J8))</f>
        <v/>
      </c>
      <c r="I8" s="150" t="str">
        <f aca="false">IF(A8="","",I7+H8)</f>
        <v/>
      </c>
      <c r="J8" s="101" t="str">
        <f aca="false">IFERROR(MATCH(LIBRI_I_MADH!$B$4&amp;"|"&amp;ROWS($A$6:A8),LEDGER_ENGINE!$U$2:$U$546,0),"")</f>
        <v/>
      </c>
    </row>
    <row r="9" customFormat="false" ht="15" hidden="false" customHeight="true" outlineLevel="0" collapsed="false">
      <c r="A9" s="148" t="str">
        <f aca="false">IF($J9="","",INDEX(LEDGER_ENGINE!$B$2:$B$546,$J9))</f>
        <v/>
      </c>
      <c r="B9" s="149" t="str">
        <f aca="false">IF($J9="","",INDEX(LEDGER_ENGINE!$C$2:$C$546,$J9))</f>
        <v/>
      </c>
      <c r="C9" s="149" t="str">
        <f aca="false">IF($J9="","",INDEX(LEDGER_ENGINE!$D$2:$D$546,$J9))</f>
        <v/>
      </c>
      <c r="D9" s="149" t="str">
        <f aca="false">IF($J9="","",INDEX(LEDGER_ENGINE!$G$2:$G$546,$J9))</f>
        <v/>
      </c>
      <c r="E9" s="151" t="str">
        <f aca="false">IFERROR(IF($J9="","",INDEX(LEDGER_ENGINE!$H$2:$H$546,$J9)),"")</f>
        <v/>
      </c>
      <c r="F9" s="150" t="str">
        <f aca="false">IF($J9="","",INDEX(LEDGER_ENGINE!$I$2:$I$546,$J9))</f>
        <v/>
      </c>
      <c r="G9" s="150" t="str">
        <f aca="false">IF($J9="","",INDEX(LEDGER_ENGINE!$J$2:$J$546,$J9))</f>
        <v/>
      </c>
      <c r="H9" s="150" t="str">
        <f aca="false">IF($J9="","",INDEX(LEDGER_ENGINE!$L$2:$L$546,$J9))</f>
        <v/>
      </c>
      <c r="I9" s="150" t="str">
        <f aca="false">IF(A9="","",I8+H9)</f>
        <v/>
      </c>
      <c r="J9" s="101" t="str">
        <f aca="false">IFERROR(MATCH(LIBRI_I_MADH!$B$4&amp;"|"&amp;ROWS($A$6:A9),LEDGER_ENGINE!$U$2:$U$546,0),"")</f>
        <v/>
      </c>
    </row>
    <row r="10" customFormat="false" ht="15" hidden="false" customHeight="true" outlineLevel="0" collapsed="false">
      <c r="A10" s="148" t="str">
        <f aca="false">IF($J10="","",INDEX(LEDGER_ENGINE!$B$2:$B$546,$J10))</f>
        <v/>
      </c>
      <c r="B10" s="149" t="str">
        <f aca="false">IF($J10="","",INDEX(LEDGER_ENGINE!$C$2:$C$546,$J10))</f>
        <v/>
      </c>
      <c r="C10" s="149" t="str">
        <f aca="false">IF($J10="","",INDEX(LEDGER_ENGINE!$D$2:$D$546,$J10))</f>
        <v/>
      </c>
      <c r="D10" s="149" t="str">
        <f aca="false">IF($J10="","",INDEX(LEDGER_ENGINE!$G$2:$G$546,$J10))</f>
        <v/>
      </c>
      <c r="E10" s="151" t="str">
        <f aca="false">IFERROR(IF($J10="","",INDEX(LEDGER_ENGINE!$H$2:$H$546,$J10)),"")</f>
        <v/>
      </c>
      <c r="F10" s="150" t="str">
        <f aca="false">IF($J10="","",INDEX(LEDGER_ENGINE!$I$2:$I$546,$J10))</f>
        <v/>
      </c>
      <c r="G10" s="150" t="str">
        <f aca="false">IF($J10="","",INDEX(LEDGER_ENGINE!$J$2:$J$546,$J10))</f>
        <v/>
      </c>
      <c r="H10" s="150" t="str">
        <f aca="false">IF($J10="","",INDEX(LEDGER_ENGINE!$L$2:$L$546,$J10))</f>
        <v/>
      </c>
      <c r="I10" s="150" t="str">
        <f aca="false">IF(A10="","",I9+H10)</f>
        <v/>
      </c>
      <c r="J10" s="101" t="str">
        <f aca="false">IFERROR(MATCH(LIBRI_I_MADH!$B$4&amp;"|"&amp;ROWS($A$6:A10),LEDGER_ENGINE!$U$2:$U$546,0),"")</f>
        <v/>
      </c>
    </row>
    <row r="11" customFormat="false" ht="15" hidden="false" customHeight="true" outlineLevel="0" collapsed="false">
      <c r="A11" s="148" t="str">
        <f aca="false">IF($J11="","",INDEX(LEDGER_ENGINE!$B$2:$B$546,$J11))</f>
        <v/>
      </c>
      <c r="B11" s="149" t="str">
        <f aca="false">IF($J11="","",INDEX(LEDGER_ENGINE!$C$2:$C$546,$J11))</f>
        <v/>
      </c>
      <c r="C11" s="149" t="str">
        <f aca="false">IF($J11="","",INDEX(LEDGER_ENGINE!$D$2:$D$546,$J11))</f>
        <v/>
      </c>
      <c r="D11" s="149" t="str">
        <f aca="false">IF($J11="","",INDEX(LEDGER_ENGINE!$G$2:$G$546,$J11))</f>
        <v/>
      </c>
      <c r="E11" s="151" t="str">
        <f aca="false">IFERROR(IF($J11="","",INDEX(LEDGER_ENGINE!$H$2:$H$546,$J11)),"")</f>
        <v/>
      </c>
      <c r="F11" s="150" t="str">
        <f aca="false">IF($J11="","",INDEX(LEDGER_ENGINE!$I$2:$I$546,$J11))</f>
        <v/>
      </c>
      <c r="G11" s="150" t="str">
        <f aca="false">IF($J11="","",INDEX(LEDGER_ENGINE!$J$2:$J$546,$J11))</f>
        <v/>
      </c>
      <c r="H11" s="150" t="str">
        <f aca="false">IF($J11="","",INDEX(LEDGER_ENGINE!$L$2:$L$546,$J11))</f>
        <v/>
      </c>
      <c r="I11" s="150" t="str">
        <f aca="false">IF(A11="","",I10+H11)</f>
        <v/>
      </c>
      <c r="J11" s="101" t="str">
        <f aca="false">IFERROR(MATCH(LIBRI_I_MADH!$B$4&amp;"|"&amp;ROWS($A$6:A11),LEDGER_ENGINE!$U$2:$U$546,0),"")</f>
        <v/>
      </c>
    </row>
    <row r="12" customFormat="false" ht="15" hidden="false" customHeight="true" outlineLevel="0" collapsed="false">
      <c r="A12" s="148" t="str">
        <f aca="false">IF($J12="","",INDEX(LEDGER_ENGINE!$B$2:$B$546,$J12))</f>
        <v/>
      </c>
      <c r="B12" s="149" t="str">
        <f aca="false">IF($J12="","",INDEX(LEDGER_ENGINE!$C$2:$C$546,$J12))</f>
        <v/>
      </c>
      <c r="C12" s="149" t="str">
        <f aca="false">IF($J12="","",INDEX(LEDGER_ENGINE!$D$2:$D$546,$J12))</f>
        <v/>
      </c>
      <c r="D12" s="149" t="str">
        <f aca="false">IF($J12="","",INDEX(LEDGER_ENGINE!$G$2:$G$546,$J12))</f>
        <v/>
      </c>
      <c r="E12" s="151" t="str">
        <f aca="false">IFERROR(IF($J12="","",INDEX(LEDGER_ENGINE!$H$2:$H$546,$J12)),"")</f>
        <v/>
      </c>
      <c r="F12" s="150" t="str">
        <f aca="false">IF($J12="","",INDEX(LEDGER_ENGINE!$I$2:$I$546,$J12))</f>
        <v/>
      </c>
      <c r="G12" s="150" t="str">
        <f aca="false">IF($J12="","",INDEX(LEDGER_ENGINE!$J$2:$J$546,$J12))</f>
        <v/>
      </c>
      <c r="H12" s="150" t="str">
        <f aca="false">IF($J12="","",INDEX(LEDGER_ENGINE!$L$2:$L$546,$J12))</f>
        <v/>
      </c>
      <c r="I12" s="150" t="str">
        <f aca="false">IF(A12="","",I11+H12)</f>
        <v/>
      </c>
      <c r="J12" s="101" t="str">
        <f aca="false">IFERROR(MATCH(LIBRI_I_MADH!$B$4&amp;"|"&amp;ROWS($A$6:A12),LEDGER_ENGINE!$U$2:$U$546,0),"")</f>
        <v/>
      </c>
    </row>
    <row r="13" customFormat="false" ht="15" hidden="false" customHeight="true" outlineLevel="0" collapsed="false">
      <c r="A13" s="148" t="str">
        <f aca="false">IF($J13="","",INDEX(LEDGER_ENGINE!$B$2:$B$546,$J13))</f>
        <v/>
      </c>
      <c r="B13" s="149" t="str">
        <f aca="false">IF($J13="","",INDEX(LEDGER_ENGINE!$C$2:$C$546,$J13))</f>
        <v/>
      </c>
      <c r="C13" s="149" t="str">
        <f aca="false">IF($J13="","",INDEX(LEDGER_ENGINE!$D$2:$D$546,$J13))</f>
        <v/>
      </c>
      <c r="D13" s="149" t="str">
        <f aca="false">IF($J13="","",INDEX(LEDGER_ENGINE!$G$2:$G$546,$J13))</f>
        <v/>
      </c>
      <c r="E13" s="151" t="str">
        <f aca="false">IFERROR(IF($J13="","",INDEX(LEDGER_ENGINE!$H$2:$H$546,$J13)),"")</f>
        <v/>
      </c>
      <c r="F13" s="150" t="str">
        <f aca="false">IF($J13="","",INDEX(LEDGER_ENGINE!$I$2:$I$546,$J13))</f>
        <v/>
      </c>
      <c r="G13" s="150" t="str">
        <f aca="false">IF($J13="","",INDEX(LEDGER_ENGINE!$J$2:$J$546,$J13))</f>
        <v/>
      </c>
      <c r="H13" s="150" t="str">
        <f aca="false">IF($J13="","",INDEX(LEDGER_ENGINE!$L$2:$L$546,$J13))</f>
        <v/>
      </c>
      <c r="I13" s="150" t="str">
        <f aca="false">IF(A13="","",I12+H13)</f>
        <v/>
      </c>
      <c r="J13" s="101" t="str">
        <f aca="false">IFERROR(MATCH(LIBRI_I_MADH!$B$4&amp;"|"&amp;ROWS($A$6:A13),LEDGER_ENGINE!$U$2:$U$546,0),"")</f>
        <v/>
      </c>
    </row>
    <row r="14" customFormat="false" ht="15" hidden="false" customHeight="true" outlineLevel="0" collapsed="false">
      <c r="A14" s="148" t="str">
        <f aca="false">IF($J14="","",INDEX(LEDGER_ENGINE!$B$2:$B$546,$J14))</f>
        <v/>
      </c>
      <c r="B14" s="149" t="str">
        <f aca="false">IF($J14="","",INDEX(LEDGER_ENGINE!$C$2:$C$546,$J14))</f>
        <v/>
      </c>
      <c r="C14" s="149" t="str">
        <f aca="false">IF($J14="","",INDEX(LEDGER_ENGINE!$D$2:$D$546,$J14))</f>
        <v/>
      </c>
      <c r="D14" s="149" t="str">
        <f aca="false">IF($J14="","",INDEX(LEDGER_ENGINE!$G$2:$G$546,$J14))</f>
        <v/>
      </c>
      <c r="E14" s="151" t="str">
        <f aca="false">IFERROR(IF($J14="","",INDEX(LEDGER_ENGINE!$H$2:$H$546,$J14)),"")</f>
        <v/>
      </c>
      <c r="F14" s="150" t="str">
        <f aca="false">IF($J14="","",INDEX(LEDGER_ENGINE!$I$2:$I$546,$J14))</f>
        <v/>
      </c>
      <c r="G14" s="150" t="str">
        <f aca="false">IF($J14="","",INDEX(LEDGER_ENGINE!$J$2:$J$546,$J14))</f>
        <v/>
      </c>
      <c r="H14" s="150" t="str">
        <f aca="false">IF($J14="","",INDEX(LEDGER_ENGINE!$L$2:$L$546,$J14))</f>
        <v/>
      </c>
      <c r="I14" s="150" t="str">
        <f aca="false">IF(A14="","",I13+H14)</f>
        <v/>
      </c>
      <c r="J14" s="101" t="str">
        <f aca="false">IFERROR(MATCH(LIBRI_I_MADH!$B$4&amp;"|"&amp;ROWS($A$6:A14),LEDGER_ENGINE!$U$2:$U$546,0),"")</f>
        <v/>
      </c>
    </row>
    <row r="15" customFormat="false" ht="15" hidden="false" customHeight="true" outlineLevel="0" collapsed="false">
      <c r="A15" s="148" t="str">
        <f aca="false">IF($J15="","",INDEX(LEDGER_ENGINE!$B$2:$B$546,$J15))</f>
        <v/>
      </c>
      <c r="B15" s="149" t="str">
        <f aca="false">IF($J15="","",INDEX(LEDGER_ENGINE!$C$2:$C$546,$J15))</f>
        <v/>
      </c>
      <c r="C15" s="149" t="str">
        <f aca="false">IF($J15="","",INDEX(LEDGER_ENGINE!$D$2:$D$546,$J15))</f>
        <v/>
      </c>
      <c r="D15" s="149" t="str">
        <f aca="false">IF($J15="","",INDEX(LEDGER_ENGINE!$G$2:$G$546,$J15))</f>
        <v/>
      </c>
      <c r="E15" s="151" t="str">
        <f aca="false">IFERROR(IF($J15="","",INDEX(LEDGER_ENGINE!$H$2:$H$546,$J15)),"")</f>
        <v/>
      </c>
      <c r="F15" s="150" t="str">
        <f aca="false">IF($J15="","",INDEX(LEDGER_ENGINE!$I$2:$I$546,$J15))</f>
        <v/>
      </c>
      <c r="G15" s="150" t="str">
        <f aca="false">IF($J15="","",INDEX(LEDGER_ENGINE!$J$2:$J$546,$J15))</f>
        <v/>
      </c>
      <c r="H15" s="150" t="str">
        <f aca="false">IF($J15="","",INDEX(LEDGER_ENGINE!$L$2:$L$546,$J15))</f>
        <v/>
      </c>
      <c r="I15" s="150" t="str">
        <f aca="false">IF(A15="","",I14+H15)</f>
        <v/>
      </c>
      <c r="J15" s="101" t="str">
        <f aca="false">IFERROR(MATCH(LIBRI_I_MADH!$B$4&amp;"|"&amp;ROWS($A$6:A15),LEDGER_ENGINE!$U$2:$U$546,0),"")</f>
        <v/>
      </c>
    </row>
    <row r="16" customFormat="false" ht="15" hidden="false" customHeight="true" outlineLevel="0" collapsed="false">
      <c r="A16" s="148" t="str">
        <f aca="false">IF($J16="","",INDEX(LEDGER_ENGINE!$B$2:$B$546,$J16))</f>
        <v/>
      </c>
      <c r="B16" s="149" t="str">
        <f aca="false">IF($J16="","",INDEX(LEDGER_ENGINE!$C$2:$C$546,$J16))</f>
        <v/>
      </c>
      <c r="C16" s="149" t="str">
        <f aca="false">IF($J16="","",INDEX(LEDGER_ENGINE!$D$2:$D$546,$J16))</f>
        <v/>
      </c>
      <c r="D16" s="149" t="str">
        <f aca="false">IF($J16="","",INDEX(LEDGER_ENGINE!$G$2:$G$546,$J16))</f>
        <v/>
      </c>
      <c r="E16" s="151" t="str">
        <f aca="false">IFERROR(IF($J16="","",INDEX(LEDGER_ENGINE!$H$2:$H$546,$J16)),"")</f>
        <v/>
      </c>
      <c r="F16" s="150" t="str">
        <f aca="false">IF($J16="","",INDEX(LEDGER_ENGINE!$I$2:$I$546,$J16))</f>
        <v/>
      </c>
      <c r="G16" s="150" t="str">
        <f aca="false">IF($J16="","",INDEX(LEDGER_ENGINE!$J$2:$J$546,$J16))</f>
        <v/>
      </c>
      <c r="H16" s="150" t="str">
        <f aca="false">IF($J16="","",INDEX(LEDGER_ENGINE!$L$2:$L$546,$J16))</f>
        <v/>
      </c>
      <c r="I16" s="150" t="str">
        <f aca="false">IF(A16="","",I15+H16)</f>
        <v/>
      </c>
      <c r="J16" s="101" t="str">
        <f aca="false">IFERROR(MATCH(LIBRI_I_MADH!$B$4&amp;"|"&amp;ROWS($A$6:A16),LEDGER_ENGINE!$U$2:$U$546,0),"")</f>
        <v/>
      </c>
    </row>
    <row r="17" customFormat="false" ht="15" hidden="false" customHeight="true" outlineLevel="0" collapsed="false">
      <c r="A17" s="148" t="str">
        <f aca="false">IF($J17="","",INDEX(LEDGER_ENGINE!$B$2:$B$546,$J17))</f>
        <v/>
      </c>
      <c r="B17" s="149" t="str">
        <f aca="false">IF($J17="","",INDEX(LEDGER_ENGINE!$C$2:$C$546,$J17))</f>
        <v/>
      </c>
      <c r="C17" s="149" t="str">
        <f aca="false">IF($J17="","",INDEX(LEDGER_ENGINE!$D$2:$D$546,$J17))</f>
        <v/>
      </c>
      <c r="D17" s="149" t="str">
        <f aca="false">IF($J17="","",INDEX(LEDGER_ENGINE!$G$2:$G$546,$J17))</f>
        <v/>
      </c>
      <c r="E17" s="151" t="str">
        <f aca="false">IFERROR(IF($J17="","",INDEX(LEDGER_ENGINE!$H$2:$H$546,$J17)),"")</f>
        <v/>
      </c>
      <c r="F17" s="150" t="str">
        <f aca="false">IF($J17="","",INDEX(LEDGER_ENGINE!$I$2:$I$546,$J17))</f>
        <v/>
      </c>
      <c r="G17" s="150" t="str">
        <f aca="false">IF($J17="","",INDEX(LEDGER_ENGINE!$J$2:$J$546,$J17))</f>
        <v/>
      </c>
      <c r="H17" s="150" t="str">
        <f aca="false">IF($J17="","",INDEX(LEDGER_ENGINE!$L$2:$L$546,$J17))</f>
        <v/>
      </c>
      <c r="I17" s="150" t="str">
        <f aca="false">IF(A17="","",I16+H17)</f>
        <v/>
      </c>
      <c r="J17" s="101" t="str">
        <f aca="false">IFERROR(MATCH(LIBRI_I_MADH!$B$4&amp;"|"&amp;ROWS($A$6:A17),LEDGER_ENGINE!$U$2:$U$546,0),"")</f>
        <v/>
      </c>
    </row>
    <row r="18" customFormat="false" ht="15" hidden="false" customHeight="true" outlineLevel="0" collapsed="false">
      <c r="A18" s="148" t="str">
        <f aca="false">IF($J18="","",INDEX(LEDGER_ENGINE!$B$2:$B$546,$J18))</f>
        <v/>
      </c>
      <c r="B18" s="149" t="str">
        <f aca="false">IF($J18="","",INDEX(LEDGER_ENGINE!$C$2:$C$546,$J18))</f>
        <v/>
      </c>
      <c r="C18" s="149" t="str">
        <f aca="false">IF($J18="","",INDEX(LEDGER_ENGINE!$D$2:$D$546,$J18))</f>
        <v/>
      </c>
      <c r="D18" s="149" t="str">
        <f aca="false">IF($J18="","",INDEX(LEDGER_ENGINE!$G$2:$G$546,$J18))</f>
        <v/>
      </c>
      <c r="E18" s="151" t="str">
        <f aca="false">IFERROR(IF($J18="","",INDEX(LEDGER_ENGINE!$H$2:$H$546,$J18)),"")</f>
        <v/>
      </c>
      <c r="F18" s="150" t="str">
        <f aca="false">IF($J18="","",INDEX(LEDGER_ENGINE!$I$2:$I$546,$J18))</f>
        <v/>
      </c>
      <c r="G18" s="150" t="str">
        <f aca="false">IF($J18="","",INDEX(LEDGER_ENGINE!$J$2:$J$546,$J18))</f>
        <v/>
      </c>
      <c r="H18" s="150" t="str">
        <f aca="false">IF($J18="","",INDEX(LEDGER_ENGINE!$L$2:$L$546,$J18))</f>
        <v/>
      </c>
      <c r="I18" s="150" t="str">
        <f aca="false">IF(A18="","",I17+H18)</f>
        <v/>
      </c>
      <c r="J18" s="101" t="str">
        <f aca="false">IFERROR(MATCH(LIBRI_I_MADH!$B$4&amp;"|"&amp;ROWS($A$6:A18),LEDGER_ENGINE!$U$2:$U$546,0),"")</f>
        <v/>
      </c>
    </row>
    <row r="19" customFormat="false" ht="15" hidden="false" customHeight="true" outlineLevel="0" collapsed="false">
      <c r="A19" s="148" t="str">
        <f aca="false">IF($J19="","",INDEX(LEDGER_ENGINE!$B$2:$B$546,$J19))</f>
        <v/>
      </c>
      <c r="B19" s="149" t="str">
        <f aca="false">IF($J19="","",INDEX(LEDGER_ENGINE!$C$2:$C$546,$J19))</f>
        <v/>
      </c>
      <c r="C19" s="149" t="str">
        <f aca="false">IF($J19="","",INDEX(LEDGER_ENGINE!$D$2:$D$546,$J19))</f>
        <v/>
      </c>
      <c r="D19" s="149" t="str">
        <f aca="false">IF($J19="","",INDEX(LEDGER_ENGINE!$G$2:$G$546,$J19))</f>
        <v/>
      </c>
      <c r="E19" s="151" t="str">
        <f aca="false">IFERROR(IF($J19="","",INDEX(LEDGER_ENGINE!$H$2:$H$546,$J19)),"")</f>
        <v/>
      </c>
      <c r="F19" s="150" t="str">
        <f aca="false">IF($J19="","",INDEX(LEDGER_ENGINE!$I$2:$I$546,$J19))</f>
        <v/>
      </c>
      <c r="G19" s="150" t="str">
        <f aca="false">IF($J19="","",INDEX(LEDGER_ENGINE!$J$2:$J$546,$J19))</f>
        <v/>
      </c>
      <c r="H19" s="150" t="str">
        <f aca="false">IF($J19="","",INDEX(LEDGER_ENGINE!$L$2:$L$546,$J19))</f>
        <v/>
      </c>
      <c r="I19" s="150" t="str">
        <f aca="false">IF(A19="","",I18+H19)</f>
        <v/>
      </c>
      <c r="J19" s="101" t="str">
        <f aca="false">IFERROR(MATCH(LIBRI_I_MADH!$B$4&amp;"|"&amp;ROWS($A$6:A19),LEDGER_ENGINE!$U$2:$U$546,0),"")</f>
        <v/>
      </c>
    </row>
    <row r="20" customFormat="false" ht="15" hidden="false" customHeight="true" outlineLevel="0" collapsed="false">
      <c r="A20" s="148" t="str">
        <f aca="false">IF($J20="","",INDEX(LEDGER_ENGINE!$B$2:$B$546,$J20))</f>
        <v/>
      </c>
      <c r="B20" s="149" t="str">
        <f aca="false">IF($J20="","",INDEX(LEDGER_ENGINE!$C$2:$C$546,$J20))</f>
        <v/>
      </c>
      <c r="C20" s="149" t="str">
        <f aca="false">IF($J20="","",INDEX(LEDGER_ENGINE!$D$2:$D$546,$J20))</f>
        <v/>
      </c>
      <c r="D20" s="149" t="str">
        <f aca="false">IF($J20="","",INDEX(LEDGER_ENGINE!$G$2:$G$546,$J20))</f>
        <v/>
      </c>
      <c r="E20" s="151" t="str">
        <f aca="false">IFERROR(IF($J20="","",INDEX(LEDGER_ENGINE!$H$2:$H$546,$J20)),"")</f>
        <v/>
      </c>
      <c r="F20" s="150" t="str">
        <f aca="false">IF($J20="","",INDEX(LEDGER_ENGINE!$I$2:$I$546,$J20))</f>
        <v/>
      </c>
      <c r="G20" s="150" t="str">
        <f aca="false">IF($J20="","",INDEX(LEDGER_ENGINE!$J$2:$J$546,$J20))</f>
        <v/>
      </c>
      <c r="H20" s="150" t="str">
        <f aca="false">IF($J20="","",INDEX(LEDGER_ENGINE!$L$2:$L$546,$J20))</f>
        <v/>
      </c>
      <c r="I20" s="150" t="str">
        <f aca="false">IF(A20="","",I19+H20)</f>
        <v/>
      </c>
      <c r="J20" s="101" t="str">
        <f aca="false">IFERROR(MATCH(LIBRI_I_MADH!$B$4&amp;"|"&amp;ROWS($A$6:A20),LEDGER_ENGINE!$U$2:$U$546,0),"")</f>
        <v/>
      </c>
    </row>
    <row r="21" customFormat="false" ht="15" hidden="false" customHeight="true" outlineLevel="0" collapsed="false">
      <c r="A21" s="148" t="str">
        <f aca="false">IF($J21="","",INDEX(LEDGER_ENGINE!$B$2:$B$546,$J21))</f>
        <v/>
      </c>
      <c r="B21" s="149" t="str">
        <f aca="false">IF($J21="","",INDEX(LEDGER_ENGINE!$C$2:$C$546,$J21))</f>
        <v/>
      </c>
      <c r="C21" s="149" t="str">
        <f aca="false">IF($J21="","",INDEX(LEDGER_ENGINE!$D$2:$D$546,$J21))</f>
        <v/>
      </c>
      <c r="D21" s="149" t="str">
        <f aca="false">IF($J21="","",INDEX(LEDGER_ENGINE!$G$2:$G$546,$J21))</f>
        <v/>
      </c>
      <c r="E21" s="151" t="str">
        <f aca="false">IFERROR(IF($J21="","",INDEX(LEDGER_ENGINE!$H$2:$H$546,$J21)),"")</f>
        <v/>
      </c>
      <c r="F21" s="150" t="str">
        <f aca="false">IF($J21="","",INDEX(LEDGER_ENGINE!$I$2:$I$546,$J21))</f>
        <v/>
      </c>
      <c r="G21" s="150" t="str">
        <f aca="false">IF($J21="","",INDEX(LEDGER_ENGINE!$J$2:$J$546,$J21))</f>
        <v/>
      </c>
      <c r="H21" s="150" t="str">
        <f aca="false">IF($J21="","",INDEX(LEDGER_ENGINE!$L$2:$L$546,$J21))</f>
        <v/>
      </c>
      <c r="I21" s="150" t="str">
        <f aca="false">IF(A21="","",I20+H21)</f>
        <v/>
      </c>
      <c r="J21" s="101" t="str">
        <f aca="false">IFERROR(MATCH(LIBRI_I_MADH!$B$4&amp;"|"&amp;ROWS($A$6:A21),LEDGER_ENGINE!$U$2:$U$546,0),"")</f>
        <v/>
      </c>
    </row>
    <row r="22" customFormat="false" ht="15" hidden="false" customHeight="true" outlineLevel="0" collapsed="false">
      <c r="A22" s="148" t="str">
        <f aca="false">IF($J22="","",INDEX(LEDGER_ENGINE!$B$2:$B$546,$J22))</f>
        <v/>
      </c>
      <c r="B22" s="149" t="str">
        <f aca="false">IF($J22="","",INDEX(LEDGER_ENGINE!$C$2:$C$546,$J22))</f>
        <v/>
      </c>
      <c r="C22" s="149" t="str">
        <f aca="false">IF($J22="","",INDEX(LEDGER_ENGINE!$D$2:$D$546,$J22))</f>
        <v/>
      </c>
      <c r="D22" s="149" t="str">
        <f aca="false">IF($J22="","",INDEX(LEDGER_ENGINE!$G$2:$G$546,$J22))</f>
        <v/>
      </c>
      <c r="E22" s="151" t="str">
        <f aca="false">IFERROR(IF($J22="","",INDEX(LEDGER_ENGINE!$H$2:$H$546,$J22)),"")</f>
        <v/>
      </c>
      <c r="F22" s="150" t="str">
        <f aca="false">IF($J22="","",INDEX(LEDGER_ENGINE!$I$2:$I$546,$J22))</f>
        <v/>
      </c>
      <c r="G22" s="150" t="str">
        <f aca="false">IF($J22="","",INDEX(LEDGER_ENGINE!$J$2:$J$546,$J22))</f>
        <v/>
      </c>
      <c r="H22" s="150" t="str">
        <f aca="false">IF($J22="","",INDEX(LEDGER_ENGINE!$L$2:$L$546,$J22))</f>
        <v/>
      </c>
      <c r="I22" s="150" t="str">
        <f aca="false">IF(A22="","",I21+H22)</f>
        <v/>
      </c>
      <c r="J22" s="101" t="str">
        <f aca="false">IFERROR(MATCH(LIBRI_I_MADH!$B$4&amp;"|"&amp;ROWS($A$6:A22),LEDGER_ENGINE!$U$2:$U$546,0),"")</f>
        <v/>
      </c>
    </row>
    <row r="23" customFormat="false" ht="15" hidden="false" customHeight="true" outlineLevel="0" collapsed="false">
      <c r="A23" s="148" t="str">
        <f aca="false">IF($J23="","",INDEX(LEDGER_ENGINE!$B$2:$B$546,$J23))</f>
        <v/>
      </c>
      <c r="B23" s="149" t="str">
        <f aca="false">IF($J23="","",INDEX(LEDGER_ENGINE!$C$2:$C$546,$J23))</f>
        <v/>
      </c>
      <c r="C23" s="149" t="str">
        <f aca="false">IF($J23="","",INDEX(LEDGER_ENGINE!$D$2:$D$546,$J23))</f>
        <v/>
      </c>
      <c r="D23" s="149" t="str">
        <f aca="false">IF($J23="","",INDEX(LEDGER_ENGINE!$G$2:$G$546,$J23))</f>
        <v/>
      </c>
      <c r="E23" s="151" t="str">
        <f aca="false">IFERROR(IF($J23="","",INDEX(LEDGER_ENGINE!$H$2:$H$546,$J23)),"")</f>
        <v/>
      </c>
      <c r="F23" s="150" t="str">
        <f aca="false">IF($J23="","",INDEX(LEDGER_ENGINE!$I$2:$I$546,$J23))</f>
        <v/>
      </c>
      <c r="G23" s="150" t="str">
        <f aca="false">IF($J23="","",INDEX(LEDGER_ENGINE!$J$2:$J$546,$J23))</f>
        <v/>
      </c>
      <c r="H23" s="150" t="str">
        <f aca="false">IF($J23="","",INDEX(LEDGER_ENGINE!$L$2:$L$546,$J23))</f>
        <v/>
      </c>
      <c r="I23" s="150" t="str">
        <f aca="false">IF(A23="","",I22+H23)</f>
        <v/>
      </c>
      <c r="J23" s="101" t="str">
        <f aca="false">IFERROR(MATCH(LIBRI_I_MADH!$B$4&amp;"|"&amp;ROWS($A$6:A23),LEDGER_ENGINE!$U$2:$U$546,0),"")</f>
        <v/>
      </c>
    </row>
    <row r="24" customFormat="false" ht="15" hidden="false" customHeight="true" outlineLevel="0" collapsed="false">
      <c r="A24" s="148" t="str">
        <f aca="false">IF($J24="","",INDEX(LEDGER_ENGINE!$B$2:$B$546,$J24))</f>
        <v/>
      </c>
      <c r="B24" s="149" t="str">
        <f aca="false">IF($J24="","",INDEX(LEDGER_ENGINE!$C$2:$C$546,$J24))</f>
        <v/>
      </c>
      <c r="C24" s="149" t="str">
        <f aca="false">IF($J24="","",INDEX(LEDGER_ENGINE!$D$2:$D$546,$J24))</f>
        <v/>
      </c>
      <c r="D24" s="149" t="str">
        <f aca="false">IF($J24="","",INDEX(LEDGER_ENGINE!$G$2:$G$546,$J24))</f>
        <v/>
      </c>
      <c r="E24" s="151" t="str">
        <f aca="false">IFERROR(IF($J24="","",INDEX(LEDGER_ENGINE!$H$2:$H$546,$J24)),"")</f>
        <v/>
      </c>
      <c r="F24" s="150" t="str">
        <f aca="false">IF($J24="","",INDEX(LEDGER_ENGINE!$I$2:$I$546,$J24))</f>
        <v/>
      </c>
      <c r="G24" s="150" t="str">
        <f aca="false">IF($J24="","",INDEX(LEDGER_ENGINE!$J$2:$J$546,$J24))</f>
        <v/>
      </c>
      <c r="H24" s="150" t="str">
        <f aca="false">IF($J24="","",INDEX(LEDGER_ENGINE!$L$2:$L$546,$J24))</f>
        <v/>
      </c>
      <c r="I24" s="150" t="str">
        <f aca="false">IF(A24="","",I23+H24)</f>
        <v/>
      </c>
      <c r="J24" s="101" t="str">
        <f aca="false">IFERROR(MATCH(LIBRI_I_MADH!$B$4&amp;"|"&amp;ROWS($A$6:A24),LEDGER_ENGINE!$U$2:$U$546,0),"")</f>
        <v/>
      </c>
    </row>
    <row r="25" customFormat="false" ht="15" hidden="false" customHeight="true" outlineLevel="0" collapsed="false">
      <c r="A25" s="148" t="str">
        <f aca="false">IF($J25="","",INDEX(LEDGER_ENGINE!$B$2:$B$546,$J25))</f>
        <v/>
      </c>
      <c r="B25" s="149" t="str">
        <f aca="false">IF($J25="","",INDEX(LEDGER_ENGINE!$C$2:$C$546,$J25))</f>
        <v/>
      </c>
      <c r="C25" s="149" t="str">
        <f aca="false">IF($J25="","",INDEX(LEDGER_ENGINE!$D$2:$D$546,$J25))</f>
        <v/>
      </c>
      <c r="D25" s="149" t="str">
        <f aca="false">IF($J25="","",INDEX(LEDGER_ENGINE!$G$2:$G$546,$J25))</f>
        <v/>
      </c>
      <c r="E25" s="151" t="str">
        <f aca="false">IFERROR(IF($J25="","",INDEX(LEDGER_ENGINE!$H$2:$H$546,$J25)),"")</f>
        <v/>
      </c>
      <c r="F25" s="150" t="str">
        <f aca="false">IF($J25="","",INDEX(LEDGER_ENGINE!$I$2:$I$546,$J25))</f>
        <v/>
      </c>
      <c r="G25" s="150" t="str">
        <f aca="false">IF($J25="","",INDEX(LEDGER_ENGINE!$J$2:$J$546,$J25))</f>
        <v/>
      </c>
      <c r="H25" s="150" t="str">
        <f aca="false">IF($J25="","",INDEX(LEDGER_ENGINE!$L$2:$L$546,$J25))</f>
        <v/>
      </c>
      <c r="I25" s="150" t="str">
        <f aca="false">IF(A25="","",I24+H25)</f>
        <v/>
      </c>
      <c r="J25" s="101" t="str">
        <f aca="false">IFERROR(MATCH(LIBRI_I_MADH!$B$4&amp;"|"&amp;ROWS($A$6:A25),LEDGER_ENGINE!$U$2:$U$546,0),"")</f>
        <v/>
      </c>
    </row>
    <row r="26" customFormat="false" ht="15" hidden="false" customHeight="true" outlineLevel="0" collapsed="false">
      <c r="A26" s="148" t="str">
        <f aca="false">IF($J26="","",INDEX(LEDGER_ENGINE!$B$2:$B$546,$J26))</f>
        <v/>
      </c>
      <c r="B26" s="149" t="str">
        <f aca="false">IF($J26="","",INDEX(LEDGER_ENGINE!$C$2:$C$546,$J26))</f>
        <v/>
      </c>
      <c r="C26" s="149" t="str">
        <f aca="false">IF($J26="","",INDEX(LEDGER_ENGINE!$D$2:$D$546,$J26))</f>
        <v/>
      </c>
      <c r="D26" s="149" t="str">
        <f aca="false">IF($J26="","",INDEX(LEDGER_ENGINE!$G$2:$G$546,$J26))</f>
        <v/>
      </c>
      <c r="E26" s="151" t="str">
        <f aca="false">IFERROR(IF($J26="","",INDEX(LEDGER_ENGINE!$H$2:$H$546,$J26)),"")</f>
        <v/>
      </c>
      <c r="F26" s="150" t="str">
        <f aca="false">IF($J26="","",INDEX(LEDGER_ENGINE!$I$2:$I$546,$J26))</f>
        <v/>
      </c>
      <c r="G26" s="150" t="str">
        <f aca="false">IF($J26="","",INDEX(LEDGER_ENGINE!$J$2:$J$546,$J26))</f>
        <v/>
      </c>
      <c r="H26" s="150" t="str">
        <f aca="false">IF($J26="","",INDEX(LEDGER_ENGINE!$L$2:$L$546,$J26))</f>
        <v/>
      </c>
      <c r="I26" s="150" t="str">
        <f aca="false">IF(A26="","",I25+H26)</f>
        <v/>
      </c>
      <c r="J26" s="101" t="str">
        <f aca="false">IFERROR(MATCH(LIBRI_I_MADH!$B$4&amp;"|"&amp;ROWS($A$6:A26),LEDGER_ENGINE!$U$2:$U$546,0),"")</f>
        <v/>
      </c>
    </row>
    <row r="27" customFormat="false" ht="15" hidden="false" customHeight="true" outlineLevel="0" collapsed="false">
      <c r="A27" s="148" t="str">
        <f aca="false">IF($J27="","",INDEX(LEDGER_ENGINE!$B$2:$B$546,$J27))</f>
        <v/>
      </c>
      <c r="B27" s="149" t="str">
        <f aca="false">IF($J27="","",INDEX(LEDGER_ENGINE!$C$2:$C$546,$J27))</f>
        <v/>
      </c>
      <c r="C27" s="149" t="str">
        <f aca="false">IF($J27="","",INDEX(LEDGER_ENGINE!$D$2:$D$546,$J27))</f>
        <v/>
      </c>
      <c r="D27" s="152" t="str">
        <f aca="false">IF($J27="","",INDEX(LEDGER_ENGINE!$G$2:$G$546,$J27))</f>
        <v/>
      </c>
      <c r="E27" s="151" t="str">
        <f aca="false">IFERROR(IF($J27="","",INDEX(LEDGER_ENGINE!$H$2:$H$546,$J27)),"")</f>
        <v/>
      </c>
      <c r="F27" s="150" t="str">
        <f aca="false">IF($J27="","",INDEX(LEDGER_ENGINE!$I$2:$I$546,$J27))</f>
        <v/>
      </c>
      <c r="G27" s="150" t="str">
        <f aca="false">IF($J27="","",INDEX(LEDGER_ENGINE!$J$2:$J$546,$J27))</f>
        <v/>
      </c>
      <c r="H27" s="150" t="str">
        <f aca="false">IF($J27="","",INDEX(LEDGER_ENGINE!$L$2:$L$546,$J27))</f>
        <v/>
      </c>
      <c r="I27" s="150" t="str">
        <f aca="false">IF(A27="","",I26+H27)</f>
        <v/>
      </c>
      <c r="J27" s="101" t="str">
        <f aca="false">IFERROR(MATCH(LIBRI_I_MADH!$B$4&amp;"|"&amp;ROWS($A$6:A27),LEDGER_ENGINE!$U$2:$U$546,0),"")</f>
        <v/>
      </c>
    </row>
    <row r="28" customFormat="false" ht="15" hidden="false" customHeight="true" outlineLevel="0" collapsed="false">
      <c r="A28" s="148" t="str">
        <f aca="false">IF($J28="","",INDEX(LEDGER_ENGINE!$B$2:$B$546,$J28))</f>
        <v/>
      </c>
      <c r="B28" s="149" t="str">
        <f aca="false">IF($J28="","",INDEX(LEDGER_ENGINE!$C$2:$C$546,$J28))</f>
        <v/>
      </c>
      <c r="C28" s="149" t="str">
        <f aca="false">IF($J28="","",INDEX(LEDGER_ENGINE!$D$2:$D$546,$J28))</f>
        <v/>
      </c>
      <c r="D28" s="149" t="str">
        <f aca="false">IF($J28="","",INDEX(LEDGER_ENGINE!$G$2:$G$546,$J28))</f>
        <v/>
      </c>
      <c r="E28" s="149" t="str">
        <f aca="false">IFERROR(IF($J28="","",INDEX(LEDGER_ENGINE!$H$2:$H$546,$J28)),"")</f>
        <v/>
      </c>
      <c r="F28" s="150" t="str">
        <f aca="false">IF($J28="","",INDEX(LEDGER_ENGINE!$I$2:$I$546,$J28))</f>
        <v/>
      </c>
      <c r="G28" s="150" t="str">
        <f aca="false">IF($J28="","",INDEX(LEDGER_ENGINE!$J$2:$J$546,$J28))</f>
        <v/>
      </c>
      <c r="H28" s="150" t="str">
        <f aca="false">IF($J28="","",INDEX(LEDGER_ENGINE!$L$2:$L$546,$J28))</f>
        <v/>
      </c>
      <c r="I28" s="150" t="str">
        <f aca="false">IF(A28="","",I27+H28)</f>
        <v/>
      </c>
      <c r="J28" s="101" t="str">
        <f aca="false">IFERROR(MATCH(LIBRI_I_MADH!$B$4&amp;"|"&amp;ROWS($A$6:A28),LEDGER_ENGINE!$U$2:$U$546,0),"")</f>
        <v/>
      </c>
    </row>
    <row r="29" customFormat="false" ht="15" hidden="false" customHeight="true" outlineLevel="0" collapsed="false">
      <c r="A29" s="148" t="str">
        <f aca="false">IF($J29="","",INDEX(LEDGER_ENGINE!$B$2:$B$546,$J29))</f>
        <v/>
      </c>
      <c r="B29" s="149" t="str">
        <f aca="false">IF($J29="","",INDEX(LEDGER_ENGINE!$C$2:$C$546,$J29))</f>
        <v/>
      </c>
      <c r="C29" s="149" t="str">
        <f aca="false">IF($J29="","",INDEX(LEDGER_ENGINE!$D$2:$D$546,$J29))</f>
        <v/>
      </c>
      <c r="D29" s="149" t="str">
        <f aca="false">IF($J29="","",INDEX(LEDGER_ENGINE!$G$2:$G$546,$J29))</f>
        <v/>
      </c>
      <c r="E29" s="149" t="str">
        <f aca="false">IFERROR(IF($J29="","",INDEX(LEDGER_ENGINE!$H$2:$H$546,$J29)),"")</f>
        <v/>
      </c>
      <c r="F29" s="150" t="str">
        <f aca="false">IF($J29="","",INDEX(LEDGER_ENGINE!$I$2:$I$546,$J29))</f>
        <v/>
      </c>
      <c r="G29" s="150" t="str">
        <f aca="false">IF($J29="","",INDEX(LEDGER_ENGINE!$J$2:$J$546,$J29))</f>
        <v/>
      </c>
      <c r="H29" s="150" t="str">
        <f aca="false">IF($J29="","",INDEX(LEDGER_ENGINE!$L$2:$L$546,$J29))</f>
        <v/>
      </c>
      <c r="I29" s="150" t="str">
        <f aca="false">IF(A29="","",I28+H29)</f>
        <v/>
      </c>
      <c r="J29" s="101" t="str">
        <f aca="false">IFERROR(MATCH(LIBRI_I_MADH!$B$4&amp;"|"&amp;ROWS($A$6:A29),LEDGER_ENGINE!$U$2:$U$546,0),"")</f>
        <v/>
      </c>
    </row>
    <row r="30" customFormat="false" ht="15" hidden="false" customHeight="true" outlineLevel="0" collapsed="false">
      <c r="A30" s="148" t="str">
        <f aca="false">IF($J30="","",INDEX(LEDGER_ENGINE!$B$2:$B$546,$J30))</f>
        <v/>
      </c>
      <c r="B30" s="149" t="str">
        <f aca="false">IF($J30="","",INDEX(LEDGER_ENGINE!$C$2:$C$546,$J30))</f>
        <v/>
      </c>
      <c r="C30" s="149" t="str">
        <f aca="false">IF($J30="","",INDEX(LEDGER_ENGINE!$D$2:$D$546,$J30))</f>
        <v/>
      </c>
      <c r="D30" s="149" t="str">
        <f aca="false">IF($J30="","",INDEX(LEDGER_ENGINE!$G$2:$G$546,$J30))</f>
        <v/>
      </c>
      <c r="E30" s="149" t="str">
        <f aca="false">IFERROR(IF($J30="","",INDEX(LEDGER_ENGINE!$H$2:$H$546,$J30)),"")</f>
        <v/>
      </c>
      <c r="F30" s="150" t="str">
        <f aca="false">IF($J30="","",INDEX(LEDGER_ENGINE!$I$2:$I$546,$J30))</f>
        <v/>
      </c>
      <c r="G30" s="150" t="str">
        <f aca="false">IF($J30="","",INDEX(LEDGER_ENGINE!$J$2:$J$546,$J30))</f>
        <v/>
      </c>
      <c r="H30" s="150" t="str">
        <f aca="false">IF($J30="","",INDEX(LEDGER_ENGINE!$L$2:$L$546,$J30))</f>
        <v/>
      </c>
      <c r="I30" s="150" t="str">
        <f aca="false">IF(A30="","",I29+H30)</f>
        <v/>
      </c>
      <c r="J30" s="101" t="str">
        <f aca="false">IFERROR(MATCH(LIBRI_I_MADH!$B$4&amp;"|"&amp;ROWS($A$6:A30),LEDGER_ENGINE!$U$2:$U$546,0),"")</f>
        <v/>
      </c>
    </row>
    <row r="31" customFormat="false" ht="15" hidden="false" customHeight="true" outlineLevel="0" collapsed="false">
      <c r="A31" s="148" t="str">
        <f aca="false">IF($J31="","",INDEX(LEDGER_ENGINE!$B$2:$B$546,$J31))</f>
        <v/>
      </c>
      <c r="B31" s="149" t="str">
        <f aca="false">IF($J31="","",INDEX(LEDGER_ENGINE!$C$2:$C$546,$J31))</f>
        <v/>
      </c>
      <c r="C31" s="149" t="str">
        <f aca="false">IF($J31="","",INDEX(LEDGER_ENGINE!$D$2:$D$546,$J31))</f>
        <v/>
      </c>
      <c r="D31" s="149" t="str">
        <f aca="false">IF($J31="","",INDEX(LEDGER_ENGINE!$G$2:$G$546,$J31))</f>
        <v/>
      </c>
      <c r="E31" s="149" t="str">
        <f aca="false">IFERROR(IF($J31="","",INDEX(LEDGER_ENGINE!$H$2:$H$546,$J31)),"")</f>
        <v/>
      </c>
      <c r="F31" s="150" t="str">
        <f aca="false">IF($J31="","",INDEX(LEDGER_ENGINE!$I$2:$I$546,$J31))</f>
        <v/>
      </c>
      <c r="G31" s="150" t="str">
        <f aca="false">IF($J31="","",INDEX(LEDGER_ENGINE!$J$2:$J$546,$J31))</f>
        <v/>
      </c>
      <c r="H31" s="150" t="str">
        <f aca="false">IF($J31="","",INDEX(LEDGER_ENGINE!$L$2:$L$546,$J31))</f>
        <v/>
      </c>
      <c r="I31" s="150" t="str">
        <f aca="false">IF(A31="","",I30+H31)</f>
        <v/>
      </c>
      <c r="J31" s="101" t="str">
        <f aca="false">IFERROR(MATCH(LIBRI_I_MADH!$B$4&amp;"|"&amp;ROWS($A$6:A31),LEDGER_ENGINE!$U$2:$U$546,0),"")</f>
        <v/>
      </c>
    </row>
    <row r="32" customFormat="false" ht="15" hidden="false" customHeight="true" outlineLevel="0" collapsed="false">
      <c r="A32" s="148" t="str">
        <f aca="false">IF($J32="","",INDEX(LEDGER_ENGINE!$B$2:$B$546,$J32))</f>
        <v/>
      </c>
      <c r="B32" s="149" t="str">
        <f aca="false">IF($J32="","",INDEX(LEDGER_ENGINE!$C$2:$C$546,$J32))</f>
        <v/>
      </c>
      <c r="C32" s="149" t="str">
        <f aca="false">IF($J32="","",INDEX(LEDGER_ENGINE!$D$2:$D$546,$J32))</f>
        <v/>
      </c>
      <c r="D32" s="149" t="str">
        <f aca="false">IF($J32="","",INDEX(LEDGER_ENGINE!$G$2:$G$546,$J32))</f>
        <v/>
      </c>
      <c r="E32" s="149" t="str">
        <f aca="false">IFERROR(IF($J32="","",INDEX(LEDGER_ENGINE!$H$2:$H$546,$J32)),"")</f>
        <v/>
      </c>
      <c r="F32" s="150" t="str">
        <f aca="false">IF($J32="","",INDEX(LEDGER_ENGINE!$I$2:$I$546,$J32))</f>
        <v/>
      </c>
      <c r="G32" s="150" t="str">
        <f aca="false">IF($J32="","",INDEX(LEDGER_ENGINE!$J$2:$J$546,$J32))</f>
        <v/>
      </c>
      <c r="H32" s="150" t="str">
        <f aca="false">IF($J32="","",INDEX(LEDGER_ENGINE!$L$2:$L$546,$J32))</f>
        <v/>
      </c>
      <c r="I32" s="150" t="str">
        <f aca="false">IF(A32="","",I31+H32)</f>
        <v/>
      </c>
      <c r="J32" s="101" t="str">
        <f aca="false">IFERROR(MATCH(LIBRI_I_MADH!$B$4&amp;"|"&amp;ROWS($A$6:A32),LEDGER_ENGINE!$U$2:$U$546,0),"")</f>
        <v/>
      </c>
    </row>
    <row r="33" customFormat="false" ht="15" hidden="false" customHeight="true" outlineLevel="0" collapsed="false">
      <c r="A33" s="148" t="str">
        <f aca="false">IF($J33="","",INDEX(LEDGER_ENGINE!$B$2:$B$546,$J33))</f>
        <v/>
      </c>
      <c r="B33" s="149" t="str">
        <f aca="false">IF($J33="","",INDEX(LEDGER_ENGINE!$C$2:$C$546,$J33))</f>
        <v/>
      </c>
      <c r="C33" s="149" t="str">
        <f aca="false">IF($J33="","",INDEX(LEDGER_ENGINE!$D$2:$D$546,$J33))</f>
        <v/>
      </c>
      <c r="D33" s="149" t="str">
        <f aca="false">IF($J33="","",INDEX(LEDGER_ENGINE!$G$2:$G$546,$J33))</f>
        <v/>
      </c>
      <c r="E33" s="149" t="str">
        <f aca="false">IFERROR(IF($J33="","",INDEX(LEDGER_ENGINE!$H$2:$H$546,$J33)),"")</f>
        <v/>
      </c>
      <c r="F33" s="150" t="str">
        <f aca="false">IF($J33="","",INDEX(LEDGER_ENGINE!$I$2:$I$546,$J33))</f>
        <v/>
      </c>
      <c r="G33" s="150" t="str">
        <f aca="false">IF($J33="","",INDEX(LEDGER_ENGINE!$J$2:$J$546,$J33))</f>
        <v/>
      </c>
      <c r="H33" s="150" t="str">
        <f aca="false">IF($J33="","",INDEX(LEDGER_ENGINE!$L$2:$L$546,$J33))</f>
        <v/>
      </c>
      <c r="I33" s="150" t="str">
        <f aca="false">IF(A33="","",I32+H33)</f>
        <v/>
      </c>
      <c r="J33" s="101" t="str">
        <f aca="false">IFERROR(MATCH(LIBRI_I_MADH!$B$4&amp;"|"&amp;ROWS($A$6:A33),LEDGER_ENGINE!$U$2:$U$546,0),"")</f>
        <v/>
      </c>
    </row>
    <row r="34" customFormat="false" ht="15" hidden="false" customHeight="true" outlineLevel="0" collapsed="false">
      <c r="A34" s="148" t="str">
        <f aca="false">IF($J34="","",INDEX(LEDGER_ENGINE!$B$2:$B$546,$J34))</f>
        <v/>
      </c>
      <c r="B34" s="149" t="str">
        <f aca="false">IF($J34="","",INDEX(LEDGER_ENGINE!$C$2:$C$546,$J34))</f>
        <v/>
      </c>
      <c r="C34" s="149" t="str">
        <f aca="false">IF($J34="","",INDEX(LEDGER_ENGINE!$D$2:$D$546,$J34))</f>
        <v/>
      </c>
      <c r="D34" s="149" t="str">
        <f aca="false">IF($J34="","",INDEX(LEDGER_ENGINE!$G$2:$G$546,$J34))</f>
        <v/>
      </c>
      <c r="E34" s="149" t="str">
        <f aca="false">IFERROR(IF($J34="","",INDEX(LEDGER_ENGINE!$H$2:$H$546,$J34)),"")</f>
        <v/>
      </c>
      <c r="F34" s="150" t="str">
        <f aca="false">IF($J34="","",INDEX(LEDGER_ENGINE!$I$2:$I$546,$J34))</f>
        <v/>
      </c>
      <c r="G34" s="150" t="str">
        <f aca="false">IF($J34="","",INDEX(LEDGER_ENGINE!$J$2:$J$546,$J34))</f>
        <v/>
      </c>
      <c r="H34" s="150" t="str">
        <f aca="false">IF($J34="","",INDEX(LEDGER_ENGINE!$L$2:$L$546,$J34))</f>
        <v/>
      </c>
      <c r="I34" s="150" t="str">
        <f aca="false">IF(A34="","",I33+H34)</f>
        <v/>
      </c>
      <c r="J34" s="101" t="str">
        <f aca="false">IFERROR(MATCH(LIBRI_I_MADH!$B$4&amp;"|"&amp;ROWS($A$6:A34),LEDGER_ENGINE!$U$2:$U$546,0),"")</f>
        <v/>
      </c>
    </row>
    <row r="35" customFormat="false" ht="15" hidden="false" customHeight="true" outlineLevel="0" collapsed="false">
      <c r="A35" s="148" t="str">
        <f aca="false">IF($J35="","",INDEX(LEDGER_ENGINE!$B$2:$B$546,$J35))</f>
        <v/>
      </c>
      <c r="B35" s="149" t="str">
        <f aca="false">IF($J35="","",INDEX(LEDGER_ENGINE!$C$2:$C$546,$J35))</f>
        <v/>
      </c>
      <c r="C35" s="149" t="str">
        <f aca="false">IF($J35="","",INDEX(LEDGER_ENGINE!$D$2:$D$546,$J35))</f>
        <v/>
      </c>
      <c r="D35" s="149" t="str">
        <f aca="false">IF($J35="","",INDEX(LEDGER_ENGINE!$G$2:$G$546,$J35))</f>
        <v/>
      </c>
      <c r="E35" s="149" t="str">
        <f aca="false">IFERROR(IF($J35="","",INDEX(LEDGER_ENGINE!$H$2:$H$546,$J35)),"")</f>
        <v/>
      </c>
      <c r="F35" s="150" t="str">
        <f aca="false">IF($J35="","",INDEX(LEDGER_ENGINE!$I$2:$I$546,$J35))</f>
        <v/>
      </c>
      <c r="G35" s="150" t="str">
        <f aca="false">IF($J35="","",INDEX(LEDGER_ENGINE!$J$2:$J$546,$J35))</f>
        <v/>
      </c>
      <c r="H35" s="150" t="str">
        <f aca="false">IF($J35="","",INDEX(LEDGER_ENGINE!$L$2:$L$546,$J35))</f>
        <v/>
      </c>
      <c r="I35" s="150" t="str">
        <f aca="false">IF(A35="","",I34+H35)</f>
        <v/>
      </c>
      <c r="J35" s="101" t="str">
        <f aca="false">IFERROR(MATCH(LIBRI_I_MADH!$B$4&amp;"|"&amp;ROWS($A$6:A35),LEDGER_ENGINE!$U$2:$U$546,0),"")</f>
        <v/>
      </c>
    </row>
    <row r="36" customFormat="false" ht="15" hidden="false" customHeight="true" outlineLevel="0" collapsed="false">
      <c r="A36" s="148" t="str">
        <f aca="false">IF($J36="","",INDEX(LEDGER_ENGINE!$B$2:$B$546,$J36))</f>
        <v/>
      </c>
      <c r="B36" s="149" t="str">
        <f aca="false">IF($J36="","",INDEX(LEDGER_ENGINE!$C$2:$C$546,$J36))</f>
        <v/>
      </c>
      <c r="C36" s="149" t="str">
        <f aca="false">IF($J36="","",INDEX(LEDGER_ENGINE!$D$2:$D$546,$J36))</f>
        <v/>
      </c>
      <c r="D36" s="149" t="str">
        <f aca="false">IF($J36="","",INDEX(LEDGER_ENGINE!$G$2:$G$546,$J36))</f>
        <v/>
      </c>
      <c r="E36" s="149" t="str">
        <f aca="false">IFERROR(IF($J36="","",INDEX(LEDGER_ENGINE!$H$2:$H$546,$J36)),"")</f>
        <v/>
      </c>
      <c r="F36" s="150" t="str">
        <f aca="false">IF($J36="","",INDEX(LEDGER_ENGINE!$I$2:$I$546,$J36))</f>
        <v/>
      </c>
      <c r="G36" s="150" t="str">
        <f aca="false">IF($J36="","",INDEX(LEDGER_ENGINE!$J$2:$J$546,$J36))</f>
        <v/>
      </c>
      <c r="H36" s="150" t="str">
        <f aca="false">IF($J36="","",INDEX(LEDGER_ENGINE!$L$2:$L$546,$J36))</f>
        <v/>
      </c>
      <c r="I36" s="150" t="str">
        <f aca="false">IF(A36="","",I35+H36)</f>
        <v/>
      </c>
      <c r="J36" s="101" t="str">
        <f aca="false">IFERROR(MATCH(LIBRI_I_MADH!$B$4&amp;"|"&amp;ROWS($A$6:A36),LEDGER_ENGINE!$U$2:$U$546,0),"")</f>
        <v/>
      </c>
    </row>
    <row r="37" customFormat="false" ht="15" hidden="false" customHeight="true" outlineLevel="0" collapsed="false">
      <c r="A37" s="148" t="str">
        <f aca="false">IF($J37="","",INDEX(LEDGER_ENGINE!$B$2:$B$546,$J37))</f>
        <v/>
      </c>
      <c r="B37" s="149" t="str">
        <f aca="false">IF($J37="","",INDEX(LEDGER_ENGINE!$C$2:$C$546,$J37))</f>
        <v/>
      </c>
      <c r="C37" s="149" t="str">
        <f aca="false">IF($J37="","",INDEX(LEDGER_ENGINE!$D$2:$D$546,$J37))</f>
        <v/>
      </c>
      <c r="D37" s="149" t="str">
        <f aca="false">IF($J37="","",INDEX(LEDGER_ENGINE!$G$2:$G$546,$J37))</f>
        <v/>
      </c>
      <c r="E37" s="149" t="str">
        <f aca="false">IFERROR(IF($J37="","",INDEX(LEDGER_ENGINE!$H$2:$H$546,$J37)),"")</f>
        <v/>
      </c>
      <c r="F37" s="150" t="str">
        <f aca="false">IF($J37="","",INDEX(LEDGER_ENGINE!$I$2:$I$546,$J37))</f>
        <v/>
      </c>
      <c r="G37" s="150" t="str">
        <f aca="false">IF($J37="","",INDEX(LEDGER_ENGINE!$J$2:$J$546,$J37))</f>
        <v/>
      </c>
      <c r="H37" s="150" t="str">
        <f aca="false">IF($J37="","",INDEX(LEDGER_ENGINE!$L$2:$L$546,$J37))</f>
        <v/>
      </c>
      <c r="I37" s="150" t="str">
        <f aca="false">IF(A37="","",I36+H37)</f>
        <v/>
      </c>
      <c r="J37" s="101" t="str">
        <f aca="false">IFERROR(MATCH(LIBRI_I_MADH!$B$4&amp;"|"&amp;ROWS($A$6:A37),LEDGER_ENGINE!$U$2:$U$546,0),"")</f>
        <v/>
      </c>
    </row>
    <row r="38" customFormat="false" ht="15" hidden="false" customHeight="true" outlineLevel="0" collapsed="false">
      <c r="A38" s="148" t="str">
        <f aca="false">IF($J38="","",INDEX(LEDGER_ENGINE!$B$2:$B$546,$J38))</f>
        <v/>
      </c>
      <c r="B38" s="149" t="str">
        <f aca="false">IF($J38="","",INDEX(LEDGER_ENGINE!$C$2:$C$546,$J38))</f>
        <v/>
      </c>
      <c r="C38" s="149" t="str">
        <f aca="false">IF($J38="","",INDEX(LEDGER_ENGINE!$D$2:$D$546,$J38))</f>
        <v/>
      </c>
      <c r="D38" s="149" t="str">
        <f aca="false">IF($J38="","",INDEX(LEDGER_ENGINE!$G$2:$G$546,$J38))</f>
        <v/>
      </c>
      <c r="E38" s="149" t="str">
        <f aca="false">IFERROR(IF($J38="","",INDEX(LEDGER_ENGINE!$H$2:$H$546,$J38)),"")</f>
        <v/>
      </c>
      <c r="F38" s="150" t="str">
        <f aca="false">IF($J38="","",INDEX(LEDGER_ENGINE!$I$2:$I$546,$J38))</f>
        <v/>
      </c>
      <c r="G38" s="150" t="str">
        <f aca="false">IF($J38="","",INDEX(LEDGER_ENGINE!$J$2:$J$546,$J38))</f>
        <v/>
      </c>
      <c r="H38" s="150" t="str">
        <f aca="false">IF($J38="","",INDEX(LEDGER_ENGINE!$L$2:$L$546,$J38))</f>
        <v/>
      </c>
      <c r="I38" s="150" t="str">
        <f aca="false">IF(A38="","",I37+H38)</f>
        <v/>
      </c>
      <c r="J38" s="101" t="str">
        <f aca="false">IFERROR(MATCH(LIBRI_I_MADH!$B$4&amp;"|"&amp;ROWS($A$6:A38),LEDGER_ENGINE!$U$2:$U$546,0),"")</f>
        <v/>
      </c>
    </row>
    <row r="39" customFormat="false" ht="15" hidden="false" customHeight="true" outlineLevel="0" collapsed="false">
      <c r="A39" s="148" t="str">
        <f aca="false">IF($J39="","",INDEX(LEDGER_ENGINE!$B$2:$B$546,$J39))</f>
        <v/>
      </c>
      <c r="B39" s="149" t="str">
        <f aca="false">IF($J39="","",INDEX(LEDGER_ENGINE!$C$2:$C$546,$J39))</f>
        <v/>
      </c>
      <c r="C39" s="149" t="str">
        <f aca="false">IF($J39="","",INDEX(LEDGER_ENGINE!$D$2:$D$546,$J39))</f>
        <v/>
      </c>
      <c r="D39" s="149" t="str">
        <f aca="false">IF($J39="","",INDEX(LEDGER_ENGINE!$G$2:$G$546,$J39))</f>
        <v/>
      </c>
      <c r="E39" s="149" t="str">
        <f aca="false">IFERROR(IF($J39="","",INDEX(LEDGER_ENGINE!$H$2:$H$546,$J39)),"")</f>
        <v/>
      </c>
      <c r="F39" s="150" t="str">
        <f aca="false">IF($J39="","",INDEX(LEDGER_ENGINE!$I$2:$I$546,$J39))</f>
        <v/>
      </c>
      <c r="G39" s="150" t="str">
        <f aca="false">IF($J39="","",INDEX(LEDGER_ENGINE!$J$2:$J$546,$J39))</f>
        <v/>
      </c>
      <c r="H39" s="150" t="str">
        <f aca="false">IF($J39="","",INDEX(LEDGER_ENGINE!$L$2:$L$546,$J39))</f>
        <v/>
      </c>
      <c r="I39" s="150" t="str">
        <f aca="false">IF(A39="","",I38+H39)</f>
        <v/>
      </c>
      <c r="J39" s="101" t="str">
        <f aca="false">IFERROR(MATCH(LIBRI_I_MADH!$B$4&amp;"|"&amp;ROWS($A$6:A39),LEDGER_ENGINE!$U$2:$U$546,0),"")</f>
        <v/>
      </c>
    </row>
    <row r="40" customFormat="false" ht="15" hidden="false" customHeight="true" outlineLevel="0" collapsed="false">
      <c r="A40" s="148" t="str">
        <f aca="false">IF($J40="","",INDEX(LEDGER_ENGINE!$B$2:$B$546,$J40))</f>
        <v/>
      </c>
      <c r="B40" s="149" t="str">
        <f aca="false">IF($J40="","",INDEX(LEDGER_ENGINE!$C$2:$C$546,$J40))</f>
        <v/>
      </c>
      <c r="C40" s="149" t="str">
        <f aca="false">IF($J40="","",INDEX(LEDGER_ENGINE!$D$2:$D$546,$J40))</f>
        <v/>
      </c>
      <c r="D40" s="149" t="str">
        <f aca="false">IF($J40="","",INDEX(LEDGER_ENGINE!$G$2:$G$546,$J40))</f>
        <v/>
      </c>
      <c r="E40" s="149" t="str">
        <f aca="false">IFERROR(IF($J40="","",INDEX(LEDGER_ENGINE!$H$2:$H$546,$J40)),"")</f>
        <v/>
      </c>
      <c r="F40" s="150" t="str">
        <f aca="false">IF($J40="","",INDEX(LEDGER_ENGINE!$I$2:$I$546,$J40))</f>
        <v/>
      </c>
      <c r="G40" s="150" t="str">
        <f aca="false">IF($J40="","",INDEX(LEDGER_ENGINE!$J$2:$J$546,$J40))</f>
        <v/>
      </c>
      <c r="H40" s="150" t="str">
        <f aca="false">IF($J40="","",INDEX(LEDGER_ENGINE!$L$2:$L$546,$J40))</f>
        <v/>
      </c>
      <c r="I40" s="150" t="str">
        <f aca="false">IF(A40="","",I39+H40)</f>
        <v/>
      </c>
      <c r="J40" s="101" t="str">
        <f aca="false">IFERROR(MATCH(LIBRI_I_MADH!$B$4&amp;"|"&amp;ROWS($A$6:A40),LEDGER_ENGINE!$U$2:$U$546,0),"")</f>
        <v/>
      </c>
    </row>
    <row r="41" customFormat="false" ht="15" hidden="false" customHeight="true" outlineLevel="0" collapsed="false">
      <c r="A41" s="148" t="str">
        <f aca="false">IF($J41="","",INDEX(LEDGER_ENGINE!$B$2:$B$546,$J41))</f>
        <v/>
      </c>
      <c r="B41" s="149" t="str">
        <f aca="false">IF($J41="","",INDEX(LEDGER_ENGINE!$C$2:$C$546,$J41))</f>
        <v/>
      </c>
      <c r="C41" s="149" t="str">
        <f aca="false">IF($J41="","",INDEX(LEDGER_ENGINE!$D$2:$D$546,$J41))</f>
        <v/>
      </c>
      <c r="D41" s="149" t="str">
        <f aca="false">IF($J41="","",INDEX(LEDGER_ENGINE!$G$2:$G$546,$J41))</f>
        <v/>
      </c>
      <c r="E41" s="149" t="str">
        <f aca="false">IFERROR(IF($J41="","",INDEX(LEDGER_ENGINE!$H$2:$H$546,$J41)),"")</f>
        <v/>
      </c>
      <c r="F41" s="150" t="str">
        <f aca="false">IF($J41="","",INDEX(LEDGER_ENGINE!$I$2:$I$546,$J41))</f>
        <v/>
      </c>
      <c r="G41" s="150" t="str">
        <f aca="false">IF($J41="","",INDEX(LEDGER_ENGINE!$J$2:$J$546,$J41))</f>
        <v/>
      </c>
      <c r="H41" s="150" t="str">
        <f aca="false">IF($J41="","",INDEX(LEDGER_ENGINE!$L$2:$L$546,$J41))</f>
        <v/>
      </c>
      <c r="I41" s="150" t="str">
        <f aca="false">IF(A41="","",I40+H41)</f>
        <v/>
      </c>
      <c r="J41" s="101" t="str">
        <f aca="false">IFERROR(MATCH(LIBRI_I_MADH!$B$4&amp;"|"&amp;ROWS($A$6:A41),LEDGER_ENGINE!$U$2:$U$546,0),"")</f>
        <v/>
      </c>
    </row>
    <row r="42" customFormat="false" ht="15" hidden="false" customHeight="true" outlineLevel="0" collapsed="false">
      <c r="A42" s="148" t="str">
        <f aca="false">IF($J42="","",INDEX(LEDGER_ENGINE!$B$2:$B$546,$J42))</f>
        <v/>
      </c>
      <c r="B42" s="149" t="str">
        <f aca="false">IF($J42="","",INDEX(LEDGER_ENGINE!$C$2:$C$546,$J42))</f>
        <v/>
      </c>
      <c r="C42" s="149" t="str">
        <f aca="false">IF($J42="","",INDEX(LEDGER_ENGINE!$D$2:$D$546,$J42))</f>
        <v/>
      </c>
      <c r="D42" s="149" t="str">
        <f aca="false">IF($J42="","",INDEX(LEDGER_ENGINE!$G$2:$G$546,$J42))</f>
        <v/>
      </c>
      <c r="E42" s="149" t="str">
        <f aca="false">IFERROR(IF($J42="","",INDEX(LEDGER_ENGINE!$H$2:$H$546,$J42)),"")</f>
        <v/>
      </c>
      <c r="F42" s="150" t="str">
        <f aca="false">IF($J42="","",INDEX(LEDGER_ENGINE!$I$2:$I$546,$J42))</f>
        <v/>
      </c>
      <c r="G42" s="150" t="str">
        <f aca="false">IF($J42="","",INDEX(LEDGER_ENGINE!$J$2:$J$546,$J42))</f>
        <v/>
      </c>
      <c r="H42" s="150" t="str">
        <f aca="false">IF($J42="","",INDEX(LEDGER_ENGINE!$L$2:$L$546,$J42))</f>
        <v/>
      </c>
      <c r="I42" s="150" t="str">
        <f aca="false">IF(A42="","",I41+H42)</f>
        <v/>
      </c>
      <c r="J42" s="101" t="str">
        <f aca="false">IFERROR(MATCH(LIBRI_I_MADH!$B$4&amp;"|"&amp;ROWS($A$6:A42),LEDGER_ENGINE!$U$2:$U$546,0),"")</f>
        <v/>
      </c>
    </row>
    <row r="43" customFormat="false" ht="15" hidden="false" customHeight="true" outlineLevel="0" collapsed="false">
      <c r="A43" s="148" t="str">
        <f aca="false">IF($J43="","",INDEX(LEDGER_ENGINE!$B$2:$B$546,$J43))</f>
        <v/>
      </c>
      <c r="B43" s="149" t="str">
        <f aca="false">IF($J43="","",INDEX(LEDGER_ENGINE!$C$2:$C$546,$J43))</f>
        <v/>
      </c>
      <c r="C43" s="149" t="str">
        <f aca="false">IF($J43="","",INDEX(LEDGER_ENGINE!$D$2:$D$546,$J43))</f>
        <v/>
      </c>
      <c r="D43" s="149" t="str">
        <f aca="false">IF($J43="","",INDEX(LEDGER_ENGINE!$G$2:$G$546,$J43))</f>
        <v/>
      </c>
      <c r="E43" s="149" t="str">
        <f aca="false">IFERROR(IF($J43="","",INDEX(LEDGER_ENGINE!$H$2:$H$546,$J43)),"")</f>
        <v/>
      </c>
      <c r="F43" s="150" t="str">
        <f aca="false">IF($J43="","",INDEX(LEDGER_ENGINE!$I$2:$I$546,$J43))</f>
        <v/>
      </c>
      <c r="G43" s="150" t="str">
        <f aca="false">IF($J43="","",INDEX(LEDGER_ENGINE!$J$2:$J$546,$J43))</f>
        <v/>
      </c>
      <c r="H43" s="150" t="str">
        <f aca="false">IF($J43="","",INDEX(LEDGER_ENGINE!$L$2:$L$546,$J43))</f>
        <v/>
      </c>
      <c r="I43" s="150" t="str">
        <f aca="false">IF(A43="","",I42+H43)</f>
        <v/>
      </c>
      <c r="J43" s="101" t="str">
        <f aca="false">IFERROR(MATCH(LIBRI_I_MADH!$B$4&amp;"|"&amp;ROWS($A$6:A43),LEDGER_ENGINE!$U$2:$U$546,0),"")</f>
        <v/>
      </c>
    </row>
    <row r="44" customFormat="false" ht="15" hidden="false" customHeight="true" outlineLevel="0" collapsed="false">
      <c r="A44" s="148" t="str">
        <f aca="false">IF($J44="","",INDEX(LEDGER_ENGINE!$B$2:$B$546,$J44))</f>
        <v/>
      </c>
      <c r="B44" s="149" t="str">
        <f aca="false">IF($J44="","",INDEX(LEDGER_ENGINE!$C$2:$C$546,$J44))</f>
        <v/>
      </c>
      <c r="C44" s="149" t="str">
        <f aca="false">IF($J44="","",INDEX(LEDGER_ENGINE!$D$2:$D$546,$J44))</f>
        <v/>
      </c>
      <c r="D44" s="149" t="str">
        <f aca="false">IF($J44="","",INDEX(LEDGER_ENGINE!$G$2:$G$546,$J44))</f>
        <v/>
      </c>
      <c r="E44" s="149" t="str">
        <f aca="false">IFERROR(IF($J44="","",INDEX(LEDGER_ENGINE!$H$2:$H$546,$J44)),"")</f>
        <v/>
      </c>
      <c r="F44" s="150" t="str">
        <f aca="false">IF($J44="","",INDEX(LEDGER_ENGINE!$I$2:$I$546,$J44))</f>
        <v/>
      </c>
      <c r="G44" s="150" t="str">
        <f aca="false">IF($J44="","",INDEX(LEDGER_ENGINE!$J$2:$J$546,$J44))</f>
        <v/>
      </c>
      <c r="H44" s="150" t="str">
        <f aca="false">IF($J44="","",INDEX(LEDGER_ENGINE!$L$2:$L$546,$J44))</f>
        <v/>
      </c>
      <c r="I44" s="150" t="str">
        <f aca="false">IF(A44="","",I43+H44)</f>
        <v/>
      </c>
      <c r="J44" s="101" t="str">
        <f aca="false">IFERROR(MATCH(LIBRI_I_MADH!$B$4&amp;"|"&amp;ROWS($A$6:A44),LEDGER_ENGINE!$U$2:$U$546,0),"")</f>
        <v/>
      </c>
    </row>
    <row r="45" customFormat="false" ht="15" hidden="false" customHeight="true" outlineLevel="0" collapsed="false">
      <c r="A45" s="148" t="str">
        <f aca="false">IF($J45="","",INDEX(LEDGER_ENGINE!$B$2:$B$546,$J45))</f>
        <v/>
      </c>
      <c r="B45" s="149" t="str">
        <f aca="false">IF($J45="","",INDEX(LEDGER_ENGINE!$C$2:$C$546,$J45))</f>
        <v/>
      </c>
      <c r="C45" s="149" t="str">
        <f aca="false">IF($J45="","",INDEX(LEDGER_ENGINE!$D$2:$D$546,$J45))</f>
        <v/>
      </c>
      <c r="D45" s="149" t="str">
        <f aca="false">IF($J45="","",INDEX(LEDGER_ENGINE!$G$2:$G$546,$J45))</f>
        <v/>
      </c>
      <c r="E45" s="149" t="str">
        <f aca="false">IFERROR(IF($J45="","",INDEX(LEDGER_ENGINE!$H$2:$H$546,$J45)),"")</f>
        <v/>
      </c>
      <c r="F45" s="150" t="str">
        <f aca="false">IF($J45="","",INDEX(LEDGER_ENGINE!$I$2:$I$546,$J45))</f>
        <v/>
      </c>
      <c r="G45" s="150" t="str">
        <f aca="false">IF($J45="","",INDEX(LEDGER_ENGINE!$J$2:$J$546,$J45))</f>
        <v/>
      </c>
      <c r="H45" s="150" t="str">
        <f aca="false">IF($J45="","",INDEX(LEDGER_ENGINE!$L$2:$L$546,$J45))</f>
        <v/>
      </c>
      <c r="I45" s="150" t="str">
        <f aca="false">IF(A45="","",I44+H45)</f>
        <v/>
      </c>
      <c r="J45" s="101" t="str">
        <f aca="false">IFERROR(MATCH(LIBRI_I_MADH!$B$4&amp;"|"&amp;ROWS($A$6:A45),LEDGER_ENGINE!$U$2:$U$546,0),"")</f>
        <v/>
      </c>
    </row>
    <row r="46" customFormat="false" ht="15" hidden="false" customHeight="true" outlineLevel="0" collapsed="false">
      <c r="A46" s="148" t="str">
        <f aca="false">IF($J46="","",INDEX(LEDGER_ENGINE!$B$2:$B$546,$J46))</f>
        <v/>
      </c>
      <c r="B46" s="149" t="str">
        <f aca="false">IF($J46="","",INDEX(LEDGER_ENGINE!$C$2:$C$546,$J46))</f>
        <v/>
      </c>
      <c r="C46" s="149" t="str">
        <f aca="false">IF($J46="","",INDEX(LEDGER_ENGINE!$D$2:$D$546,$J46))</f>
        <v/>
      </c>
      <c r="D46" s="149" t="str">
        <f aca="false">IF($J46="","",INDEX(LEDGER_ENGINE!$G$2:$G$546,$J46))</f>
        <v/>
      </c>
      <c r="E46" s="149" t="str">
        <f aca="false">IFERROR(IF($J46="","",INDEX(LEDGER_ENGINE!$H$2:$H$546,$J46)),"")</f>
        <v/>
      </c>
      <c r="F46" s="150" t="str">
        <f aca="false">IF($J46="","",INDEX(LEDGER_ENGINE!$I$2:$I$546,$J46))</f>
        <v/>
      </c>
      <c r="G46" s="150" t="str">
        <f aca="false">IF($J46="","",INDEX(LEDGER_ENGINE!$J$2:$J$546,$J46))</f>
        <v/>
      </c>
      <c r="H46" s="150" t="str">
        <f aca="false">IF($J46="","",INDEX(LEDGER_ENGINE!$L$2:$L$546,$J46))</f>
        <v/>
      </c>
      <c r="I46" s="150" t="str">
        <f aca="false">IF(A46="","",I45+H46)</f>
        <v/>
      </c>
      <c r="J46" s="101" t="str">
        <f aca="false">IFERROR(MATCH(LIBRI_I_MADH!$B$4&amp;"|"&amp;ROWS($A$6:A46),LEDGER_ENGINE!$U$2:$U$546,0),"")</f>
        <v/>
      </c>
    </row>
    <row r="47" customFormat="false" ht="15" hidden="false" customHeight="true" outlineLevel="0" collapsed="false">
      <c r="A47" s="148" t="str">
        <f aca="false">IF($J47="","",INDEX(LEDGER_ENGINE!$B$2:$B$546,$J47))</f>
        <v/>
      </c>
      <c r="B47" s="149" t="str">
        <f aca="false">IF($J47="","",INDEX(LEDGER_ENGINE!$C$2:$C$546,$J47))</f>
        <v/>
      </c>
      <c r="C47" s="149" t="str">
        <f aca="false">IF($J47="","",INDEX(LEDGER_ENGINE!$D$2:$D$546,$J47))</f>
        <v/>
      </c>
      <c r="D47" s="149" t="str">
        <f aca="false">IF($J47="","",INDEX(LEDGER_ENGINE!$G$2:$G$546,$J47))</f>
        <v/>
      </c>
      <c r="E47" s="149" t="str">
        <f aca="false">IFERROR(IF($J47="","",INDEX(LEDGER_ENGINE!$H$2:$H$546,$J47)),"")</f>
        <v/>
      </c>
      <c r="F47" s="150" t="str">
        <f aca="false">IF($J47="","",INDEX(LEDGER_ENGINE!$I$2:$I$546,$J47))</f>
        <v/>
      </c>
      <c r="G47" s="150" t="str">
        <f aca="false">IF($J47="","",INDEX(LEDGER_ENGINE!$J$2:$J$546,$J47))</f>
        <v/>
      </c>
      <c r="H47" s="150" t="str">
        <f aca="false">IF($J47="","",INDEX(LEDGER_ENGINE!$L$2:$L$546,$J47))</f>
        <v/>
      </c>
      <c r="I47" s="150" t="str">
        <f aca="false">IF(A47="","",I46+H47)</f>
        <v/>
      </c>
      <c r="J47" s="101" t="str">
        <f aca="false">IFERROR(MATCH(LIBRI_I_MADH!$B$4&amp;"|"&amp;ROWS($A$6:A47),LEDGER_ENGINE!$U$2:$U$546,0),"")</f>
        <v/>
      </c>
    </row>
    <row r="48" customFormat="false" ht="15" hidden="false" customHeight="true" outlineLevel="0" collapsed="false">
      <c r="A48" s="148" t="str">
        <f aca="false">IF($J48="","",INDEX(LEDGER_ENGINE!$B$2:$B$546,$J48))</f>
        <v/>
      </c>
      <c r="B48" s="149" t="str">
        <f aca="false">IF($J48="","",INDEX(LEDGER_ENGINE!$C$2:$C$546,$J48))</f>
        <v/>
      </c>
      <c r="C48" s="149" t="str">
        <f aca="false">IF($J48="","",INDEX(LEDGER_ENGINE!$D$2:$D$546,$J48))</f>
        <v/>
      </c>
      <c r="D48" s="149" t="str">
        <f aca="false">IF($J48="","",INDEX(LEDGER_ENGINE!$G$2:$G$546,$J48))</f>
        <v/>
      </c>
      <c r="E48" s="149" t="str">
        <f aca="false">IFERROR(IF($J48="","",INDEX(LEDGER_ENGINE!$H$2:$H$546,$J48)),"")</f>
        <v/>
      </c>
      <c r="F48" s="150" t="str">
        <f aca="false">IF($J48="","",INDEX(LEDGER_ENGINE!$I$2:$I$546,$J48))</f>
        <v/>
      </c>
      <c r="G48" s="150" t="str">
        <f aca="false">IF($J48="","",INDEX(LEDGER_ENGINE!$J$2:$J$546,$J48))</f>
        <v/>
      </c>
      <c r="H48" s="150" t="str">
        <f aca="false">IF($J48="","",INDEX(LEDGER_ENGINE!$L$2:$L$546,$J48))</f>
        <v/>
      </c>
      <c r="I48" s="150" t="str">
        <f aca="false">IF(A48="","",I47+H48)</f>
        <v/>
      </c>
      <c r="J48" s="101" t="str">
        <f aca="false">IFERROR(MATCH(LIBRI_I_MADH!$B$4&amp;"|"&amp;ROWS($A$6:A48),LEDGER_ENGINE!$U$2:$U$546,0),"")</f>
        <v/>
      </c>
    </row>
    <row r="49" customFormat="false" ht="15" hidden="false" customHeight="true" outlineLevel="0" collapsed="false">
      <c r="A49" s="148" t="str">
        <f aca="false">IF($J49="","",INDEX(LEDGER_ENGINE!$B$2:$B$546,$J49))</f>
        <v/>
      </c>
      <c r="B49" s="149" t="str">
        <f aca="false">IF($J49="","",INDEX(LEDGER_ENGINE!$C$2:$C$546,$J49))</f>
        <v/>
      </c>
      <c r="C49" s="149" t="str">
        <f aca="false">IF($J49="","",INDEX(LEDGER_ENGINE!$D$2:$D$546,$J49))</f>
        <v/>
      </c>
      <c r="D49" s="149" t="str">
        <f aca="false">IF($J49="","",INDEX(LEDGER_ENGINE!$G$2:$G$546,$J49))</f>
        <v/>
      </c>
      <c r="E49" s="149" t="str">
        <f aca="false">IFERROR(IF($J49="","",INDEX(LEDGER_ENGINE!$H$2:$H$546,$J49)),"")</f>
        <v/>
      </c>
      <c r="F49" s="150" t="str">
        <f aca="false">IF($J49="","",INDEX(LEDGER_ENGINE!$I$2:$I$546,$J49))</f>
        <v/>
      </c>
      <c r="G49" s="150" t="str">
        <f aca="false">IF($J49="","",INDEX(LEDGER_ENGINE!$J$2:$J$546,$J49))</f>
        <v/>
      </c>
      <c r="H49" s="150" t="str">
        <f aca="false">IF($J49="","",INDEX(LEDGER_ENGINE!$L$2:$L$546,$J49))</f>
        <v/>
      </c>
      <c r="I49" s="150" t="str">
        <f aca="false">IF(A49="","",I48+H49)</f>
        <v/>
      </c>
      <c r="J49" s="101" t="str">
        <f aca="false">IFERROR(MATCH(LIBRI_I_MADH!$B$4&amp;"|"&amp;ROWS($A$6:A49),LEDGER_ENGINE!$U$2:$U$546,0),"")</f>
        <v/>
      </c>
    </row>
    <row r="50" customFormat="false" ht="15" hidden="false" customHeight="true" outlineLevel="0" collapsed="false">
      <c r="A50" s="148" t="str">
        <f aca="false">IF($J50="","",INDEX(LEDGER_ENGINE!$B$2:$B$546,$J50))</f>
        <v/>
      </c>
      <c r="B50" s="149" t="str">
        <f aca="false">IF($J50="","",INDEX(LEDGER_ENGINE!$C$2:$C$546,$J50))</f>
        <v/>
      </c>
      <c r="C50" s="149" t="str">
        <f aca="false">IF($J50="","",INDEX(LEDGER_ENGINE!$D$2:$D$546,$J50))</f>
        <v/>
      </c>
      <c r="D50" s="149" t="str">
        <f aca="false">IF($J50="","",INDEX(LEDGER_ENGINE!$G$2:$G$546,$J50))</f>
        <v/>
      </c>
      <c r="E50" s="149" t="str">
        <f aca="false">IFERROR(IF($J50="","",INDEX(LEDGER_ENGINE!$H$2:$H$546,$J50)),"")</f>
        <v/>
      </c>
      <c r="F50" s="150" t="str">
        <f aca="false">IF($J50="","",INDEX(LEDGER_ENGINE!$I$2:$I$546,$J50))</f>
        <v/>
      </c>
      <c r="G50" s="150" t="str">
        <f aca="false">IF($J50="","",INDEX(LEDGER_ENGINE!$J$2:$J$546,$J50))</f>
        <v/>
      </c>
      <c r="H50" s="150" t="str">
        <f aca="false">IF($J50="","",INDEX(LEDGER_ENGINE!$L$2:$L$546,$J50))</f>
        <v/>
      </c>
      <c r="I50" s="150" t="str">
        <f aca="false">IF(A50="","",I49+H50)</f>
        <v/>
      </c>
      <c r="J50" s="101" t="str">
        <f aca="false">IFERROR(MATCH(LIBRI_I_MADH!$B$4&amp;"|"&amp;ROWS($A$6:A50),LEDGER_ENGINE!$U$2:$U$546,0),"")</f>
        <v/>
      </c>
    </row>
    <row r="51" customFormat="false" ht="15" hidden="false" customHeight="true" outlineLevel="0" collapsed="false">
      <c r="A51" s="148" t="str">
        <f aca="false">IF($J51="","",INDEX(LEDGER_ENGINE!$B$2:$B$546,$J51))</f>
        <v/>
      </c>
      <c r="B51" s="149" t="str">
        <f aca="false">IF($J51="","",INDEX(LEDGER_ENGINE!$C$2:$C$546,$J51))</f>
        <v/>
      </c>
      <c r="C51" s="149" t="str">
        <f aca="false">IF($J51="","",INDEX(LEDGER_ENGINE!$D$2:$D$546,$J51))</f>
        <v/>
      </c>
      <c r="D51" s="149" t="str">
        <f aca="false">IF($J51="","",INDEX(LEDGER_ENGINE!$G$2:$G$546,$J51))</f>
        <v/>
      </c>
      <c r="E51" s="149" t="str">
        <f aca="false">IFERROR(IF($J51="","",INDEX(LEDGER_ENGINE!$H$2:$H$546,$J51)),"")</f>
        <v/>
      </c>
      <c r="F51" s="150" t="str">
        <f aca="false">IF($J51="","",INDEX(LEDGER_ENGINE!$I$2:$I$546,$J51))</f>
        <v/>
      </c>
      <c r="G51" s="150" t="str">
        <f aca="false">IF($J51="","",INDEX(LEDGER_ENGINE!$J$2:$J$546,$J51))</f>
        <v/>
      </c>
      <c r="H51" s="150" t="str">
        <f aca="false">IF($J51="","",INDEX(LEDGER_ENGINE!$L$2:$L$546,$J51))</f>
        <v/>
      </c>
      <c r="I51" s="150" t="str">
        <f aca="false">IF(A51="","",I50+H51)</f>
        <v/>
      </c>
      <c r="J51" s="101" t="str">
        <f aca="false">IFERROR(MATCH(LIBRI_I_MADH!$B$4&amp;"|"&amp;ROWS($A$6:A51),LEDGER_ENGINE!$U$2:$U$546,0),"")</f>
        <v/>
      </c>
    </row>
    <row r="52" customFormat="false" ht="15" hidden="false" customHeight="true" outlineLevel="0" collapsed="false">
      <c r="A52" s="148" t="str">
        <f aca="false">IF($J52="","",INDEX(LEDGER_ENGINE!$B$2:$B$546,$J52))</f>
        <v/>
      </c>
      <c r="B52" s="149" t="str">
        <f aca="false">IF($J52="","",INDEX(LEDGER_ENGINE!$C$2:$C$546,$J52))</f>
        <v/>
      </c>
      <c r="C52" s="149" t="str">
        <f aca="false">IF($J52="","",INDEX(LEDGER_ENGINE!$D$2:$D$546,$J52))</f>
        <v/>
      </c>
      <c r="D52" s="149" t="str">
        <f aca="false">IF($J52="","",INDEX(LEDGER_ENGINE!$G$2:$G$546,$J52))</f>
        <v/>
      </c>
      <c r="E52" s="149" t="str">
        <f aca="false">IFERROR(IF($J52="","",INDEX(LEDGER_ENGINE!$H$2:$H$546,$J52)),"")</f>
        <v/>
      </c>
      <c r="F52" s="150" t="str">
        <f aca="false">IF($J52="","",INDEX(LEDGER_ENGINE!$I$2:$I$546,$J52))</f>
        <v/>
      </c>
      <c r="G52" s="150" t="str">
        <f aca="false">IF($J52="","",INDEX(LEDGER_ENGINE!$J$2:$J$546,$J52))</f>
        <v/>
      </c>
      <c r="H52" s="150" t="str">
        <f aca="false">IF($J52="","",INDEX(LEDGER_ENGINE!$L$2:$L$546,$J52))</f>
        <v/>
      </c>
      <c r="I52" s="150" t="str">
        <f aca="false">IF(A52="","",I51+H52)</f>
        <v/>
      </c>
      <c r="J52" s="101" t="str">
        <f aca="false">IFERROR(MATCH(LIBRI_I_MADH!$B$4&amp;"|"&amp;ROWS($A$6:A52),LEDGER_ENGINE!$U$2:$U$546,0),"")</f>
        <v/>
      </c>
    </row>
    <row r="53" customFormat="false" ht="15" hidden="false" customHeight="true" outlineLevel="0" collapsed="false">
      <c r="A53" s="148" t="str">
        <f aca="false">IF($J53="","",INDEX(LEDGER_ENGINE!$B$2:$B$546,$J53))</f>
        <v/>
      </c>
      <c r="B53" s="149" t="str">
        <f aca="false">IF($J53="","",INDEX(LEDGER_ENGINE!$C$2:$C$546,$J53))</f>
        <v/>
      </c>
      <c r="C53" s="149" t="str">
        <f aca="false">IF($J53="","",INDEX(LEDGER_ENGINE!$D$2:$D$546,$J53))</f>
        <v/>
      </c>
      <c r="D53" s="149" t="str">
        <f aca="false">IF($J53="","",INDEX(LEDGER_ENGINE!$G$2:$G$546,$J53))</f>
        <v/>
      </c>
      <c r="E53" s="149" t="str">
        <f aca="false">IFERROR(IF($J53="","",INDEX(LEDGER_ENGINE!$H$2:$H$546,$J53)),"")</f>
        <v/>
      </c>
      <c r="F53" s="150" t="str">
        <f aca="false">IF($J53="","",INDEX(LEDGER_ENGINE!$I$2:$I$546,$J53))</f>
        <v/>
      </c>
      <c r="G53" s="150" t="str">
        <f aca="false">IF($J53="","",INDEX(LEDGER_ENGINE!$J$2:$J$546,$J53))</f>
        <v/>
      </c>
      <c r="H53" s="150" t="str">
        <f aca="false">IF($J53="","",INDEX(LEDGER_ENGINE!$L$2:$L$546,$J53))</f>
        <v/>
      </c>
      <c r="I53" s="150" t="str">
        <f aca="false">IF(A53="","",I52+H53)</f>
        <v/>
      </c>
      <c r="J53" s="101" t="str">
        <f aca="false">IFERROR(MATCH(LIBRI_I_MADH!$B$4&amp;"|"&amp;ROWS($A$6:A53),LEDGER_ENGINE!$U$2:$U$546,0),"")</f>
        <v/>
      </c>
    </row>
    <row r="54" customFormat="false" ht="15" hidden="false" customHeight="true" outlineLevel="0" collapsed="false">
      <c r="A54" s="148" t="str">
        <f aca="false">IF($J54="","",INDEX(LEDGER_ENGINE!$B$2:$B$546,$J54))</f>
        <v/>
      </c>
      <c r="B54" s="149" t="str">
        <f aca="false">IF($J54="","",INDEX(LEDGER_ENGINE!$C$2:$C$546,$J54))</f>
        <v/>
      </c>
      <c r="C54" s="149" t="str">
        <f aca="false">IF($J54="","",INDEX(LEDGER_ENGINE!$D$2:$D$546,$J54))</f>
        <v/>
      </c>
      <c r="D54" s="149" t="str">
        <f aca="false">IF($J54="","",INDEX(LEDGER_ENGINE!$G$2:$G$546,$J54))</f>
        <v/>
      </c>
      <c r="E54" s="149" t="str">
        <f aca="false">IFERROR(IF($J54="","",INDEX(LEDGER_ENGINE!$H$2:$H$546,$J54)),"")</f>
        <v/>
      </c>
      <c r="F54" s="150" t="str">
        <f aca="false">IF($J54="","",INDEX(LEDGER_ENGINE!$I$2:$I$546,$J54))</f>
        <v/>
      </c>
      <c r="G54" s="150" t="str">
        <f aca="false">IF($J54="","",INDEX(LEDGER_ENGINE!$J$2:$J$546,$J54))</f>
        <v/>
      </c>
      <c r="H54" s="150" t="str">
        <f aca="false">IF($J54="","",INDEX(LEDGER_ENGINE!$L$2:$L$546,$J54))</f>
        <v/>
      </c>
      <c r="I54" s="150" t="str">
        <f aca="false">IF(A54="","",I53+H54)</f>
        <v/>
      </c>
      <c r="J54" s="101" t="str">
        <f aca="false">IFERROR(MATCH(LIBRI_I_MADH!$B$4&amp;"|"&amp;ROWS($A$6:A54),LEDGER_ENGINE!$U$2:$U$546,0),"")</f>
        <v/>
      </c>
    </row>
    <row r="55" customFormat="false" ht="15" hidden="false" customHeight="true" outlineLevel="0" collapsed="false">
      <c r="A55" s="148" t="str">
        <f aca="false">IF($J55="","",INDEX(LEDGER_ENGINE!$B$2:$B$546,$J55))</f>
        <v/>
      </c>
      <c r="B55" s="149" t="str">
        <f aca="false">IF($J55="","",INDEX(LEDGER_ENGINE!$C$2:$C$546,$J55))</f>
        <v/>
      </c>
      <c r="C55" s="149" t="str">
        <f aca="false">IF($J55="","",INDEX(LEDGER_ENGINE!$D$2:$D$546,$J55))</f>
        <v/>
      </c>
      <c r="D55" s="149" t="str">
        <f aca="false">IF($J55="","",INDEX(LEDGER_ENGINE!$G$2:$G$546,$J55))</f>
        <v/>
      </c>
      <c r="E55" s="149" t="str">
        <f aca="false">IFERROR(IF($J55="","",INDEX(LEDGER_ENGINE!$H$2:$H$546,$J55)),"")</f>
        <v/>
      </c>
      <c r="F55" s="150" t="str">
        <f aca="false">IF($J55="","",INDEX(LEDGER_ENGINE!$I$2:$I$546,$J55))</f>
        <v/>
      </c>
      <c r="G55" s="150" t="str">
        <f aca="false">IF($J55="","",INDEX(LEDGER_ENGINE!$J$2:$J$546,$J55))</f>
        <v/>
      </c>
      <c r="H55" s="150" t="str">
        <f aca="false">IF($J55="","",INDEX(LEDGER_ENGINE!$L$2:$L$546,$J55))</f>
        <v/>
      </c>
      <c r="I55" s="150" t="str">
        <f aca="false">IF(A55="","",I54+H55)</f>
        <v/>
      </c>
      <c r="J55" s="101" t="str">
        <f aca="false">IFERROR(MATCH(LIBRI_I_MADH!$B$4&amp;"|"&amp;ROWS($A$6:A55),LEDGER_ENGINE!$U$2:$U$546,0),"")</f>
        <v/>
      </c>
    </row>
    <row r="56" customFormat="false" ht="15" hidden="false" customHeight="true" outlineLevel="0" collapsed="false">
      <c r="A56" s="148" t="str">
        <f aca="false">IF($J56="","",INDEX(LEDGER_ENGINE!$B$2:$B$546,$J56))</f>
        <v/>
      </c>
      <c r="B56" s="149" t="str">
        <f aca="false">IF($J56="","",INDEX(LEDGER_ENGINE!$C$2:$C$546,$J56))</f>
        <v/>
      </c>
      <c r="C56" s="149" t="str">
        <f aca="false">IF($J56="","",INDEX(LEDGER_ENGINE!$D$2:$D$546,$J56))</f>
        <v/>
      </c>
      <c r="D56" s="149" t="str">
        <f aca="false">IF($J56="","",INDEX(LEDGER_ENGINE!$G$2:$G$546,$J56))</f>
        <v/>
      </c>
      <c r="E56" s="149" t="str">
        <f aca="false">IFERROR(IF($J56="","",INDEX(LEDGER_ENGINE!$H$2:$H$546,$J56)),"")</f>
        <v/>
      </c>
      <c r="F56" s="150" t="str">
        <f aca="false">IF($J56="","",INDEX(LEDGER_ENGINE!$I$2:$I$546,$J56))</f>
        <v/>
      </c>
      <c r="G56" s="150" t="str">
        <f aca="false">IF($J56="","",INDEX(LEDGER_ENGINE!$J$2:$J$546,$J56))</f>
        <v/>
      </c>
      <c r="H56" s="150" t="str">
        <f aca="false">IF($J56="","",INDEX(LEDGER_ENGINE!$L$2:$L$546,$J56))</f>
        <v/>
      </c>
      <c r="I56" s="150" t="str">
        <f aca="false">IF(A56="","",I55+H56)</f>
        <v/>
      </c>
      <c r="J56" s="101" t="str">
        <f aca="false">IFERROR(MATCH(LIBRI_I_MADH!$B$4&amp;"|"&amp;ROWS($A$6:A56),LEDGER_ENGINE!$U$2:$U$546,0),"")</f>
        <v/>
      </c>
    </row>
    <row r="57" customFormat="false" ht="15" hidden="false" customHeight="true" outlineLevel="0" collapsed="false">
      <c r="A57" s="148" t="str">
        <f aca="false">IF($J57="","",INDEX(LEDGER_ENGINE!$B$2:$B$546,$J57))</f>
        <v/>
      </c>
      <c r="B57" s="149" t="str">
        <f aca="false">IF($J57="","",INDEX(LEDGER_ENGINE!$C$2:$C$546,$J57))</f>
        <v/>
      </c>
      <c r="C57" s="149" t="str">
        <f aca="false">IF($J57="","",INDEX(LEDGER_ENGINE!$D$2:$D$546,$J57))</f>
        <v/>
      </c>
      <c r="D57" s="149" t="str">
        <f aca="false">IF($J57="","",INDEX(LEDGER_ENGINE!$G$2:$G$546,$J57))</f>
        <v/>
      </c>
      <c r="E57" s="149" t="str">
        <f aca="false">IFERROR(IF($J57="","",INDEX(LEDGER_ENGINE!$H$2:$H$546,$J57)),"")</f>
        <v/>
      </c>
      <c r="F57" s="150" t="str">
        <f aca="false">IF($J57="","",INDEX(LEDGER_ENGINE!$I$2:$I$546,$J57))</f>
        <v/>
      </c>
      <c r="G57" s="150" t="str">
        <f aca="false">IF($J57="","",INDEX(LEDGER_ENGINE!$J$2:$J$546,$J57))</f>
        <v/>
      </c>
      <c r="H57" s="150" t="str">
        <f aca="false">IF($J57="","",INDEX(LEDGER_ENGINE!$L$2:$L$546,$J57))</f>
        <v/>
      </c>
      <c r="I57" s="150" t="str">
        <f aca="false">IF(A57="","",I56+H57)</f>
        <v/>
      </c>
      <c r="J57" s="101" t="str">
        <f aca="false">IFERROR(MATCH(LIBRI_I_MADH!$B$4&amp;"|"&amp;ROWS($A$6:A57),LEDGER_ENGINE!$U$2:$U$546,0),"")</f>
        <v/>
      </c>
    </row>
    <row r="58" customFormat="false" ht="15" hidden="false" customHeight="true" outlineLevel="0" collapsed="false">
      <c r="A58" s="148" t="str">
        <f aca="false">IF($J58="","",INDEX(LEDGER_ENGINE!$B$2:$B$546,$J58))</f>
        <v/>
      </c>
      <c r="B58" s="149" t="str">
        <f aca="false">IF($J58="","",INDEX(LEDGER_ENGINE!$C$2:$C$546,$J58))</f>
        <v/>
      </c>
      <c r="C58" s="149" t="str">
        <f aca="false">IF($J58="","",INDEX(LEDGER_ENGINE!$D$2:$D$546,$J58))</f>
        <v/>
      </c>
      <c r="D58" s="149" t="str">
        <f aca="false">IF($J58="","",INDEX(LEDGER_ENGINE!$G$2:$G$546,$J58))</f>
        <v/>
      </c>
      <c r="E58" s="149" t="str">
        <f aca="false">IFERROR(IF($J58="","",INDEX(LEDGER_ENGINE!$H$2:$H$546,$J58)),"")</f>
        <v/>
      </c>
      <c r="F58" s="150" t="str">
        <f aca="false">IF($J58="","",INDEX(LEDGER_ENGINE!$I$2:$I$546,$J58))</f>
        <v/>
      </c>
      <c r="G58" s="150" t="str">
        <f aca="false">IF($J58="","",INDEX(LEDGER_ENGINE!$J$2:$J$546,$J58))</f>
        <v/>
      </c>
      <c r="H58" s="150" t="str">
        <f aca="false">IF($J58="","",INDEX(LEDGER_ENGINE!$L$2:$L$546,$J58))</f>
        <v/>
      </c>
      <c r="I58" s="150" t="str">
        <f aca="false">IF(A58="","",I57+H58)</f>
        <v/>
      </c>
      <c r="J58" s="101" t="str">
        <f aca="false">IFERROR(MATCH(LIBRI_I_MADH!$B$4&amp;"|"&amp;ROWS($A$6:A58),LEDGER_ENGINE!$U$2:$U$546,0),"")</f>
        <v/>
      </c>
    </row>
    <row r="59" customFormat="false" ht="15" hidden="false" customHeight="true" outlineLevel="0" collapsed="false">
      <c r="A59" s="148" t="str">
        <f aca="false">IF($J59="","",INDEX(LEDGER_ENGINE!$B$2:$B$546,$J59))</f>
        <v/>
      </c>
      <c r="B59" s="149" t="str">
        <f aca="false">IF($J59="","",INDEX(LEDGER_ENGINE!$C$2:$C$546,$J59))</f>
        <v/>
      </c>
      <c r="C59" s="149" t="str">
        <f aca="false">IF($J59="","",INDEX(LEDGER_ENGINE!$D$2:$D$546,$J59))</f>
        <v/>
      </c>
      <c r="D59" s="149" t="str">
        <f aca="false">IF($J59="","",INDEX(LEDGER_ENGINE!$G$2:$G$546,$J59))</f>
        <v/>
      </c>
      <c r="E59" s="149" t="str">
        <f aca="false">IFERROR(IF($J59="","",INDEX(LEDGER_ENGINE!$H$2:$H$546,$J59)),"")</f>
        <v/>
      </c>
      <c r="F59" s="150" t="str">
        <f aca="false">IF($J59="","",INDEX(LEDGER_ENGINE!$I$2:$I$546,$J59))</f>
        <v/>
      </c>
      <c r="G59" s="150" t="str">
        <f aca="false">IF($J59="","",INDEX(LEDGER_ENGINE!$J$2:$J$546,$J59))</f>
        <v/>
      </c>
      <c r="H59" s="150" t="str">
        <f aca="false">IF($J59="","",INDEX(LEDGER_ENGINE!$L$2:$L$546,$J59))</f>
        <v/>
      </c>
      <c r="I59" s="150" t="str">
        <f aca="false">IF(A59="","",I58+H59)</f>
        <v/>
      </c>
      <c r="J59" s="101" t="str">
        <f aca="false">IFERROR(MATCH(LIBRI_I_MADH!$B$4&amp;"|"&amp;ROWS($A$6:A59),LEDGER_ENGINE!$U$2:$U$546,0),"")</f>
        <v/>
      </c>
    </row>
    <row r="60" customFormat="false" ht="15" hidden="false" customHeight="true" outlineLevel="0" collapsed="false">
      <c r="A60" s="148" t="str">
        <f aca="false">IF($J60="","",INDEX(LEDGER_ENGINE!$B$2:$B$546,$J60))</f>
        <v/>
      </c>
      <c r="B60" s="149" t="str">
        <f aca="false">IF($J60="","",INDEX(LEDGER_ENGINE!$C$2:$C$546,$J60))</f>
        <v/>
      </c>
      <c r="C60" s="149" t="str">
        <f aca="false">IF($J60="","",INDEX(LEDGER_ENGINE!$D$2:$D$546,$J60))</f>
        <v/>
      </c>
      <c r="D60" s="149" t="str">
        <f aca="false">IF($J60="","",INDEX(LEDGER_ENGINE!$G$2:$G$546,$J60))</f>
        <v/>
      </c>
      <c r="E60" s="149" t="str">
        <f aca="false">IFERROR(IF($J60="","",INDEX(LEDGER_ENGINE!$H$2:$H$546,$J60)),"")</f>
        <v/>
      </c>
      <c r="F60" s="150" t="str">
        <f aca="false">IF($J60="","",INDEX(LEDGER_ENGINE!$I$2:$I$546,$J60))</f>
        <v/>
      </c>
      <c r="G60" s="150" t="str">
        <f aca="false">IF($J60="","",INDEX(LEDGER_ENGINE!$J$2:$J$546,$J60))</f>
        <v/>
      </c>
      <c r="H60" s="150" t="str">
        <f aca="false">IF($J60="","",INDEX(LEDGER_ENGINE!$L$2:$L$546,$J60))</f>
        <v/>
      </c>
      <c r="I60" s="150" t="str">
        <f aca="false">IF(A60="","",I59+H60)</f>
        <v/>
      </c>
      <c r="J60" s="101" t="str">
        <f aca="false">IFERROR(MATCH(LIBRI_I_MADH!$B$4&amp;"|"&amp;ROWS($A$6:A60),LEDGER_ENGINE!$U$2:$U$546,0),"")</f>
        <v/>
      </c>
    </row>
    <row r="61" customFormat="false" ht="15" hidden="false" customHeight="true" outlineLevel="0" collapsed="false">
      <c r="A61" s="148" t="str">
        <f aca="false">IF($J61="","",INDEX(LEDGER_ENGINE!$B$2:$B$546,$J61))</f>
        <v/>
      </c>
      <c r="B61" s="149" t="str">
        <f aca="false">IF($J61="","",INDEX(LEDGER_ENGINE!$C$2:$C$546,$J61))</f>
        <v/>
      </c>
      <c r="C61" s="149" t="str">
        <f aca="false">IF($J61="","",INDEX(LEDGER_ENGINE!$D$2:$D$546,$J61))</f>
        <v/>
      </c>
      <c r="D61" s="149" t="str">
        <f aca="false">IF($J61="","",INDEX(LEDGER_ENGINE!$G$2:$G$546,$J61))</f>
        <v/>
      </c>
      <c r="E61" s="149" t="str">
        <f aca="false">IFERROR(IF($J61="","",INDEX(LEDGER_ENGINE!$H$2:$H$546,$J61)),"")</f>
        <v/>
      </c>
      <c r="F61" s="150" t="str">
        <f aca="false">IF($J61="","",INDEX(LEDGER_ENGINE!$I$2:$I$546,$J61))</f>
        <v/>
      </c>
      <c r="G61" s="150" t="str">
        <f aca="false">IF($J61="","",INDEX(LEDGER_ENGINE!$J$2:$J$546,$J61))</f>
        <v/>
      </c>
      <c r="H61" s="150" t="str">
        <f aca="false">IF($J61="","",INDEX(LEDGER_ENGINE!$L$2:$L$546,$J61))</f>
        <v/>
      </c>
      <c r="I61" s="150" t="str">
        <f aca="false">IF(A61="","",I60+H61)</f>
        <v/>
      </c>
      <c r="J61" s="101" t="str">
        <f aca="false">IFERROR(MATCH(LIBRI_I_MADH!$B$4&amp;"|"&amp;ROWS($A$6:A61),LEDGER_ENGINE!$U$2:$U$546,0),"")</f>
        <v/>
      </c>
    </row>
    <row r="62" customFormat="false" ht="15" hidden="false" customHeight="true" outlineLevel="0" collapsed="false">
      <c r="A62" s="148" t="str">
        <f aca="false">IF($J62="","",INDEX(LEDGER_ENGINE!$B$2:$B$546,$J62))</f>
        <v/>
      </c>
      <c r="B62" s="149" t="str">
        <f aca="false">IF($J62="","",INDEX(LEDGER_ENGINE!$C$2:$C$546,$J62))</f>
        <v/>
      </c>
      <c r="C62" s="149" t="str">
        <f aca="false">IF($J62="","",INDEX(LEDGER_ENGINE!$D$2:$D$546,$J62))</f>
        <v/>
      </c>
      <c r="D62" s="149" t="str">
        <f aca="false">IF($J62="","",INDEX(LEDGER_ENGINE!$G$2:$G$546,$J62))</f>
        <v/>
      </c>
      <c r="E62" s="149" t="str">
        <f aca="false">IFERROR(IF($J62="","",INDEX(LEDGER_ENGINE!$H$2:$H$546,$J62)),"")</f>
        <v/>
      </c>
      <c r="F62" s="150" t="str">
        <f aca="false">IF($J62="","",INDEX(LEDGER_ENGINE!$I$2:$I$546,$J62))</f>
        <v/>
      </c>
      <c r="G62" s="150" t="str">
        <f aca="false">IF($J62="","",INDEX(LEDGER_ENGINE!$J$2:$J$546,$J62))</f>
        <v/>
      </c>
      <c r="H62" s="150" t="str">
        <f aca="false">IF($J62="","",INDEX(LEDGER_ENGINE!$L$2:$L$546,$J62))</f>
        <v/>
      </c>
      <c r="I62" s="150" t="str">
        <f aca="false">IF(A62="","",I61+H62)</f>
        <v/>
      </c>
      <c r="J62" s="101" t="str">
        <f aca="false">IFERROR(MATCH(LIBRI_I_MADH!$B$4&amp;"|"&amp;ROWS($A$6:A62),LEDGER_ENGINE!$U$2:$U$546,0),"")</f>
        <v/>
      </c>
    </row>
    <row r="63" customFormat="false" ht="15" hidden="false" customHeight="true" outlineLevel="0" collapsed="false">
      <c r="A63" s="148" t="str">
        <f aca="false">IF($J63="","",INDEX(LEDGER_ENGINE!$B$2:$B$546,$J63))</f>
        <v/>
      </c>
      <c r="B63" s="149" t="str">
        <f aca="false">IF($J63="","",INDEX(LEDGER_ENGINE!$C$2:$C$546,$J63))</f>
        <v/>
      </c>
      <c r="C63" s="149" t="str">
        <f aca="false">IF($J63="","",INDEX(LEDGER_ENGINE!$D$2:$D$546,$J63))</f>
        <v/>
      </c>
      <c r="D63" s="149" t="str">
        <f aca="false">IF($J63="","",INDEX(LEDGER_ENGINE!$G$2:$G$546,$J63))</f>
        <v/>
      </c>
      <c r="E63" s="149" t="str">
        <f aca="false">IFERROR(IF($J63="","",INDEX(LEDGER_ENGINE!$H$2:$H$546,$J63)),"")</f>
        <v/>
      </c>
      <c r="F63" s="150" t="str">
        <f aca="false">IF($J63="","",INDEX(LEDGER_ENGINE!$I$2:$I$546,$J63))</f>
        <v/>
      </c>
      <c r="G63" s="150" t="str">
        <f aca="false">IF($J63="","",INDEX(LEDGER_ENGINE!$J$2:$J$546,$J63))</f>
        <v/>
      </c>
      <c r="H63" s="150" t="str">
        <f aca="false">IF($J63="","",INDEX(LEDGER_ENGINE!$L$2:$L$546,$J63))</f>
        <v/>
      </c>
      <c r="I63" s="150" t="str">
        <f aca="false">IF(A63="","",I62+H63)</f>
        <v/>
      </c>
      <c r="J63" s="101" t="str">
        <f aca="false">IFERROR(MATCH(LIBRI_I_MADH!$B$4&amp;"|"&amp;ROWS($A$6:A63),LEDGER_ENGINE!$U$2:$U$546,0),"")</f>
        <v/>
      </c>
    </row>
    <row r="64" customFormat="false" ht="15" hidden="false" customHeight="true" outlineLevel="0" collapsed="false">
      <c r="A64" s="148" t="str">
        <f aca="false">IF($J64="","",INDEX(LEDGER_ENGINE!$B$2:$B$546,$J64))</f>
        <v/>
      </c>
      <c r="B64" s="149" t="str">
        <f aca="false">IF($J64="","",INDEX(LEDGER_ENGINE!$C$2:$C$546,$J64))</f>
        <v/>
      </c>
      <c r="C64" s="149" t="str">
        <f aca="false">IF($J64="","",INDEX(LEDGER_ENGINE!$D$2:$D$546,$J64))</f>
        <v/>
      </c>
      <c r="D64" s="149" t="str">
        <f aca="false">IF($J64="","",INDEX(LEDGER_ENGINE!$G$2:$G$546,$J64))</f>
        <v/>
      </c>
      <c r="E64" s="149" t="str">
        <f aca="false">IFERROR(IF($J64="","",INDEX(LEDGER_ENGINE!$H$2:$H$546,$J64)),"")</f>
        <v/>
      </c>
      <c r="F64" s="150" t="str">
        <f aca="false">IF($J64="","",INDEX(LEDGER_ENGINE!$I$2:$I$546,$J64))</f>
        <v/>
      </c>
      <c r="G64" s="150" t="str">
        <f aca="false">IF($J64="","",INDEX(LEDGER_ENGINE!$J$2:$J$546,$J64))</f>
        <v/>
      </c>
      <c r="H64" s="150" t="str">
        <f aca="false">IF($J64="","",INDEX(LEDGER_ENGINE!$L$2:$L$546,$J64))</f>
        <v/>
      </c>
      <c r="I64" s="150" t="str">
        <f aca="false">IF(A64="","",I63+H64)</f>
        <v/>
      </c>
      <c r="J64" s="101" t="str">
        <f aca="false">IFERROR(MATCH(LIBRI_I_MADH!$B$4&amp;"|"&amp;ROWS($A$6:A64),LEDGER_ENGINE!$U$2:$U$546,0),"")</f>
        <v/>
      </c>
    </row>
    <row r="65" customFormat="false" ht="15" hidden="false" customHeight="true" outlineLevel="0" collapsed="false">
      <c r="A65" s="148" t="str">
        <f aca="false">IF($J65="","",INDEX(LEDGER_ENGINE!$B$2:$B$546,$J65))</f>
        <v/>
      </c>
      <c r="B65" s="149" t="str">
        <f aca="false">IF($J65="","",INDEX(LEDGER_ENGINE!$C$2:$C$546,$J65))</f>
        <v/>
      </c>
      <c r="C65" s="149" t="str">
        <f aca="false">IF($J65="","",INDEX(LEDGER_ENGINE!$D$2:$D$546,$J65))</f>
        <v/>
      </c>
      <c r="D65" s="149" t="str">
        <f aca="false">IF($J65="","",INDEX(LEDGER_ENGINE!$G$2:$G$546,$J65))</f>
        <v/>
      </c>
      <c r="E65" s="149" t="str">
        <f aca="false">IFERROR(IF($J65="","",INDEX(LEDGER_ENGINE!$H$2:$H$546,$J65)),"")</f>
        <v/>
      </c>
      <c r="F65" s="150" t="str">
        <f aca="false">IF($J65="","",INDEX(LEDGER_ENGINE!$I$2:$I$546,$J65))</f>
        <v/>
      </c>
      <c r="G65" s="150" t="str">
        <f aca="false">IF($J65="","",INDEX(LEDGER_ENGINE!$J$2:$J$546,$J65))</f>
        <v/>
      </c>
      <c r="H65" s="150" t="str">
        <f aca="false">IF($J65="","",INDEX(LEDGER_ENGINE!$L$2:$L$546,$J65))</f>
        <v/>
      </c>
      <c r="I65" s="150" t="str">
        <f aca="false">IF(A65="","",I64+H65)</f>
        <v/>
      </c>
      <c r="J65" s="101" t="str">
        <f aca="false">IFERROR(MATCH(LIBRI_I_MADH!$B$4&amp;"|"&amp;ROWS($A$6:A65),LEDGER_ENGINE!$U$2:$U$546,0),"")</f>
        <v/>
      </c>
    </row>
    <row r="66" customFormat="false" ht="15" hidden="false" customHeight="true" outlineLevel="0" collapsed="false">
      <c r="A66" s="148" t="str">
        <f aca="false">IF($J66="","",INDEX(LEDGER_ENGINE!$B$2:$B$546,$J66))</f>
        <v/>
      </c>
      <c r="B66" s="149" t="str">
        <f aca="false">IF($J66="","",INDEX(LEDGER_ENGINE!$C$2:$C$546,$J66))</f>
        <v/>
      </c>
      <c r="C66" s="149" t="str">
        <f aca="false">IF($J66="","",INDEX(LEDGER_ENGINE!$D$2:$D$546,$J66))</f>
        <v/>
      </c>
      <c r="D66" s="149" t="str">
        <f aca="false">IF($J66="","",INDEX(LEDGER_ENGINE!$G$2:$G$546,$J66))</f>
        <v/>
      </c>
      <c r="E66" s="149" t="str">
        <f aca="false">IFERROR(IF($J66="","",INDEX(LEDGER_ENGINE!$H$2:$H$546,$J66)),"")</f>
        <v/>
      </c>
      <c r="F66" s="150" t="str">
        <f aca="false">IF($J66="","",INDEX(LEDGER_ENGINE!$I$2:$I$546,$J66))</f>
        <v/>
      </c>
      <c r="G66" s="150" t="str">
        <f aca="false">IF($J66="","",INDEX(LEDGER_ENGINE!$J$2:$J$546,$J66))</f>
        <v/>
      </c>
      <c r="H66" s="150" t="str">
        <f aca="false">IF($J66="","",INDEX(LEDGER_ENGINE!$L$2:$L$546,$J66))</f>
        <v/>
      </c>
      <c r="I66" s="150" t="str">
        <f aca="false">IF(A66="","",I65+H66)</f>
        <v/>
      </c>
      <c r="J66" s="101" t="str">
        <f aca="false">IFERROR(MATCH(LIBRI_I_MADH!$B$4&amp;"|"&amp;ROWS($A$6:A66),LEDGER_ENGINE!$U$2:$U$546,0),"")</f>
        <v/>
      </c>
    </row>
    <row r="67" customFormat="false" ht="15" hidden="false" customHeight="true" outlineLevel="0" collapsed="false">
      <c r="A67" s="148" t="str">
        <f aca="false">IF($J67="","",INDEX(LEDGER_ENGINE!$B$2:$B$546,$J67))</f>
        <v/>
      </c>
      <c r="B67" s="149" t="str">
        <f aca="false">IF($J67="","",INDEX(LEDGER_ENGINE!$C$2:$C$546,$J67))</f>
        <v/>
      </c>
      <c r="C67" s="149" t="str">
        <f aca="false">IF($J67="","",INDEX(LEDGER_ENGINE!$D$2:$D$546,$J67))</f>
        <v/>
      </c>
      <c r="D67" s="149" t="str">
        <f aca="false">IF($J67="","",INDEX(LEDGER_ENGINE!$G$2:$G$546,$J67))</f>
        <v/>
      </c>
      <c r="E67" s="149" t="str">
        <f aca="false">IFERROR(IF($J67="","",INDEX(LEDGER_ENGINE!$H$2:$H$546,$J67)),"")</f>
        <v/>
      </c>
      <c r="F67" s="150" t="str">
        <f aca="false">IF($J67="","",INDEX(LEDGER_ENGINE!$I$2:$I$546,$J67))</f>
        <v/>
      </c>
      <c r="G67" s="150" t="str">
        <f aca="false">IF($J67="","",INDEX(LEDGER_ENGINE!$J$2:$J$546,$J67))</f>
        <v/>
      </c>
      <c r="H67" s="150" t="str">
        <f aca="false">IF($J67="","",INDEX(LEDGER_ENGINE!$L$2:$L$546,$J67))</f>
        <v/>
      </c>
      <c r="I67" s="150" t="str">
        <f aca="false">IF(A67="","",I66+H67)</f>
        <v/>
      </c>
      <c r="J67" s="101" t="str">
        <f aca="false">IFERROR(MATCH(LIBRI_I_MADH!$B$4&amp;"|"&amp;ROWS($A$6:A67),LEDGER_ENGINE!$U$2:$U$546,0),"")</f>
        <v/>
      </c>
    </row>
    <row r="68" customFormat="false" ht="15" hidden="false" customHeight="true" outlineLevel="0" collapsed="false">
      <c r="A68" s="148" t="str">
        <f aca="false">IF($J68="","",INDEX(LEDGER_ENGINE!$B$2:$B$546,$J68))</f>
        <v/>
      </c>
      <c r="B68" s="149" t="str">
        <f aca="false">IF($J68="","",INDEX(LEDGER_ENGINE!$C$2:$C$546,$J68))</f>
        <v/>
      </c>
      <c r="C68" s="149" t="str">
        <f aca="false">IF($J68="","",INDEX(LEDGER_ENGINE!$D$2:$D$546,$J68))</f>
        <v/>
      </c>
      <c r="D68" s="149" t="str">
        <f aca="false">IF($J68="","",INDEX(LEDGER_ENGINE!$G$2:$G$546,$J68))</f>
        <v/>
      </c>
      <c r="E68" s="149" t="str">
        <f aca="false">IFERROR(IF($J68="","",INDEX(LEDGER_ENGINE!$H$2:$H$546,$J68)),"")</f>
        <v/>
      </c>
      <c r="F68" s="150" t="str">
        <f aca="false">IF($J68="","",INDEX(LEDGER_ENGINE!$I$2:$I$546,$J68))</f>
        <v/>
      </c>
      <c r="G68" s="150" t="str">
        <f aca="false">IF($J68="","",INDEX(LEDGER_ENGINE!$J$2:$J$546,$J68))</f>
        <v/>
      </c>
      <c r="H68" s="150" t="str">
        <f aca="false">IF($J68="","",INDEX(LEDGER_ENGINE!$L$2:$L$546,$J68))</f>
        <v/>
      </c>
      <c r="I68" s="150" t="str">
        <f aca="false">IF(A68="","",I67+H68)</f>
        <v/>
      </c>
      <c r="J68" s="101" t="str">
        <f aca="false">IFERROR(MATCH(LIBRI_I_MADH!$B$4&amp;"|"&amp;ROWS($A$6:A68),LEDGER_ENGINE!$U$2:$U$546,0),"")</f>
        <v/>
      </c>
    </row>
    <row r="69" customFormat="false" ht="15" hidden="false" customHeight="true" outlineLevel="0" collapsed="false">
      <c r="A69" s="148" t="str">
        <f aca="false">IF($J69="","",INDEX(LEDGER_ENGINE!$B$2:$B$546,$J69))</f>
        <v/>
      </c>
      <c r="B69" s="149" t="str">
        <f aca="false">IF($J69="","",INDEX(LEDGER_ENGINE!$C$2:$C$546,$J69))</f>
        <v/>
      </c>
      <c r="C69" s="149" t="str">
        <f aca="false">IF($J69="","",INDEX(LEDGER_ENGINE!$D$2:$D$546,$J69))</f>
        <v/>
      </c>
      <c r="D69" s="149" t="str">
        <f aca="false">IF($J69="","",INDEX(LEDGER_ENGINE!$G$2:$G$546,$J69))</f>
        <v/>
      </c>
      <c r="E69" s="149" t="str">
        <f aca="false">IFERROR(IF($J69="","",INDEX(LEDGER_ENGINE!$H$2:$H$546,$J69)),"")</f>
        <v/>
      </c>
      <c r="F69" s="150" t="str">
        <f aca="false">IF($J69="","",INDEX(LEDGER_ENGINE!$I$2:$I$546,$J69))</f>
        <v/>
      </c>
      <c r="G69" s="150" t="str">
        <f aca="false">IF($J69="","",INDEX(LEDGER_ENGINE!$J$2:$J$546,$J69))</f>
        <v/>
      </c>
      <c r="H69" s="150" t="str">
        <f aca="false">IF($J69="","",INDEX(LEDGER_ENGINE!$L$2:$L$546,$J69))</f>
        <v/>
      </c>
      <c r="I69" s="150" t="str">
        <f aca="false">IF(A69="","",I68+H69)</f>
        <v/>
      </c>
      <c r="J69" s="101" t="str">
        <f aca="false">IFERROR(MATCH(LIBRI_I_MADH!$B$4&amp;"|"&amp;ROWS($A$6:A69),LEDGER_ENGINE!$U$2:$U$546,0),"")</f>
        <v/>
      </c>
    </row>
    <row r="70" customFormat="false" ht="15" hidden="false" customHeight="true" outlineLevel="0" collapsed="false">
      <c r="A70" s="148" t="str">
        <f aca="false">IF($J70="","",INDEX(LEDGER_ENGINE!$B$2:$B$546,$J70))</f>
        <v/>
      </c>
      <c r="B70" s="149" t="str">
        <f aca="false">IF($J70="","",INDEX(LEDGER_ENGINE!$C$2:$C$546,$J70))</f>
        <v/>
      </c>
      <c r="C70" s="149" t="str">
        <f aca="false">IF($J70="","",INDEX(LEDGER_ENGINE!$D$2:$D$546,$J70))</f>
        <v/>
      </c>
      <c r="D70" s="149" t="str">
        <f aca="false">IF($J70="","",INDEX(LEDGER_ENGINE!$G$2:$G$546,$J70))</f>
        <v/>
      </c>
      <c r="E70" s="149" t="str">
        <f aca="false">IFERROR(IF($J70="","",INDEX(LEDGER_ENGINE!$H$2:$H$546,$J70)),"")</f>
        <v/>
      </c>
      <c r="F70" s="150" t="str">
        <f aca="false">IF($J70="","",INDEX(LEDGER_ENGINE!$I$2:$I$546,$J70))</f>
        <v/>
      </c>
      <c r="G70" s="150" t="str">
        <f aca="false">IF($J70="","",INDEX(LEDGER_ENGINE!$J$2:$J$546,$J70))</f>
        <v/>
      </c>
      <c r="H70" s="150" t="str">
        <f aca="false">IF($J70="","",INDEX(LEDGER_ENGINE!$L$2:$L$546,$J70))</f>
        <v/>
      </c>
      <c r="I70" s="150" t="str">
        <f aca="false">IF(A70="","",I69+H70)</f>
        <v/>
      </c>
      <c r="J70" s="101" t="str">
        <f aca="false">IFERROR(MATCH(LIBRI_I_MADH!$B$4&amp;"|"&amp;ROWS($A$6:A70),LEDGER_ENGINE!$U$2:$U$546,0),"")</f>
        <v/>
      </c>
    </row>
    <row r="71" customFormat="false" ht="15" hidden="false" customHeight="true" outlineLevel="0" collapsed="false">
      <c r="A71" s="148" t="str">
        <f aca="false">IF($J71="","",INDEX(LEDGER_ENGINE!$B$2:$B$546,$J71))</f>
        <v/>
      </c>
      <c r="B71" s="149" t="str">
        <f aca="false">IF($J71="","",INDEX(LEDGER_ENGINE!$C$2:$C$546,$J71))</f>
        <v/>
      </c>
      <c r="C71" s="149" t="str">
        <f aca="false">IF($J71="","",INDEX(LEDGER_ENGINE!$D$2:$D$546,$J71))</f>
        <v/>
      </c>
      <c r="D71" s="149" t="str">
        <f aca="false">IF($J71="","",INDEX(LEDGER_ENGINE!$G$2:$G$546,$J71))</f>
        <v/>
      </c>
      <c r="E71" s="149" t="str">
        <f aca="false">IFERROR(IF($J71="","",INDEX(LEDGER_ENGINE!$H$2:$H$546,$J71)),"")</f>
        <v/>
      </c>
      <c r="F71" s="150" t="str">
        <f aca="false">IF($J71="","",INDEX(LEDGER_ENGINE!$I$2:$I$546,$J71))</f>
        <v/>
      </c>
      <c r="G71" s="150" t="str">
        <f aca="false">IF($J71="","",INDEX(LEDGER_ENGINE!$J$2:$J$546,$J71))</f>
        <v/>
      </c>
      <c r="H71" s="150" t="str">
        <f aca="false">IF($J71="","",INDEX(LEDGER_ENGINE!$L$2:$L$546,$J71))</f>
        <v/>
      </c>
      <c r="I71" s="150" t="str">
        <f aca="false">IF(A71="","",I70+H71)</f>
        <v/>
      </c>
      <c r="J71" s="101" t="str">
        <f aca="false">IFERROR(MATCH(LIBRI_I_MADH!$B$4&amp;"|"&amp;ROWS($A$6:A71),LEDGER_ENGINE!$U$2:$U$546,0),"")</f>
        <v/>
      </c>
    </row>
    <row r="72" customFormat="false" ht="15" hidden="false" customHeight="true" outlineLevel="0" collapsed="false">
      <c r="A72" s="148" t="str">
        <f aca="false">IF($J72="","",INDEX(LEDGER_ENGINE!$B$2:$B$546,$J72))</f>
        <v/>
      </c>
      <c r="B72" s="149" t="str">
        <f aca="false">IF($J72="","",INDEX(LEDGER_ENGINE!$C$2:$C$546,$J72))</f>
        <v/>
      </c>
      <c r="C72" s="149" t="str">
        <f aca="false">IF($J72="","",INDEX(LEDGER_ENGINE!$D$2:$D$546,$J72))</f>
        <v/>
      </c>
      <c r="D72" s="149" t="str">
        <f aca="false">IF($J72="","",INDEX(LEDGER_ENGINE!$G$2:$G$546,$J72))</f>
        <v/>
      </c>
      <c r="E72" s="149" t="str">
        <f aca="false">IFERROR(IF($J72="","",INDEX(LEDGER_ENGINE!$H$2:$H$546,$J72)),"")</f>
        <v/>
      </c>
      <c r="F72" s="150" t="str">
        <f aca="false">IF($J72="","",INDEX(LEDGER_ENGINE!$I$2:$I$546,$J72))</f>
        <v/>
      </c>
      <c r="G72" s="150" t="str">
        <f aca="false">IF($J72="","",INDEX(LEDGER_ENGINE!$J$2:$J$546,$J72))</f>
        <v/>
      </c>
      <c r="H72" s="150" t="str">
        <f aca="false">IF($J72="","",INDEX(LEDGER_ENGINE!$L$2:$L$546,$J72))</f>
        <v/>
      </c>
      <c r="I72" s="150" t="str">
        <f aca="false">IF(A72="","",I71+H72)</f>
        <v/>
      </c>
      <c r="J72" s="101" t="str">
        <f aca="false">IFERROR(MATCH(LIBRI_I_MADH!$B$4&amp;"|"&amp;ROWS($A$6:A72),LEDGER_ENGINE!$U$2:$U$546,0),"")</f>
        <v/>
      </c>
    </row>
    <row r="73" customFormat="false" ht="15" hidden="false" customHeight="true" outlineLevel="0" collapsed="false">
      <c r="A73" s="148" t="str">
        <f aca="false">IF($J73="","",INDEX(LEDGER_ENGINE!$B$2:$B$546,$J73))</f>
        <v/>
      </c>
      <c r="B73" s="149" t="str">
        <f aca="false">IF($J73="","",INDEX(LEDGER_ENGINE!$C$2:$C$546,$J73))</f>
        <v/>
      </c>
      <c r="C73" s="149" t="str">
        <f aca="false">IF($J73="","",INDEX(LEDGER_ENGINE!$D$2:$D$546,$J73))</f>
        <v/>
      </c>
      <c r="D73" s="149" t="str">
        <f aca="false">IF($J73="","",INDEX(LEDGER_ENGINE!$G$2:$G$546,$J73))</f>
        <v/>
      </c>
      <c r="E73" s="149" t="str">
        <f aca="false">IFERROR(IF($J73="","",INDEX(LEDGER_ENGINE!$H$2:$H$546,$J73)),"")</f>
        <v/>
      </c>
      <c r="F73" s="150" t="str">
        <f aca="false">IF($J73="","",INDEX(LEDGER_ENGINE!$I$2:$I$546,$J73))</f>
        <v/>
      </c>
      <c r="G73" s="150" t="str">
        <f aca="false">IF($J73="","",INDEX(LEDGER_ENGINE!$J$2:$J$546,$J73))</f>
        <v/>
      </c>
      <c r="H73" s="150" t="str">
        <f aca="false">IF($J73="","",INDEX(LEDGER_ENGINE!$L$2:$L$546,$J73))</f>
        <v/>
      </c>
      <c r="I73" s="150" t="str">
        <f aca="false">IF(A73="","",I72+H73)</f>
        <v/>
      </c>
      <c r="J73" s="101" t="str">
        <f aca="false">IFERROR(MATCH(LIBRI_I_MADH!$B$4&amp;"|"&amp;ROWS($A$6:A73),LEDGER_ENGINE!$U$2:$U$546,0),"")</f>
        <v/>
      </c>
    </row>
    <row r="74" customFormat="false" ht="15" hidden="false" customHeight="true" outlineLevel="0" collapsed="false">
      <c r="A74" s="148" t="str">
        <f aca="false">IF($J74="","",INDEX(LEDGER_ENGINE!$B$2:$B$546,$J74))</f>
        <v/>
      </c>
      <c r="B74" s="149" t="str">
        <f aca="false">IF($J74="","",INDEX(LEDGER_ENGINE!$C$2:$C$546,$J74))</f>
        <v/>
      </c>
      <c r="C74" s="149" t="str">
        <f aca="false">IF($J74="","",INDEX(LEDGER_ENGINE!$D$2:$D$546,$J74))</f>
        <v/>
      </c>
      <c r="D74" s="149" t="str">
        <f aca="false">IF($J74="","",INDEX(LEDGER_ENGINE!$G$2:$G$546,$J74))</f>
        <v/>
      </c>
      <c r="E74" s="149" t="str">
        <f aca="false">IFERROR(IF($J74="","",INDEX(LEDGER_ENGINE!$H$2:$H$546,$J74)),"")</f>
        <v/>
      </c>
      <c r="F74" s="150" t="str">
        <f aca="false">IF($J74="","",INDEX(LEDGER_ENGINE!$I$2:$I$546,$J74))</f>
        <v/>
      </c>
      <c r="G74" s="150" t="str">
        <f aca="false">IF($J74="","",INDEX(LEDGER_ENGINE!$J$2:$J$546,$J74))</f>
        <v/>
      </c>
      <c r="H74" s="150" t="str">
        <f aca="false">IF($J74="","",INDEX(LEDGER_ENGINE!$L$2:$L$546,$J74))</f>
        <v/>
      </c>
      <c r="I74" s="150" t="str">
        <f aca="false">IF(A74="","",I73+H74)</f>
        <v/>
      </c>
      <c r="J74" s="101" t="str">
        <f aca="false">IFERROR(MATCH(LIBRI_I_MADH!$B$4&amp;"|"&amp;ROWS($A$6:A74),LEDGER_ENGINE!$U$2:$U$546,0),"")</f>
        <v/>
      </c>
    </row>
    <row r="75" customFormat="false" ht="15" hidden="false" customHeight="true" outlineLevel="0" collapsed="false">
      <c r="A75" s="148" t="str">
        <f aca="false">IF($J75="","",INDEX(LEDGER_ENGINE!$B$2:$B$546,$J75))</f>
        <v/>
      </c>
      <c r="B75" s="149" t="str">
        <f aca="false">IF($J75="","",INDEX(LEDGER_ENGINE!$C$2:$C$546,$J75))</f>
        <v/>
      </c>
      <c r="C75" s="149" t="str">
        <f aca="false">IF($J75="","",INDEX(LEDGER_ENGINE!$D$2:$D$546,$J75))</f>
        <v/>
      </c>
      <c r="D75" s="149" t="str">
        <f aca="false">IF($J75="","",INDEX(LEDGER_ENGINE!$G$2:$G$546,$J75))</f>
        <v/>
      </c>
      <c r="E75" s="149" t="str">
        <f aca="false">IFERROR(IF($J75="","",INDEX(LEDGER_ENGINE!$H$2:$H$546,$J75)),"")</f>
        <v/>
      </c>
      <c r="F75" s="150" t="str">
        <f aca="false">IF($J75="","",INDEX(LEDGER_ENGINE!$I$2:$I$546,$J75))</f>
        <v/>
      </c>
      <c r="G75" s="150" t="str">
        <f aca="false">IF($J75="","",INDEX(LEDGER_ENGINE!$J$2:$J$546,$J75))</f>
        <v/>
      </c>
      <c r="H75" s="150" t="str">
        <f aca="false">IF($J75="","",INDEX(LEDGER_ENGINE!$L$2:$L$546,$J75))</f>
        <v/>
      </c>
      <c r="I75" s="150" t="str">
        <f aca="false">IF(A75="","",I74+H75)</f>
        <v/>
      </c>
      <c r="J75" s="101" t="str">
        <f aca="false">IFERROR(MATCH(LIBRI_I_MADH!$B$4&amp;"|"&amp;ROWS($A$6:A75),LEDGER_ENGINE!$U$2:$U$546,0),"")</f>
        <v/>
      </c>
    </row>
    <row r="76" customFormat="false" ht="15" hidden="false" customHeight="true" outlineLevel="0" collapsed="false">
      <c r="A76" s="148" t="str">
        <f aca="false">IF($J76="","",INDEX(LEDGER_ENGINE!$B$2:$B$546,$J76))</f>
        <v/>
      </c>
      <c r="B76" s="149" t="str">
        <f aca="false">IF($J76="","",INDEX(LEDGER_ENGINE!$C$2:$C$546,$J76))</f>
        <v/>
      </c>
      <c r="C76" s="149" t="str">
        <f aca="false">IF($J76="","",INDEX(LEDGER_ENGINE!$D$2:$D$546,$J76))</f>
        <v/>
      </c>
      <c r="D76" s="149" t="str">
        <f aca="false">IF($J76="","",INDEX(LEDGER_ENGINE!$G$2:$G$546,$J76))</f>
        <v/>
      </c>
      <c r="E76" s="149" t="str">
        <f aca="false">IFERROR(IF($J76="","",INDEX(LEDGER_ENGINE!$H$2:$H$546,$J76)),"")</f>
        <v/>
      </c>
      <c r="F76" s="150" t="str">
        <f aca="false">IF($J76="","",INDEX(LEDGER_ENGINE!$I$2:$I$546,$J76))</f>
        <v/>
      </c>
      <c r="G76" s="150" t="str">
        <f aca="false">IF($J76="","",INDEX(LEDGER_ENGINE!$J$2:$J$546,$J76))</f>
        <v/>
      </c>
      <c r="H76" s="150" t="str">
        <f aca="false">IF($J76="","",INDEX(LEDGER_ENGINE!$L$2:$L$546,$J76))</f>
        <v/>
      </c>
      <c r="I76" s="150" t="str">
        <f aca="false">IF(A76="","",I75+H76)</f>
        <v/>
      </c>
      <c r="J76" s="101" t="str">
        <f aca="false">IFERROR(MATCH(LIBRI_I_MADH!$B$4&amp;"|"&amp;ROWS($A$6:A76),LEDGER_ENGINE!$U$2:$U$546,0),"")</f>
        <v/>
      </c>
    </row>
    <row r="77" customFormat="false" ht="15" hidden="false" customHeight="true" outlineLevel="0" collapsed="false">
      <c r="A77" s="148" t="str">
        <f aca="false">IF($J77="","",INDEX(LEDGER_ENGINE!$B$2:$B$546,$J77))</f>
        <v/>
      </c>
      <c r="B77" s="149" t="str">
        <f aca="false">IF($J77="","",INDEX(LEDGER_ENGINE!$C$2:$C$546,$J77))</f>
        <v/>
      </c>
      <c r="C77" s="149" t="str">
        <f aca="false">IF($J77="","",INDEX(LEDGER_ENGINE!$D$2:$D$546,$J77))</f>
        <v/>
      </c>
      <c r="D77" s="149" t="str">
        <f aca="false">IF($J77="","",INDEX(LEDGER_ENGINE!$G$2:$G$546,$J77))</f>
        <v/>
      </c>
      <c r="E77" s="149" t="str">
        <f aca="false">IFERROR(IF($J77="","",INDEX(LEDGER_ENGINE!$H$2:$H$546,$J77)),"")</f>
        <v/>
      </c>
      <c r="F77" s="150" t="str">
        <f aca="false">IF($J77="","",INDEX(LEDGER_ENGINE!$I$2:$I$546,$J77))</f>
        <v/>
      </c>
      <c r="G77" s="150" t="str">
        <f aca="false">IF($J77="","",INDEX(LEDGER_ENGINE!$J$2:$J$546,$J77))</f>
        <v/>
      </c>
      <c r="H77" s="150" t="str">
        <f aca="false">IF($J77="","",INDEX(LEDGER_ENGINE!$L$2:$L$546,$J77))</f>
        <v/>
      </c>
      <c r="I77" s="150" t="str">
        <f aca="false">IF(A77="","",I76+H77)</f>
        <v/>
      </c>
      <c r="J77" s="101" t="str">
        <f aca="false">IFERROR(MATCH(LIBRI_I_MADH!$B$4&amp;"|"&amp;ROWS($A$6:A77),LEDGER_ENGINE!$U$2:$U$546,0),"")</f>
        <v/>
      </c>
    </row>
    <row r="78" customFormat="false" ht="15" hidden="false" customHeight="true" outlineLevel="0" collapsed="false">
      <c r="A78" s="148" t="str">
        <f aca="false">IF($J78="","",INDEX(LEDGER_ENGINE!$B$2:$B$546,$J78))</f>
        <v/>
      </c>
      <c r="B78" s="149" t="str">
        <f aca="false">IF($J78="","",INDEX(LEDGER_ENGINE!$C$2:$C$546,$J78))</f>
        <v/>
      </c>
      <c r="C78" s="149" t="str">
        <f aca="false">IF($J78="","",INDEX(LEDGER_ENGINE!$D$2:$D$546,$J78))</f>
        <v/>
      </c>
      <c r="D78" s="149" t="str">
        <f aca="false">IF($J78="","",INDEX(LEDGER_ENGINE!$G$2:$G$546,$J78))</f>
        <v/>
      </c>
      <c r="E78" s="149" t="str">
        <f aca="false">IFERROR(IF($J78="","",INDEX(LEDGER_ENGINE!$H$2:$H$546,$J78)),"")</f>
        <v/>
      </c>
      <c r="F78" s="150" t="str">
        <f aca="false">IF($J78="","",INDEX(LEDGER_ENGINE!$I$2:$I$546,$J78))</f>
        <v/>
      </c>
      <c r="G78" s="150" t="str">
        <f aca="false">IF($J78="","",INDEX(LEDGER_ENGINE!$J$2:$J$546,$J78))</f>
        <v/>
      </c>
      <c r="H78" s="150" t="str">
        <f aca="false">IF($J78="","",INDEX(LEDGER_ENGINE!$L$2:$L$546,$J78))</f>
        <v/>
      </c>
      <c r="I78" s="150" t="str">
        <f aca="false">IF(A78="","",I77+H78)</f>
        <v/>
      </c>
      <c r="J78" s="101" t="str">
        <f aca="false">IFERROR(MATCH(LIBRI_I_MADH!$B$4&amp;"|"&amp;ROWS($A$6:A78),LEDGER_ENGINE!$U$2:$U$546,0),"")</f>
        <v/>
      </c>
    </row>
    <row r="79" customFormat="false" ht="15" hidden="false" customHeight="true" outlineLevel="0" collapsed="false">
      <c r="A79" s="148" t="str">
        <f aca="false">IF($J79="","",INDEX(LEDGER_ENGINE!$B$2:$B$546,$J79))</f>
        <v/>
      </c>
      <c r="B79" s="149" t="str">
        <f aca="false">IF($J79="","",INDEX(LEDGER_ENGINE!$C$2:$C$546,$J79))</f>
        <v/>
      </c>
      <c r="C79" s="149" t="str">
        <f aca="false">IF($J79="","",INDEX(LEDGER_ENGINE!$D$2:$D$546,$J79))</f>
        <v/>
      </c>
      <c r="D79" s="149" t="str">
        <f aca="false">IF($J79="","",INDEX(LEDGER_ENGINE!$G$2:$G$546,$J79))</f>
        <v/>
      </c>
      <c r="E79" s="149" t="str">
        <f aca="false">IFERROR(IF($J79="","",INDEX(LEDGER_ENGINE!$H$2:$H$546,$J79)),"")</f>
        <v/>
      </c>
      <c r="F79" s="150" t="str">
        <f aca="false">IF($J79="","",INDEX(LEDGER_ENGINE!$I$2:$I$546,$J79))</f>
        <v/>
      </c>
      <c r="G79" s="150" t="str">
        <f aca="false">IF($J79="","",INDEX(LEDGER_ENGINE!$J$2:$J$546,$J79))</f>
        <v/>
      </c>
      <c r="H79" s="150" t="str">
        <f aca="false">IF($J79="","",INDEX(LEDGER_ENGINE!$L$2:$L$546,$J79))</f>
        <v/>
      </c>
      <c r="I79" s="150" t="str">
        <f aca="false">IF(A79="","",I78+H79)</f>
        <v/>
      </c>
      <c r="J79" s="101" t="str">
        <f aca="false">IFERROR(MATCH(LIBRI_I_MADH!$B$4&amp;"|"&amp;ROWS($A$6:A79),LEDGER_ENGINE!$U$2:$U$546,0),"")</f>
        <v/>
      </c>
    </row>
    <row r="80" customFormat="false" ht="15" hidden="false" customHeight="true" outlineLevel="0" collapsed="false">
      <c r="A80" s="148" t="str">
        <f aca="false">IF($J80="","",INDEX(LEDGER_ENGINE!$B$2:$B$546,$J80))</f>
        <v/>
      </c>
      <c r="B80" s="149" t="str">
        <f aca="false">IF($J80="","",INDEX(LEDGER_ENGINE!$C$2:$C$546,$J80))</f>
        <v/>
      </c>
      <c r="C80" s="149" t="str">
        <f aca="false">IF($J80="","",INDEX(LEDGER_ENGINE!$D$2:$D$546,$J80))</f>
        <v/>
      </c>
      <c r="D80" s="149" t="str">
        <f aca="false">IF($J80="","",INDEX(LEDGER_ENGINE!$G$2:$G$546,$J80))</f>
        <v/>
      </c>
      <c r="E80" s="149" t="str">
        <f aca="false">IFERROR(IF($J80="","",INDEX(LEDGER_ENGINE!$H$2:$H$546,$J80)),"")</f>
        <v/>
      </c>
      <c r="F80" s="150" t="str">
        <f aca="false">IF($J80="","",INDEX(LEDGER_ENGINE!$I$2:$I$546,$J80))</f>
        <v/>
      </c>
      <c r="G80" s="150" t="str">
        <f aca="false">IF($J80="","",INDEX(LEDGER_ENGINE!$J$2:$J$546,$J80))</f>
        <v/>
      </c>
      <c r="H80" s="150" t="str">
        <f aca="false">IF($J80="","",INDEX(LEDGER_ENGINE!$L$2:$L$546,$J80))</f>
        <v/>
      </c>
      <c r="I80" s="150" t="str">
        <f aca="false">IF(A80="","",I79+H80)</f>
        <v/>
      </c>
      <c r="J80" s="101" t="str">
        <f aca="false">IFERROR(MATCH(LIBRI_I_MADH!$B$4&amp;"|"&amp;ROWS($A$6:A80),LEDGER_ENGINE!$U$2:$U$546,0),"")</f>
        <v/>
      </c>
    </row>
    <row r="81" customFormat="false" ht="15" hidden="false" customHeight="true" outlineLevel="0" collapsed="false">
      <c r="A81" s="148" t="str">
        <f aca="false">IF($J81="","",INDEX(LEDGER_ENGINE!$B$2:$B$546,$J81))</f>
        <v/>
      </c>
      <c r="B81" s="149" t="str">
        <f aca="false">IF($J81="","",INDEX(LEDGER_ENGINE!$C$2:$C$546,$J81))</f>
        <v/>
      </c>
      <c r="C81" s="149" t="str">
        <f aca="false">IF($J81="","",INDEX(LEDGER_ENGINE!$D$2:$D$546,$J81))</f>
        <v/>
      </c>
      <c r="D81" s="149" t="str">
        <f aca="false">IF($J81="","",INDEX(LEDGER_ENGINE!$G$2:$G$546,$J81))</f>
        <v/>
      </c>
      <c r="E81" s="149" t="str">
        <f aca="false">IFERROR(IF($J81="","",INDEX(LEDGER_ENGINE!$H$2:$H$546,$J81)),"")</f>
        <v/>
      </c>
      <c r="F81" s="150" t="str">
        <f aca="false">IF($J81="","",INDEX(LEDGER_ENGINE!$I$2:$I$546,$J81))</f>
        <v/>
      </c>
      <c r="G81" s="150" t="str">
        <f aca="false">IF($J81="","",INDEX(LEDGER_ENGINE!$J$2:$J$546,$J81))</f>
        <v/>
      </c>
      <c r="H81" s="150" t="str">
        <f aca="false">IF($J81="","",INDEX(LEDGER_ENGINE!$L$2:$L$546,$J81))</f>
        <v/>
      </c>
      <c r="I81" s="150" t="str">
        <f aca="false">IF(A81="","",I80+H81)</f>
        <v/>
      </c>
      <c r="J81" s="101" t="str">
        <f aca="false">IFERROR(MATCH(LIBRI_I_MADH!$B$4&amp;"|"&amp;ROWS($A$6:A81),LEDGER_ENGINE!$U$2:$U$546,0),"")</f>
        <v/>
      </c>
    </row>
    <row r="82" customFormat="false" ht="15" hidden="false" customHeight="true" outlineLevel="0" collapsed="false">
      <c r="A82" s="148" t="str">
        <f aca="false">IF($J82="","",INDEX(LEDGER_ENGINE!$B$2:$B$546,$J82))</f>
        <v/>
      </c>
      <c r="B82" s="149" t="str">
        <f aca="false">IF($J82="","",INDEX(LEDGER_ENGINE!$C$2:$C$546,$J82))</f>
        <v/>
      </c>
      <c r="C82" s="149" t="str">
        <f aca="false">IF($J82="","",INDEX(LEDGER_ENGINE!$D$2:$D$546,$J82))</f>
        <v/>
      </c>
      <c r="D82" s="149" t="str">
        <f aca="false">IF($J82="","",INDEX(LEDGER_ENGINE!$G$2:$G$546,$J82))</f>
        <v/>
      </c>
      <c r="E82" s="149" t="str">
        <f aca="false">IFERROR(IF($J82="","",INDEX(LEDGER_ENGINE!$H$2:$H$546,$J82)),"")</f>
        <v/>
      </c>
      <c r="F82" s="150" t="str">
        <f aca="false">IF($J82="","",INDEX(LEDGER_ENGINE!$I$2:$I$546,$J82))</f>
        <v/>
      </c>
      <c r="G82" s="150" t="str">
        <f aca="false">IF($J82="","",INDEX(LEDGER_ENGINE!$J$2:$J$546,$J82))</f>
        <v/>
      </c>
      <c r="H82" s="150" t="str">
        <f aca="false">IF($J82="","",INDEX(LEDGER_ENGINE!$L$2:$L$546,$J82))</f>
        <v/>
      </c>
      <c r="I82" s="150" t="str">
        <f aca="false">IF(A82="","",I81+H82)</f>
        <v/>
      </c>
      <c r="J82" s="101" t="str">
        <f aca="false">IFERROR(MATCH(LIBRI_I_MADH!$B$4&amp;"|"&amp;ROWS($A$6:A82),LEDGER_ENGINE!$U$2:$U$546,0),"")</f>
        <v/>
      </c>
    </row>
    <row r="83" customFormat="false" ht="15" hidden="false" customHeight="true" outlineLevel="0" collapsed="false">
      <c r="A83" s="148" t="str">
        <f aca="false">IF($J83="","",INDEX(LEDGER_ENGINE!$B$2:$B$546,$J83))</f>
        <v/>
      </c>
      <c r="B83" s="149" t="str">
        <f aca="false">IF($J83="","",INDEX(LEDGER_ENGINE!$C$2:$C$546,$J83))</f>
        <v/>
      </c>
      <c r="C83" s="149" t="str">
        <f aca="false">IF($J83="","",INDEX(LEDGER_ENGINE!$D$2:$D$546,$J83))</f>
        <v/>
      </c>
      <c r="D83" s="149" t="str">
        <f aca="false">IF($J83="","",INDEX(LEDGER_ENGINE!$G$2:$G$546,$J83))</f>
        <v/>
      </c>
      <c r="E83" s="149" t="str">
        <f aca="false">IFERROR(IF($J83="","",INDEX(LEDGER_ENGINE!$H$2:$H$546,$J83)),"")</f>
        <v/>
      </c>
      <c r="F83" s="150" t="str">
        <f aca="false">IF($J83="","",INDEX(LEDGER_ENGINE!$I$2:$I$546,$J83))</f>
        <v/>
      </c>
      <c r="G83" s="150" t="str">
        <f aca="false">IF($J83="","",INDEX(LEDGER_ENGINE!$J$2:$J$546,$J83))</f>
        <v/>
      </c>
      <c r="H83" s="150" t="str">
        <f aca="false">IF($J83="","",INDEX(LEDGER_ENGINE!$L$2:$L$546,$J83))</f>
        <v/>
      </c>
      <c r="I83" s="150" t="str">
        <f aca="false">IF(A83="","",I82+H83)</f>
        <v/>
      </c>
      <c r="J83" s="101" t="str">
        <f aca="false">IFERROR(MATCH(LIBRI_I_MADH!$B$4&amp;"|"&amp;ROWS($A$6:A83),LEDGER_ENGINE!$U$2:$U$546,0),"")</f>
        <v/>
      </c>
    </row>
    <row r="84" customFormat="false" ht="15" hidden="false" customHeight="true" outlineLevel="0" collapsed="false">
      <c r="A84" s="148" t="str">
        <f aca="false">IF($J84="","",INDEX(LEDGER_ENGINE!$B$2:$B$546,$J84))</f>
        <v/>
      </c>
      <c r="B84" s="149" t="str">
        <f aca="false">IF($J84="","",INDEX(LEDGER_ENGINE!$C$2:$C$546,$J84))</f>
        <v/>
      </c>
      <c r="C84" s="149" t="str">
        <f aca="false">IF($J84="","",INDEX(LEDGER_ENGINE!$D$2:$D$546,$J84))</f>
        <v/>
      </c>
      <c r="D84" s="149" t="str">
        <f aca="false">IF($J84="","",INDEX(LEDGER_ENGINE!$G$2:$G$546,$J84))</f>
        <v/>
      </c>
      <c r="E84" s="149" t="str">
        <f aca="false">IFERROR(IF($J84="","",INDEX(LEDGER_ENGINE!$H$2:$H$546,$J84)),"")</f>
        <v/>
      </c>
      <c r="F84" s="150" t="str">
        <f aca="false">IF($J84="","",INDEX(LEDGER_ENGINE!$I$2:$I$546,$J84))</f>
        <v/>
      </c>
      <c r="G84" s="150" t="str">
        <f aca="false">IF($J84="","",INDEX(LEDGER_ENGINE!$J$2:$J$546,$J84))</f>
        <v/>
      </c>
      <c r="H84" s="150" t="str">
        <f aca="false">IF($J84="","",INDEX(LEDGER_ENGINE!$L$2:$L$546,$J84))</f>
        <v/>
      </c>
      <c r="I84" s="150" t="str">
        <f aca="false">IF(A84="","",I83+H84)</f>
        <v/>
      </c>
      <c r="J84" s="101" t="str">
        <f aca="false">IFERROR(MATCH(LIBRI_I_MADH!$B$4&amp;"|"&amp;ROWS($A$6:A84),LEDGER_ENGINE!$U$2:$U$546,0),"")</f>
        <v/>
      </c>
    </row>
    <row r="85" customFormat="false" ht="15" hidden="false" customHeight="true" outlineLevel="0" collapsed="false">
      <c r="A85" s="148" t="str">
        <f aca="false">IF($J85="","",INDEX(LEDGER_ENGINE!$B$2:$B$546,$J85))</f>
        <v/>
      </c>
      <c r="B85" s="149" t="str">
        <f aca="false">IF($J85="","",INDEX(LEDGER_ENGINE!$C$2:$C$546,$J85))</f>
        <v/>
      </c>
      <c r="C85" s="149" t="str">
        <f aca="false">IF($J85="","",INDEX(LEDGER_ENGINE!$D$2:$D$546,$J85))</f>
        <v/>
      </c>
      <c r="D85" s="149" t="str">
        <f aca="false">IF($J85="","",INDEX(LEDGER_ENGINE!$G$2:$G$546,$J85))</f>
        <v/>
      </c>
      <c r="E85" s="149" t="str">
        <f aca="false">IFERROR(IF($J85="","",INDEX(LEDGER_ENGINE!$H$2:$H$546,$J85)),"")</f>
        <v/>
      </c>
      <c r="F85" s="150" t="str">
        <f aca="false">IF($J85="","",INDEX(LEDGER_ENGINE!$I$2:$I$546,$J85))</f>
        <v/>
      </c>
      <c r="G85" s="150" t="str">
        <f aca="false">IF($J85="","",INDEX(LEDGER_ENGINE!$J$2:$J$546,$J85))</f>
        <v/>
      </c>
      <c r="H85" s="150" t="str">
        <f aca="false">IF($J85="","",INDEX(LEDGER_ENGINE!$L$2:$L$546,$J85))</f>
        <v/>
      </c>
      <c r="I85" s="150" t="str">
        <f aca="false">IF(A85="","",I84+H85)</f>
        <v/>
      </c>
      <c r="J85" s="101" t="str">
        <f aca="false">IFERROR(MATCH(LIBRI_I_MADH!$B$4&amp;"|"&amp;ROWS($A$6:A85),LEDGER_ENGINE!$U$2:$U$546,0),"")</f>
        <v/>
      </c>
    </row>
    <row r="86" customFormat="false" ht="15" hidden="false" customHeight="true" outlineLevel="0" collapsed="false">
      <c r="A86" s="148" t="str">
        <f aca="false">IF($J86="","",INDEX(LEDGER_ENGINE!$B$2:$B$546,$J86))</f>
        <v/>
      </c>
      <c r="B86" s="149" t="str">
        <f aca="false">IF($J86="","",INDEX(LEDGER_ENGINE!$C$2:$C$546,$J86))</f>
        <v/>
      </c>
      <c r="C86" s="149" t="str">
        <f aca="false">IF($J86="","",INDEX(LEDGER_ENGINE!$D$2:$D$546,$J86))</f>
        <v/>
      </c>
      <c r="D86" s="149" t="str">
        <f aca="false">IF($J86="","",INDEX(LEDGER_ENGINE!$G$2:$G$546,$J86))</f>
        <v/>
      </c>
      <c r="E86" s="149" t="str">
        <f aca="false">IFERROR(IF($J86="","",INDEX(LEDGER_ENGINE!$H$2:$H$546,$J86)),"")</f>
        <v/>
      </c>
      <c r="F86" s="150" t="str">
        <f aca="false">IF($J86="","",INDEX(LEDGER_ENGINE!$I$2:$I$546,$J86))</f>
        <v/>
      </c>
      <c r="G86" s="150" t="str">
        <f aca="false">IF($J86="","",INDEX(LEDGER_ENGINE!$J$2:$J$546,$J86))</f>
        <v/>
      </c>
      <c r="H86" s="150" t="str">
        <f aca="false">IF($J86="","",INDEX(LEDGER_ENGINE!$L$2:$L$546,$J86))</f>
        <v/>
      </c>
      <c r="I86" s="150" t="str">
        <f aca="false">IF(A86="","",I85+H86)</f>
        <v/>
      </c>
      <c r="J86" s="101" t="str">
        <f aca="false">IFERROR(MATCH(LIBRI_I_MADH!$B$4&amp;"|"&amp;ROWS($A$6:A86),LEDGER_ENGINE!$U$2:$U$546,0),"")</f>
        <v/>
      </c>
    </row>
    <row r="87" customFormat="false" ht="15" hidden="false" customHeight="true" outlineLevel="0" collapsed="false">
      <c r="A87" s="148" t="str">
        <f aca="false">IF($J87="","",INDEX(LEDGER_ENGINE!$B$2:$B$546,$J87))</f>
        <v/>
      </c>
      <c r="B87" s="149" t="str">
        <f aca="false">IF($J87="","",INDEX(LEDGER_ENGINE!$C$2:$C$546,$J87))</f>
        <v/>
      </c>
      <c r="C87" s="149" t="str">
        <f aca="false">IF($J87="","",INDEX(LEDGER_ENGINE!$D$2:$D$546,$J87))</f>
        <v/>
      </c>
      <c r="D87" s="149" t="str">
        <f aca="false">IF($J87="","",INDEX(LEDGER_ENGINE!$G$2:$G$546,$J87))</f>
        <v/>
      </c>
      <c r="E87" s="149" t="str">
        <f aca="false">IFERROR(IF($J87="","",INDEX(LEDGER_ENGINE!$H$2:$H$546,$J87)),"")</f>
        <v/>
      </c>
      <c r="F87" s="150" t="str">
        <f aca="false">IF($J87="","",INDEX(LEDGER_ENGINE!$I$2:$I$546,$J87))</f>
        <v/>
      </c>
      <c r="G87" s="150" t="str">
        <f aca="false">IF($J87="","",INDEX(LEDGER_ENGINE!$J$2:$J$546,$J87))</f>
        <v/>
      </c>
      <c r="H87" s="150" t="str">
        <f aca="false">IF($J87="","",INDEX(LEDGER_ENGINE!$L$2:$L$546,$J87))</f>
        <v/>
      </c>
      <c r="I87" s="150" t="str">
        <f aca="false">IF(A87="","",I86+H87)</f>
        <v/>
      </c>
      <c r="J87" s="101" t="str">
        <f aca="false">IFERROR(MATCH(LIBRI_I_MADH!$B$4&amp;"|"&amp;ROWS($A$6:A87),LEDGER_ENGINE!$U$2:$U$546,0),"")</f>
        <v/>
      </c>
    </row>
    <row r="88" customFormat="false" ht="15" hidden="false" customHeight="true" outlineLevel="0" collapsed="false">
      <c r="A88" s="148" t="str">
        <f aca="false">IF($J88="","",INDEX(LEDGER_ENGINE!$B$2:$B$546,$J88))</f>
        <v/>
      </c>
      <c r="B88" s="149" t="str">
        <f aca="false">IF($J88="","",INDEX(LEDGER_ENGINE!$C$2:$C$546,$J88))</f>
        <v/>
      </c>
      <c r="C88" s="149" t="str">
        <f aca="false">IF($J88="","",INDEX(LEDGER_ENGINE!$D$2:$D$546,$J88))</f>
        <v/>
      </c>
      <c r="D88" s="149" t="str">
        <f aca="false">IF($J88="","",INDEX(LEDGER_ENGINE!$G$2:$G$546,$J88))</f>
        <v/>
      </c>
      <c r="E88" s="149" t="str">
        <f aca="false">IFERROR(IF($J88="","",INDEX(LEDGER_ENGINE!$H$2:$H$546,$J88)),"")</f>
        <v/>
      </c>
      <c r="F88" s="150" t="str">
        <f aca="false">IF($J88="","",INDEX(LEDGER_ENGINE!$I$2:$I$546,$J88))</f>
        <v/>
      </c>
      <c r="G88" s="150" t="str">
        <f aca="false">IF($J88="","",INDEX(LEDGER_ENGINE!$J$2:$J$546,$J88))</f>
        <v/>
      </c>
      <c r="H88" s="150" t="str">
        <f aca="false">IF($J88="","",INDEX(LEDGER_ENGINE!$L$2:$L$546,$J88))</f>
        <v/>
      </c>
      <c r="I88" s="150" t="str">
        <f aca="false">IF(A88="","",I87+H88)</f>
        <v/>
      </c>
      <c r="J88" s="101" t="str">
        <f aca="false">IFERROR(MATCH(LIBRI_I_MADH!$B$4&amp;"|"&amp;ROWS($A$6:A88),LEDGER_ENGINE!$U$2:$U$546,0),"")</f>
        <v/>
      </c>
    </row>
    <row r="89" customFormat="false" ht="15" hidden="false" customHeight="true" outlineLevel="0" collapsed="false">
      <c r="A89" s="148" t="str">
        <f aca="false">IF($J89="","",INDEX(LEDGER_ENGINE!$B$2:$B$546,$J89))</f>
        <v/>
      </c>
      <c r="B89" s="149" t="str">
        <f aca="false">IF($J89="","",INDEX(LEDGER_ENGINE!$C$2:$C$546,$J89))</f>
        <v/>
      </c>
      <c r="C89" s="149" t="str">
        <f aca="false">IF($J89="","",INDEX(LEDGER_ENGINE!$D$2:$D$546,$J89))</f>
        <v/>
      </c>
      <c r="D89" s="149" t="str">
        <f aca="false">IF($J89="","",INDEX(LEDGER_ENGINE!$G$2:$G$546,$J89))</f>
        <v/>
      </c>
      <c r="E89" s="149" t="str">
        <f aca="false">IFERROR(IF($J89="","",INDEX(LEDGER_ENGINE!$H$2:$H$546,$J89)),"")</f>
        <v/>
      </c>
      <c r="F89" s="150" t="str">
        <f aca="false">IF($J89="","",INDEX(LEDGER_ENGINE!$I$2:$I$546,$J89))</f>
        <v/>
      </c>
      <c r="G89" s="150" t="str">
        <f aca="false">IF($J89="","",INDEX(LEDGER_ENGINE!$J$2:$J$546,$J89))</f>
        <v/>
      </c>
      <c r="H89" s="150" t="str">
        <f aca="false">IF($J89="","",INDEX(LEDGER_ENGINE!$L$2:$L$546,$J89))</f>
        <v/>
      </c>
      <c r="I89" s="150" t="str">
        <f aca="false">IF(A89="","",I88+H89)</f>
        <v/>
      </c>
      <c r="J89" s="101" t="str">
        <f aca="false">IFERROR(MATCH(LIBRI_I_MADH!$B$4&amp;"|"&amp;ROWS($A$6:A89),LEDGER_ENGINE!$U$2:$U$546,0),"")</f>
        <v/>
      </c>
    </row>
    <row r="90" customFormat="false" ht="15" hidden="false" customHeight="true" outlineLevel="0" collapsed="false">
      <c r="A90" s="148" t="str">
        <f aca="false">IF($J90="","",INDEX(LEDGER_ENGINE!$B$2:$B$546,$J90))</f>
        <v/>
      </c>
      <c r="B90" s="149" t="str">
        <f aca="false">IF($J90="","",INDEX(LEDGER_ENGINE!$C$2:$C$546,$J90))</f>
        <v/>
      </c>
      <c r="C90" s="149" t="str">
        <f aca="false">IF($J90="","",INDEX(LEDGER_ENGINE!$D$2:$D$546,$J90))</f>
        <v/>
      </c>
      <c r="D90" s="149" t="str">
        <f aca="false">IF($J90="","",INDEX(LEDGER_ENGINE!$G$2:$G$546,$J90))</f>
        <v/>
      </c>
      <c r="E90" s="149" t="str">
        <f aca="false">IFERROR(IF($J90="","",INDEX(LEDGER_ENGINE!$H$2:$H$546,$J90)),"")</f>
        <v/>
      </c>
      <c r="F90" s="150" t="str">
        <f aca="false">IF($J90="","",INDEX(LEDGER_ENGINE!$I$2:$I$546,$J90))</f>
        <v/>
      </c>
      <c r="G90" s="150" t="str">
        <f aca="false">IF($J90="","",INDEX(LEDGER_ENGINE!$J$2:$J$546,$J90))</f>
        <v/>
      </c>
      <c r="H90" s="150" t="str">
        <f aca="false">IF($J90="","",INDEX(LEDGER_ENGINE!$L$2:$L$546,$J90))</f>
        <v/>
      </c>
      <c r="I90" s="150" t="str">
        <f aca="false">IF(A90="","",I89+H90)</f>
        <v/>
      </c>
      <c r="J90" s="101" t="str">
        <f aca="false">IFERROR(MATCH(LIBRI_I_MADH!$B$4&amp;"|"&amp;ROWS($A$6:A90),LEDGER_ENGINE!$U$2:$U$546,0),"")</f>
        <v/>
      </c>
    </row>
    <row r="91" customFormat="false" ht="15" hidden="false" customHeight="true" outlineLevel="0" collapsed="false">
      <c r="A91" s="148" t="str">
        <f aca="false">IF($J91="","",INDEX(LEDGER_ENGINE!$B$2:$B$546,$J91))</f>
        <v/>
      </c>
      <c r="B91" s="149" t="str">
        <f aca="false">IF($J91="","",INDEX(LEDGER_ENGINE!$C$2:$C$546,$J91))</f>
        <v/>
      </c>
      <c r="C91" s="149" t="str">
        <f aca="false">IF($J91="","",INDEX(LEDGER_ENGINE!$D$2:$D$546,$J91))</f>
        <v/>
      </c>
      <c r="D91" s="149" t="str">
        <f aca="false">IF($J91="","",INDEX(LEDGER_ENGINE!$G$2:$G$546,$J91))</f>
        <v/>
      </c>
      <c r="E91" s="149" t="str">
        <f aca="false">IFERROR(IF($J91="","",INDEX(LEDGER_ENGINE!$H$2:$H$546,$J91)),"")</f>
        <v/>
      </c>
      <c r="F91" s="150" t="str">
        <f aca="false">IF($J91="","",INDEX(LEDGER_ENGINE!$I$2:$I$546,$J91))</f>
        <v/>
      </c>
      <c r="G91" s="150" t="str">
        <f aca="false">IF($J91="","",INDEX(LEDGER_ENGINE!$J$2:$J$546,$J91))</f>
        <v/>
      </c>
      <c r="H91" s="150" t="str">
        <f aca="false">IF($J91="","",INDEX(LEDGER_ENGINE!$L$2:$L$546,$J91))</f>
        <v/>
      </c>
      <c r="I91" s="150" t="str">
        <f aca="false">IF(A91="","",I90+H91)</f>
        <v/>
      </c>
      <c r="J91" s="101" t="str">
        <f aca="false">IFERROR(MATCH(LIBRI_I_MADH!$B$4&amp;"|"&amp;ROWS($A$6:A91),LEDGER_ENGINE!$U$2:$U$546,0),"")</f>
        <v/>
      </c>
    </row>
    <row r="92" customFormat="false" ht="15" hidden="false" customHeight="true" outlineLevel="0" collapsed="false">
      <c r="A92" s="148" t="str">
        <f aca="false">IF($J92="","",INDEX(LEDGER_ENGINE!$B$2:$B$546,$J92))</f>
        <v/>
      </c>
      <c r="B92" s="149" t="str">
        <f aca="false">IF($J92="","",INDEX(LEDGER_ENGINE!$C$2:$C$546,$J92))</f>
        <v/>
      </c>
      <c r="C92" s="149" t="str">
        <f aca="false">IF($J92="","",INDEX(LEDGER_ENGINE!$D$2:$D$546,$J92))</f>
        <v/>
      </c>
      <c r="D92" s="149" t="str">
        <f aca="false">IF($J92="","",INDEX(LEDGER_ENGINE!$G$2:$G$546,$J92))</f>
        <v/>
      </c>
      <c r="E92" s="149" t="str">
        <f aca="false">IFERROR(IF($J92="","",INDEX(LEDGER_ENGINE!$H$2:$H$546,$J92)),"")</f>
        <v/>
      </c>
      <c r="F92" s="150" t="str">
        <f aca="false">IF($J92="","",INDEX(LEDGER_ENGINE!$I$2:$I$546,$J92))</f>
        <v/>
      </c>
      <c r="G92" s="150" t="str">
        <f aca="false">IF($J92="","",INDEX(LEDGER_ENGINE!$J$2:$J$546,$J92))</f>
        <v/>
      </c>
      <c r="H92" s="150" t="str">
        <f aca="false">IF($J92="","",INDEX(LEDGER_ENGINE!$L$2:$L$546,$J92))</f>
        <v/>
      </c>
      <c r="I92" s="150" t="str">
        <f aca="false">IF(A92="","",I91+H92)</f>
        <v/>
      </c>
      <c r="J92" s="101" t="str">
        <f aca="false">IFERROR(MATCH(LIBRI_I_MADH!$B$4&amp;"|"&amp;ROWS($A$6:A92),LEDGER_ENGINE!$U$2:$U$546,0),"")</f>
        <v/>
      </c>
    </row>
    <row r="93" customFormat="false" ht="15" hidden="false" customHeight="true" outlineLevel="0" collapsed="false">
      <c r="A93" s="148" t="str">
        <f aca="false">IF($J93="","",INDEX(LEDGER_ENGINE!$B$2:$B$546,$J93))</f>
        <v/>
      </c>
      <c r="B93" s="149" t="str">
        <f aca="false">IF($J93="","",INDEX(LEDGER_ENGINE!$C$2:$C$546,$J93))</f>
        <v/>
      </c>
      <c r="C93" s="149" t="str">
        <f aca="false">IF($J93="","",INDEX(LEDGER_ENGINE!$D$2:$D$546,$J93))</f>
        <v/>
      </c>
      <c r="D93" s="149" t="str">
        <f aca="false">IF($J93="","",INDEX(LEDGER_ENGINE!$G$2:$G$546,$J93))</f>
        <v/>
      </c>
      <c r="E93" s="149" t="str">
        <f aca="false">IFERROR(IF($J93="","",INDEX(LEDGER_ENGINE!$H$2:$H$546,$J93)),"")</f>
        <v/>
      </c>
      <c r="F93" s="150" t="str">
        <f aca="false">IF($J93="","",INDEX(LEDGER_ENGINE!$I$2:$I$546,$J93))</f>
        <v/>
      </c>
      <c r="G93" s="150" t="str">
        <f aca="false">IF($J93="","",INDEX(LEDGER_ENGINE!$J$2:$J$546,$J93))</f>
        <v/>
      </c>
      <c r="H93" s="150" t="str">
        <f aca="false">IF($J93="","",INDEX(LEDGER_ENGINE!$L$2:$L$546,$J93))</f>
        <v/>
      </c>
      <c r="I93" s="150" t="str">
        <f aca="false">IF(A93="","",I92+H93)</f>
        <v/>
      </c>
      <c r="J93" s="101" t="str">
        <f aca="false">IFERROR(MATCH(LIBRI_I_MADH!$B$4&amp;"|"&amp;ROWS($A$6:A93),LEDGER_ENGINE!$U$2:$U$546,0),"")</f>
        <v/>
      </c>
    </row>
    <row r="94" customFormat="false" ht="15" hidden="false" customHeight="true" outlineLevel="0" collapsed="false">
      <c r="A94" s="148" t="str">
        <f aca="false">IF($J94="","",INDEX(LEDGER_ENGINE!$B$2:$B$546,$J94))</f>
        <v/>
      </c>
      <c r="B94" s="149" t="str">
        <f aca="false">IF($J94="","",INDEX(LEDGER_ENGINE!$C$2:$C$546,$J94))</f>
        <v/>
      </c>
      <c r="C94" s="149" t="str">
        <f aca="false">IF($J94="","",INDEX(LEDGER_ENGINE!$D$2:$D$546,$J94))</f>
        <v/>
      </c>
      <c r="D94" s="149" t="str">
        <f aca="false">IF($J94="","",INDEX(LEDGER_ENGINE!$G$2:$G$546,$J94))</f>
        <v/>
      </c>
      <c r="E94" s="149" t="str">
        <f aca="false">IFERROR(IF($J94="","",INDEX(LEDGER_ENGINE!$H$2:$H$546,$J94)),"")</f>
        <v/>
      </c>
      <c r="F94" s="150" t="str">
        <f aca="false">IF($J94="","",INDEX(LEDGER_ENGINE!$I$2:$I$546,$J94))</f>
        <v/>
      </c>
      <c r="G94" s="150" t="str">
        <f aca="false">IF($J94="","",INDEX(LEDGER_ENGINE!$J$2:$J$546,$J94))</f>
        <v/>
      </c>
      <c r="H94" s="150" t="str">
        <f aca="false">IF($J94="","",INDEX(LEDGER_ENGINE!$L$2:$L$546,$J94))</f>
        <v/>
      </c>
      <c r="I94" s="150" t="str">
        <f aca="false">IF(A94="","",I93+H94)</f>
        <v/>
      </c>
      <c r="J94" s="101" t="str">
        <f aca="false">IFERROR(MATCH(LIBRI_I_MADH!$B$4&amp;"|"&amp;ROWS($A$6:A94),LEDGER_ENGINE!$U$2:$U$546,0),"")</f>
        <v/>
      </c>
    </row>
    <row r="95" customFormat="false" ht="15" hidden="false" customHeight="true" outlineLevel="0" collapsed="false">
      <c r="A95" s="148" t="str">
        <f aca="false">IF($J95="","",INDEX(LEDGER_ENGINE!$B$2:$B$546,$J95))</f>
        <v/>
      </c>
      <c r="B95" s="149" t="str">
        <f aca="false">IF($J95="","",INDEX(LEDGER_ENGINE!$C$2:$C$546,$J95))</f>
        <v/>
      </c>
      <c r="C95" s="149" t="str">
        <f aca="false">IF($J95="","",INDEX(LEDGER_ENGINE!$D$2:$D$546,$J95))</f>
        <v/>
      </c>
      <c r="D95" s="149" t="str">
        <f aca="false">IF($J95="","",INDEX(LEDGER_ENGINE!$G$2:$G$546,$J95))</f>
        <v/>
      </c>
      <c r="E95" s="149" t="str">
        <f aca="false">IFERROR(IF($J95="","",INDEX(LEDGER_ENGINE!$H$2:$H$546,$J95)),"")</f>
        <v/>
      </c>
      <c r="F95" s="150" t="str">
        <f aca="false">IF($J95="","",INDEX(LEDGER_ENGINE!$I$2:$I$546,$J95))</f>
        <v/>
      </c>
      <c r="G95" s="150" t="str">
        <f aca="false">IF($J95="","",INDEX(LEDGER_ENGINE!$J$2:$J$546,$J95))</f>
        <v/>
      </c>
      <c r="H95" s="150" t="str">
        <f aca="false">IF($J95="","",INDEX(LEDGER_ENGINE!$L$2:$L$546,$J95))</f>
        <v/>
      </c>
      <c r="I95" s="150" t="str">
        <f aca="false">IF(A95="","",I94+H95)</f>
        <v/>
      </c>
      <c r="J95" s="101" t="str">
        <f aca="false">IFERROR(MATCH(LIBRI_I_MADH!$B$4&amp;"|"&amp;ROWS($A$6:A95),LEDGER_ENGINE!$U$2:$U$546,0),"")</f>
        <v/>
      </c>
    </row>
    <row r="96" customFormat="false" ht="15" hidden="false" customHeight="true" outlineLevel="0" collapsed="false">
      <c r="A96" s="148" t="str">
        <f aca="false">IF($J96="","",INDEX(LEDGER_ENGINE!$B$2:$B$546,$J96))</f>
        <v/>
      </c>
      <c r="B96" s="149" t="str">
        <f aca="false">IF($J96="","",INDEX(LEDGER_ENGINE!$C$2:$C$546,$J96))</f>
        <v/>
      </c>
      <c r="C96" s="149" t="str">
        <f aca="false">IF($J96="","",INDEX(LEDGER_ENGINE!$D$2:$D$546,$J96))</f>
        <v/>
      </c>
      <c r="D96" s="149" t="str">
        <f aca="false">IF($J96="","",INDEX(LEDGER_ENGINE!$G$2:$G$546,$J96))</f>
        <v/>
      </c>
      <c r="E96" s="149" t="str">
        <f aca="false">IFERROR(IF($J96="","",INDEX(LEDGER_ENGINE!$H$2:$H$546,$J96)),"")</f>
        <v/>
      </c>
      <c r="F96" s="150" t="str">
        <f aca="false">IF($J96="","",INDEX(LEDGER_ENGINE!$I$2:$I$546,$J96))</f>
        <v/>
      </c>
      <c r="G96" s="150" t="str">
        <f aca="false">IF($J96="","",INDEX(LEDGER_ENGINE!$J$2:$J$546,$J96))</f>
        <v/>
      </c>
      <c r="H96" s="150" t="str">
        <f aca="false">IF($J96="","",INDEX(LEDGER_ENGINE!$L$2:$L$546,$J96))</f>
        <v/>
      </c>
      <c r="I96" s="150" t="str">
        <f aca="false">IF(A96="","",I95+H96)</f>
        <v/>
      </c>
      <c r="J96" s="101" t="str">
        <f aca="false">IFERROR(MATCH(LIBRI_I_MADH!$B$4&amp;"|"&amp;ROWS($A$6:A96),LEDGER_ENGINE!$U$2:$U$546,0),"")</f>
        <v/>
      </c>
    </row>
    <row r="97" customFormat="false" ht="15" hidden="false" customHeight="true" outlineLevel="0" collapsed="false">
      <c r="A97" s="148" t="str">
        <f aca="false">IF($J97="","",INDEX(LEDGER_ENGINE!$B$2:$B$546,$J97))</f>
        <v/>
      </c>
      <c r="B97" s="149" t="str">
        <f aca="false">IF($J97="","",INDEX(LEDGER_ENGINE!$C$2:$C$546,$J97))</f>
        <v/>
      </c>
      <c r="C97" s="149" t="str">
        <f aca="false">IF($J97="","",INDEX(LEDGER_ENGINE!$D$2:$D$546,$J97))</f>
        <v/>
      </c>
      <c r="D97" s="149" t="str">
        <f aca="false">IF($J97="","",INDEX(LEDGER_ENGINE!$G$2:$G$546,$J97))</f>
        <v/>
      </c>
      <c r="E97" s="149" t="str">
        <f aca="false">IFERROR(IF($J97="","",INDEX(LEDGER_ENGINE!$H$2:$H$546,$J97)),"")</f>
        <v/>
      </c>
      <c r="F97" s="150" t="str">
        <f aca="false">IF($J97="","",INDEX(LEDGER_ENGINE!$I$2:$I$546,$J97))</f>
        <v/>
      </c>
      <c r="G97" s="150" t="str">
        <f aca="false">IF($J97="","",INDEX(LEDGER_ENGINE!$J$2:$J$546,$J97))</f>
        <v/>
      </c>
      <c r="H97" s="150" t="str">
        <f aca="false">IF($J97="","",INDEX(LEDGER_ENGINE!$L$2:$L$546,$J97))</f>
        <v/>
      </c>
      <c r="I97" s="150" t="str">
        <f aca="false">IF(A97="","",I96+H97)</f>
        <v/>
      </c>
      <c r="J97" s="101" t="str">
        <f aca="false">IFERROR(MATCH(LIBRI_I_MADH!$B$4&amp;"|"&amp;ROWS($A$6:A97),LEDGER_ENGINE!$U$2:$U$546,0),"")</f>
        <v/>
      </c>
    </row>
    <row r="98" customFormat="false" ht="15" hidden="false" customHeight="true" outlineLevel="0" collapsed="false">
      <c r="A98" s="148" t="str">
        <f aca="false">IF($J98="","",INDEX(LEDGER_ENGINE!$B$2:$B$546,$J98))</f>
        <v/>
      </c>
      <c r="B98" s="149" t="str">
        <f aca="false">IF($J98="","",INDEX(LEDGER_ENGINE!$C$2:$C$546,$J98))</f>
        <v/>
      </c>
      <c r="C98" s="149" t="str">
        <f aca="false">IF($J98="","",INDEX(LEDGER_ENGINE!$D$2:$D$546,$J98))</f>
        <v/>
      </c>
      <c r="D98" s="149" t="str">
        <f aca="false">IF($J98="","",INDEX(LEDGER_ENGINE!$G$2:$G$546,$J98))</f>
        <v/>
      </c>
      <c r="E98" s="149" t="str">
        <f aca="false">IFERROR(IF($J98="","",INDEX(LEDGER_ENGINE!$H$2:$H$546,$J98)),"")</f>
        <v/>
      </c>
      <c r="F98" s="150" t="str">
        <f aca="false">IF($J98="","",INDEX(LEDGER_ENGINE!$I$2:$I$546,$J98))</f>
        <v/>
      </c>
      <c r="G98" s="150" t="str">
        <f aca="false">IF($J98="","",INDEX(LEDGER_ENGINE!$J$2:$J$546,$J98))</f>
        <v/>
      </c>
      <c r="H98" s="150" t="str">
        <f aca="false">IF($J98="","",INDEX(LEDGER_ENGINE!$L$2:$L$546,$J98))</f>
        <v/>
      </c>
      <c r="I98" s="150" t="str">
        <f aca="false">IF(A98="","",I97+H98)</f>
        <v/>
      </c>
      <c r="J98" s="101" t="str">
        <f aca="false">IFERROR(MATCH(LIBRI_I_MADH!$B$4&amp;"|"&amp;ROWS($A$6:A98),LEDGER_ENGINE!$U$2:$U$546,0),"")</f>
        <v/>
      </c>
    </row>
    <row r="99" customFormat="false" ht="15" hidden="false" customHeight="true" outlineLevel="0" collapsed="false">
      <c r="A99" s="148" t="str">
        <f aca="false">IF($J99="","",INDEX(LEDGER_ENGINE!$B$2:$B$546,$J99))</f>
        <v/>
      </c>
      <c r="B99" s="149" t="str">
        <f aca="false">IF($J99="","",INDEX(LEDGER_ENGINE!$C$2:$C$546,$J99))</f>
        <v/>
      </c>
      <c r="C99" s="149" t="str">
        <f aca="false">IF($J99="","",INDEX(LEDGER_ENGINE!$D$2:$D$546,$J99))</f>
        <v/>
      </c>
      <c r="D99" s="149" t="str">
        <f aca="false">IF($J99="","",INDEX(LEDGER_ENGINE!$G$2:$G$546,$J99))</f>
        <v/>
      </c>
      <c r="E99" s="149" t="str">
        <f aca="false">IFERROR(IF($J99="","",INDEX(LEDGER_ENGINE!$H$2:$H$546,$J99)),"")</f>
        <v/>
      </c>
      <c r="F99" s="150" t="str">
        <f aca="false">IF($J99="","",INDEX(LEDGER_ENGINE!$I$2:$I$546,$J99))</f>
        <v/>
      </c>
      <c r="G99" s="150" t="str">
        <f aca="false">IF($J99="","",INDEX(LEDGER_ENGINE!$J$2:$J$546,$J99))</f>
        <v/>
      </c>
      <c r="H99" s="150" t="str">
        <f aca="false">IF($J99="","",INDEX(LEDGER_ENGINE!$L$2:$L$546,$J99))</f>
        <v/>
      </c>
      <c r="I99" s="150" t="str">
        <f aca="false">IF(A99="","",I98+H99)</f>
        <v/>
      </c>
      <c r="J99" s="101" t="str">
        <f aca="false">IFERROR(MATCH(LIBRI_I_MADH!$B$4&amp;"|"&amp;ROWS($A$6:A99),LEDGER_ENGINE!$U$2:$U$546,0),"")</f>
        <v/>
      </c>
    </row>
    <row r="100" customFormat="false" ht="15" hidden="false" customHeight="true" outlineLevel="0" collapsed="false">
      <c r="A100" s="148" t="str">
        <f aca="false">IF($J100="","",INDEX(LEDGER_ENGINE!$B$2:$B$546,$J100))</f>
        <v/>
      </c>
      <c r="B100" s="149" t="str">
        <f aca="false">IF($J100="","",INDEX(LEDGER_ENGINE!$C$2:$C$546,$J100))</f>
        <v/>
      </c>
      <c r="C100" s="149" t="str">
        <f aca="false">IF($J100="","",INDEX(LEDGER_ENGINE!$D$2:$D$546,$J100))</f>
        <v/>
      </c>
      <c r="D100" s="149" t="str">
        <f aca="false">IF($J100="","",INDEX(LEDGER_ENGINE!$G$2:$G$546,$J100))</f>
        <v/>
      </c>
      <c r="E100" s="149" t="str">
        <f aca="false">IFERROR(IF($J100="","",INDEX(LEDGER_ENGINE!$H$2:$H$546,$J100)),"")</f>
        <v/>
      </c>
      <c r="F100" s="150" t="str">
        <f aca="false">IF($J100="","",INDEX(LEDGER_ENGINE!$I$2:$I$546,$J100))</f>
        <v/>
      </c>
      <c r="G100" s="150" t="str">
        <f aca="false">IF($J100="","",INDEX(LEDGER_ENGINE!$J$2:$J$546,$J100))</f>
        <v/>
      </c>
      <c r="H100" s="150" t="str">
        <f aca="false">IF($J100="","",INDEX(LEDGER_ENGINE!$L$2:$L$546,$J100))</f>
        <v/>
      </c>
      <c r="I100" s="150" t="str">
        <f aca="false">IF(A100="","",I99+H100)</f>
        <v/>
      </c>
      <c r="J100" s="101" t="str">
        <f aca="false">IFERROR(MATCH(LIBRI_I_MADH!$B$4&amp;"|"&amp;ROWS($A$6:A100),LEDGER_ENGINE!$U$2:$U$546,0),"")</f>
        <v/>
      </c>
    </row>
    <row r="101" customFormat="false" ht="15" hidden="false" customHeight="true" outlineLevel="0" collapsed="false">
      <c r="A101" s="148" t="str">
        <f aca="false">IF($J101="","",INDEX(LEDGER_ENGINE!$B$2:$B$546,$J101))</f>
        <v/>
      </c>
      <c r="B101" s="149" t="str">
        <f aca="false">IF($J101="","",INDEX(LEDGER_ENGINE!$C$2:$C$546,$J101))</f>
        <v/>
      </c>
      <c r="C101" s="149" t="str">
        <f aca="false">IF($J101="","",INDEX(LEDGER_ENGINE!$D$2:$D$546,$J101))</f>
        <v/>
      </c>
      <c r="D101" s="149" t="str">
        <f aca="false">IF($J101="","",INDEX(LEDGER_ENGINE!$G$2:$G$546,$J101))</f>
        <v/>
      </c>
      <c r="E101" s="149" t="str">
        <f aca="false">IFERROR(IF($J101="","",INDEX(LEDGER_ENGINE!$H$2:$H$546,$J101)),"")</f>
        <v/>
      </c>
      <c r="F101" s="150" t="str">
        <f aca="false">IF($J101="","",INDEX(LEDGER_ENGINE!$I$2:$I$546,$J101))</f>
        <v/>
      </c>
      <c r="G101" s="150" t="str">
        <f aca="false">IF($J101="","",INDEX(LEDGER_ENGINE!$J$2:$J$546,$J101))</f>
        <v/>
      </c>
      <c r="H101" s="150" t="str">
        <f aca="false">IF($J101="","",INDEX(LEDGER_ENGINE!$L$2:$L$546,$J101))</f>
        <v/>
      </c>
      <c r="I101" s="150" t="str">
        <f aca="false">IF(A101="","",I100+H101)</f>
        <v/>
      </c>
      <c r="J101" s="101" t="str">
        <f aca="false">IFERROR(MATCH(LIBRI_I_MADH!$B$4&amp;"|"&amp;ROWS($A$6:A101),LEDGER_ENGINE!$U$2:$U$546,0),"")</f>
        <v/>
      </c>
    </row>
    <row r="102" customFormat="false" ht="15" hidden="false" customHeight="true" outlineLevel="0" collapsed="false">
      <c r="A102" s="148" t="str">
        <f aca="false">IF($J102="","",INDEX(LEDGER_ENGINE!$B$2:$B$546,$J102))</f>
        <v/>
      </c>
      <c r="B102" s="149" t="str">
        <f aca="false">IF($J102="","",INDEX(LEDGER_ENGINE!$C$2:$C$546,$J102))</f>
        <v/>
      </c>
      <c r="C102" s="149" t="str">
        <f aca="false">IF($J102="","",INDEX(LEDGER_ENGINE!$D$2:$D$546,$J102))</f>
        <v/>
      </c>
      <c r="D102" s="149" t="str">
        <f aca="false">IF($J102="","",INDEX(LEDGER_ENGINE!$G$2:$G$546,$J102))</f>
        <v/>
      </c>
      <c r="E102" s="149" t="str">
        <f aca="false">IFERROR(IF($J102="","",INDEX(LEDGER_ENGINE!$H$2:$H$546,$J102)),"")</f>
        <v/>
      </c>
      <c r="F102" s="150" t="str">
        <f aca="false">IF($J102="","",INDEX(LEDGER_ENGINE!$I$2:$I$546,$J102))</f>
        <v/>
      </c>
      <c r="G102" s="150" t="str">
        <f aca="false">IF($J102="","",INDEX(LEDGER_ENGINE!$J$2:$J$546,$J102))</f>
        <v/>
      </c>
      <c r="H102" s="150" t="str">
        <f aca="false">IF($J102="","",INDEX(LEDGER_ENGINE!$L$2:$L$546,$J102))</f>
        <v/>
      </c>
      <c r="I102" s="150" t="str">
        <f aca="false">IF(A102="","",I101+H102)</f>
        <v/>
      </c>
      <c r="J102" s="101" t="str">
        <f aca="false">IFERROR(MATCH(LIBRI_I_MADH!$B$4&amp;"|"&amp;ROWS($A$6:A102),LEDGER_ENGINE!$U$2:$U$546,0),"")</f>
        <v/>
      </c>
    </row>
    <row r="103" customFormat="false" ht="15" hidden="false" customHeight="true" outlineLevel="0" collapsed="false">
      <c r="A103" s="148" t="str">
        <f aca="false">IF($J103="","",INDEX(LEDGER_ENGINE!$B$2:$B$546,$J103))</f>
        <v/>
      </c>
      <c r="B103" s="149" t="str">
        <f aca="false">IF($J103="","",INDEX(LEDGER_ENGINE!$C$2:$C$546,$J103))</f>
        <v/>
      </c>
      <c r="C103" s="149" t="str">
        <f aca="false">IF($J103="","",INDEX(LEDGER_ENGINE!$D$2:$D$546,$J103))</f>
        <v/>
      </c>
      <c r="D103" s="149" t="str">
        <f aca="false">IF($J103="","",INDEX(LEDGER_ENGINE!$G$2:$G$546,$J103))</f>
        <v/>
      </c>
      <c r="E103" s="149" t="str">
        <f aca="false">IFERROR(IF($J103="","",INDEX(LEDGER_ENGINE!$H$2:$H$546,$J103)),"")</f>
        <v/>
      </c>
      <c r="F103" s="150" t="str">
        <f aca="false">IF($J103="","",INDEX(LEDGER_ENGINE!$I$2:$I$546,$J103))</f>
        <v/>
      </c>
      <c r="G103" s="150" t="str">
        <f aca="false">IF($J103="","",INDEX(LEDGER_ENGINE!$J$2:$J$546,$J103))</f>
        <v/>
      </c>
      <c r="H103" s="150" t="str">
        <f aca="false">IF($J103="","",INDEX(LEDGER_ENGINE!$L$2:$L$546,$J103))</f>
        <v/>
      </c>
      <c r="I103" s="150" t="str">
        <f aca="false">IF(A103="","",I102+H103)</f>
        <v/>
      </c>
      <c r="J103" s="101" t="str">
        <f aca="false">IFERROR(MATCH(LIBRI_I_MADH!$B$4&amp;"|"&amp;ROWS($A$6:A103),LEDGER_ENGINE!$U$2:$U$546,0),"")</f>
        <v/>
      </c>
    </row>
    <row r="104" customFormat="false" ht="15" hidden="false" customHeight="true" outlineLevel="0" collapsed="false">
      <c r="A104" s="148" t="str">
        <f aca="false">IF($J104="","",INDEX(LEDGER_ENGINE!$B$2:$B$546,$J104))</f>
        <v/>
      </c>
      <c r="B104" s="149" t="str">
        <f aca="false">IF($J104="","",INDEX(LEDGER_ENGINE!$C$2:$C$546,$J104))</f>
        <v/>
      </c>
      <c r="C104" s="149" t="str">
        <f aca="false">IF($J104="","",INDEX(LEDGER_ENGINE!$D$2:$D$546,$J104))</f>
        <v/>
      </c>
      <c r="D104" s="149" t="str">
        <f aca="false">IF($J104="","",INDEX(LEDGER_ENGINE!$G$2:$G$546,$J104))</f>
        <v/>
      </c>
      <c r="E104" s="149" t="str">
        <f aca="false">IFERROR(IF($J104="","",INDEX(LEDGER_ENGINE!$H$2:$H$546,$J104)),"")</f>
        <v/>
      </c>
      <c r="F104" s="150" t="str">
        <f aca="false">IF($J104="","",INDEX(LEDGER_ENGINE!$I$2:$I$546,$J104))</f>
        <v/>
      </c>
      <c r="G104" s="150" t="str">
        <f aca="false">IF($J104="","",INDEX(LEDGER_ENGINE!$J$2:$J$546,$J104))</f>
        <v/>
      </c>
      <c r="H104" s="150" t="str">
        <f aca="false">IF($J104="","",INDEX(LEDGER_ENGINE!$L$2:$L$546,$J104))</f>
        <v/>
      </c>
      <c r="I104" s="150" t="str">
        <f aca="false">IF(A104="","",I103+H104)</f>
        <v/>
      </c>
      <c r="J104" s="101" t="str">
        <f aca="false">IFERROR(MATCH(LIBRI_I_MADH!$B$4&amp;"|"&amp;ROWS($A$6:A104),LEDGER_ENGINE!$U$2:$U$546,0),"")</f>
        <v/>
      </c>
    </row>
    <row r="105" customFormat="false" ht="15" hidden="false" customHeight="true" outlineLevel="0" collapsed="false">
      <c r="A105" s="148" t="str">
        <f aca="false">IF($J105="","",INDEX(LEDGER_ENGINE!$B$2:$B$546,$J105))</f>
        <v/>
      </c>
      <c r="B105" s="149" t="str">
        <f aca="false">IF($J105="","",INDEX(LEDGER_ENGINE!$C$2:$C$546,$J105))</f>
        <v/>
      </c>
      <c r="C105" s="149" t="str">
        <f aca="false">IF($J105="","",INDEX(LEDGER_ENGINE!$D$2:$D$546,$J105))</f>
        <v/>
      </c>
      <c r="D105" s="149" t="str">
        <f aca="false">IF($J105="","",INDEX(LEDGER_ENGINE!$G$2:$G$546,$J105))</f>
        <v/>
      </c>
      <c r="E105" s="149" t="str">
        <f aca="false">IFERROR(IF($J105="","",INDEX(LEDGER_ENGINE!$H$2:$H$546,$J105)),"")</f>
        <v/>
      </c>
      <c r="F105" s="150" t="str">
        <f aca="false">IF($J105="","",INDEX(LEDGER_ENGINE!$I$2:$I$546,$J105))</f>
        <v/>
      </c>
      <c r="G105" s="150" t="str">
        <f aca="false">IF($J105="","",INDEX(LEDGER_ENGINE!$J$2:$J$546,$J105))</f>
        <v/>
      </c>
      <c r="H105" s="150" t="str">
        <f aca="false">IF($J105="","",INDEX(LEDGER_ENGINE!$L$2:$L$546,$J105))</f>
        <v/>
      </c>
      <c r="I105" s="150" t="str">
        <f aca="false">IF(A105="","",I104+H105)</f>
        <v/>
      </c>
      <c r="J105" s="101" t="str">
        <f aca="false">IFERROR(MATCH(LIBRI_I_MADH!$B$4&amp;"|"&amp;ROWS($A$6:A105),LEDGER_ENGINE!$U$2:$U$546,0),"")</f>
        <v/>
      </c>
    </row>
    <row r="106" customFormat="false" ht="15" hidden="false" customHeight="true" outlineLevel="0" collapsed="false">
      <c r="A106" s="148" t="str">
        <f aca="false">IF($J106="","",INDEX(LEDGER_ENGINE!$B$2:$B$546,$J106))</f>
        <v/>
      </c>
      <c r="B106" s="149" t="str">
        <f aca="false">IF($J106="","",INDEX(LEDGER_ENGINE!$C$2:$C$546,$J106))</f>
        <v/>
      </c>
      <c r="C106" s="149" t="str">
        <f aca="false">IF($J106="","",INDEX(LEDGER_ENGINE!$D$2:$D$546,$J106))</f>
        <v/>
      </c>
      <c r="D106" s="149" t="str">
        <f aca="false">IF($J106="","",INDEX(LEDGER_ENGINE!$G$2:$G$546,$J106))</f>
        <v/>
      </c>
      <c r="E106" s="149" t="str">
        <f aca="false">IFERROR(IF($J106="","",INDEX(LEDGER_ENGINE!$H$2:$H$546,$J106)),"")</f>
        <v/>
      </c>
      <c r="F106" s="150" t="str">
        <f aca="false">IF($J106="","",INDEX(LEDGER_ENGINE!$I$2:$I$546,$J106))</f>
        <v/>
      </c>
      <c r="G106" s="150" t="str">
        <f aca="false">IF($J106="","",INDEX(LEDGER_ENGINE!$J$2:$J$546,$J106))</f>
        <v/>
      </c>
      <c r="H106" s="150" t="str">
        <f aca="false">IF($J106="","",INDEX(LEDGER_ENGINE!$L$2:$L$546,$J106))</f>
        <v/>
      </c>
      <c r="I106" s="150" t="str">
        <f aca="false">IF(A106="","",I105+H106)</f>
        <v/>
      </c>
      <c r="J106" s="101" t="str">
        <f aca="false">IFERROR(MATCH(LIBRI_I_MADH!$B$4&amp;"|"&amp;ROWS($A$6:A106),LEDGER_ENGINE!$U$2:$U$546,0),"")</f>
        <v/>
      </c>
    </row>
    <row r="107" customFormat="false" ht="15" hidden="false" customHeight="true" outlineLevel="0" collapsed="false">
      <c r="A107" s="148" t="str">
        <f aca="false">IF($J107="","",INDEX(LEDGER_ENGINE!$B$2:$B$546,$J107))</f>
        <v/>
      </c>
      <c r="B107" s="149" t="str">
        <f aca="false">IF($J107="","",INDEX(LEDGER_ENGINE!$C$2:$C$546,$J107))</f>
        <v/>
      </c>
      <c r="C107" s="149" t="str">
        <f aca="false">IF($J107="","",INDEX(LEDGER_ENGINE!$D$2:$D$546,$J107))</f>
        <v/>
      </c>
      <c r="D107" s="149" t="str">
        <f aca="false">IF($J107="","",INDEX(LEDGER_ENGINE!$G$2:$G$546,$J107))</f>
        <v/>
      </c>
      <c r="E107" s="149" t="str">
        <f aca="false">IFERROR(IF($J107="","",INDEX(LEDGER_ENGINE!$H$2:$H$546,$J107)),"")</f>
        <v/>
      </c>
      <c r="F107" s="150" t="str">
        <f aca="false">IF($J107="","",INDEX(LEDGER_ENGINE!$I$2:$I$546,$J107))</f>
        <v/>
      </c>
      <c r="G107" s="150" t="str">
        <f aca="false">IF($J107="","",INDEX(LEDGER_ENGINE!$J$2:$J$546,$J107))</f>
        <v/>
      </c>
      <c r="H107" s="150" t="str">
        <f aca="false">IF($J107="","",INDEX(LEDGER_ENGINE!$L$2:$L$546,$J107))</f>
        <v/>
      </c>
      <c r="I107" s="150" t="str">
        <f aca="false">IF(A107="","",I106+H107)</f>
        <v/>
      </c>
      <c r="J107" s="101" t="str">
        <f aca="false">IFERROR(MATCH(LIBRI_I_MADH!$B$4&amp;"|"&amp;ROWS($A$6:A107),LEDGER_ENGINE!$U$2:$U$546,0),"")</f>
        <v/>
      </c>
    </row>
    <row r="108" customFormat="false" ht="15" hidden="false" customHeight="true" outlineLevel="0" collapsed="false">
      <c r="A108" s="148" t="str">
        <f aca="false">IF($J108="","",INDEX(LEDGER_ENGINE!$B$2:$B$546,$J108))</f>
        <v/>
      </c>
      <c r="B108" s="149" t="str">
        <f aca="false">IF($J108="","",INDEX(LEDGER_ENGINE!$C$2:$C$546,$J108))</f>
        <v/>
      </c>
      <c r="C108" s="149" t="str">
        <f aca="false">IF($J108="","",INDEX(LEDGER_ENGINE!$D$2:$D$546,$J108))</f>
        <v/>
      </c>
      <c r="D108" s="149" t="str">
        <f aca="false">IF($J108="","",INDEX(LEDGER_ENGINE!$G$2:$G$546,$J108))</f>
        <v/>
      </c>
      <c r="E108" s="149" t="str">
        <f aca="false">IFERROR(IF($J108="","",INDEX(LEDGER_ENGINE!$H$2:$H$546,$J108)),"")</f>
        <v/>
      </c>
      <c r="F108" s="150" t="str">
        <f aca="false">IF($J108="","",INDEX(LEDGER_ENGINE!$I$2:$I$546,$J108))</f>
        <v/>
      </c>
      <c r="G108" s="150" t="str">
        <f aca="false">IF($J108="","",INDEX(LEDGER_ENGINE!$J$2:$J$546,$J108))</f>
        <v/>
      </c>
      <c r="H108" s="150" t="str">
        <f aca="false">IF($J108="","",INDEX(LEDGER_ENGINE!$L$2:$L$546,$J108))</f>
        <v/>
      </c>
      <c r="I108" s="150" t="str">
        <f aca="false">IF(A108="","",I107+H108)</f>
        <v/>
      </c>
      <c r="J108" s="101" t="str">
        <f aca="false">IFERROR(MATCH(LIBRI_I_MADH!$B$4&amp;"|"&amp;ROWS($A$6:A108),LEDGER_ENGINE!$U$2:$U$546,0),"")</f>
        <v/>
      </c>
    </row>
    <row r="109" customFormat="false" ht="15" hidden="false" customHeight="true" outlineLevel="0" collapsed="false">
      <c r="A109" s="148" t="str">
        <f aca="false">IF($J109="","",INDEX(LEDGER_ENGINE!$B$2:$B$546,$J109))</f>
        <v/>
      </c>
      <c r="B109" s="149" t="str">
        <f aca="false">IF($J109="","",INDEX(LEDGER_ENGINE!$C$2:$C$546,$J109))</f>
        <v/>
      </c>
      <c r="C109" s="149" t="str">
        <f aca="false">IF($J109="","",INDEX(LEDGER_ENGINE!$D$2:$D$546,$J109))</f>
        <v/>
      </c>
      <c r="D109" s="149" t="str">
        <f aca="false">IF($J109="","",INDEX(LEDGER_ENGINE!$G$2:$G$546,$J109))</f>
        <v/>
      </c>
      <c r="E109" s="149" t="str">
        <f aca="false">IFERROR(IF($J109="","",INDEX(LEDGER_ENGINE!$H$2:$H$546,$J109)),"")</f>
        <v/>
      </c>
      <c r="F109" s="150" t="str">
        <f aca="false">IF($J109="","",INDEX(LEDGER_ENGINE!$I$2:$I$546,$J109))</f>
        <v/>
      </c>
      <c r="G109" s="150" t="str">
        <f aca="false">IF($J109="","",INDEX(LEDGER_ENGINE!$J$2:$J$546,$J109))</f>
        <v/>
      </c>
      <c r="H109" s="150" t="str">
        <f aca="false">IF($J109="","",INDEX(LEDGER_ENGINE!$L$2:$L$546,$J109))</f>
        <v/>
      </c>
      <c r="I109" s="150" t="str">
        <f aca="false">IF(A109="","",I108+H109)</f>
        <v/>
      </c>
      <c r="J109" s="101" t="str">
        <f aca="false">IFERROR(MATCH(LIBRI_I_MADH!$B$4&amp;"|"&amp;ROWS($A$6:A109),LEDGER_ENGINE!$U$2:$U$546,0),"")</f>
        <v/>
      </c>
    </row>
    <row r="110" customFormat="false" ht="15" hidden="false" customHeight="true" outlineLevel="0" collapsed="false">
      <c r="A110" s="148" t="str">
        <f aca="false">IF($J110="","",INDEX(LEDGER_ENGINE!$B$2:$B$546,$J110))</f>
        <v/>
      </c>
      <c r="B110" s="149" t="str">
        <f aca="false">IF($J110="","",INDEX(LEDGER_ENGINE!$C$2:$C$546,$J110))</f>
        <v/>
      </c>
      <c r="C110" s="149" t="str">
        <f aca="false">IF($J110="","",INDEX(LEDGER_ENGINE!$D$2:$D$546,$J110))</f>
        <v/>
      </c>
      <c r="D110" s="149" t="str">
        <f aca="false">IF($J110="","",INDEX(LEDGER_ENGINE!$G$2:$G$546,$J110))</f>
        <v/>
      </c>
      <c r="E110" s="149" t="str">
        <f aca="false">IFERROR(IF($J110="","",INDEX(LEDGER_ENGINE!$H$2:$H$546,$J110)),"")</f>
        <v/>
      </c>
      <c r="F110" s="150" t="str">
        <f aca="false">IF($J110="","",INDEX(LEDGER_ENGINE!$I$2:$I$546,$J110))</f>
        <v/>
      </c>
      <c r="G110" s="150" t="str">
        <f aca="false">IF($J110="","",INDEX(LEDGER_ENGINE!$J$2:$J$546,$J110))</f>
        <v/>
      </c>
      <c r="H110" s="150" t="str">
        <f aca="false">IF($J110="","",INDEX(LEDGER_ENGINE!$L$2:$L$546,$J110))</f>
        <v/>
      </c>
      <c r="I110" s="150" t="str">
        <f aca="false">IF(A110="","",I109+H110)</f>
        <v/>
      </c>
      <c r="J110" s="101" t="str">
        <f aca="false">IFERROR(MATCH(LIBRI_I_MADH!$B$4&amp;"|"&amp;ROWS($A$6:A110),LEDGER_ENGINE!$U$2:$U$546,0),"")</f>
        <v/>
      </c>
    </row>
    <row r="111" customFormat="false" ht="15" hidden="false" customHeight="true" outlineLevel="0" collapsed="false">
      <c r="A111" s="148" t="str">
        <f aca="false">IF($J111="","",INDEX(LEDGER_ENGINE!$B$2:$B$546,$J111))</f>
        <v/>
      </c>
      <c r="B111" s="149" t="str">
        <f aca="false">IF($J111="","",INDEX(LEDGER_ENGINE!$C$2:$C$546,$J111))</f>
        <v/>
      </c>
      <c r="C111" s="149" t="str">
        <f aca="false">IF($J111="","",INDEX(LEDGER_ENGINE!$D$2:$D$546,$J111))</f>
        <v/>
      </c>
      <c r="D111" s="149" t="str">
        <f aca="false">IF($J111="","",INDEX(LEDGER_ENGINE!$G$2:$G$546,$J111))</f>
        <v/>
      </c>
      <c r="E111" s="149" t="str">
        <f aca="false">IFERROR(IF($J111="","",INDEX(LEDGER_ENGINE!$H$2:$H$546,$J111)),"")</f>
        <v/>
      </c>
      <c r="F111" s="150" t="str">
        <f aca="false">IF($J111="","",INDEX(LEDGER_ENGINE!$I$2:$I$546,$J111))</f>
        <v/>
      </c>
      <c r="G111" s="150" t="str">
        <f aca="false">IF($J111="","",INDEX(LEDGER_ENGINE!$J$2:$J$546,$J111))</f>
        <v/>
      </c>
      <c r="H111" s="150" t="str">
        <f aca="false">IF($J111="","",INDEX(LEDGER_ENGINE!$L$2:$L$546,$J111))</f>
        <v/>
      </c>
      <c r="I111" s="150" t="str">
        <f aca="false">IF(A111="","",I110+H111)</f>
        <v/>
      </c>
      <c r="J111" s="101" t="str">
        <f aca="false">IFERROR(MATCH(LIBRI_I_MADH!$B$4&amp;"|"&amp;ROWS($A$6:A111),LEDGER_ENGINE!$U$2:$U$546,0),"")</f>
        <v/>
      </c>
    </row>
    <row r="112" customFormat="false" ht="15" hidden="false" customHeight="true" outlineLevel="0" collapsed="false">
      <c r="A112" s="148" t="str">
        <f aca="false">IF($J112="","",INDEX(LEDGER_ENGINE!$B$2:$B$546,$J112))</f>
        <v/>
      </c>
      <c r="B112" s="149" t="str">
        <f aca="false">IF($J112="","",INDEX(LEDGER_ENGINE!$C$2:$C$546,$J112))</f>
        <v/>
      </c>
      <c r="C112" s="149" t="str">
        <f aca="false">IF($J112="","",INDEX(LEDGER_ENGINE!$D$2:$D$546,$J112))</f>
        <v/>
      </c>
      <c r="D112" s="149" t="str">
        <f aca="false">IF($J112="","",INDEX(LEDGER_ENGINE!$G$2:$G$546,$J112))</f>
        <v/>
      </c>
      <c r="E112" s="149" t="str">
        <f aca="false">IFERROR(IF($J112="","",INDEX(LEDGER_ENGINE!$H$2:$H$546,$J112)),"")</f>
        <v/>
      </c>
      <c r="F112" s="150" t="str">
        <f aca="false">IF($J112="","",INDEX(LEDGER_ENGINE!$I$2:$I$546,$J112))</f>
        <v/>
      </c>
      <c r="G112" s="150" t="str">
        <f aca="false">IF($J112="","",INDEX(LEDGER_ENGINE!$J$2:$J$546,$J112))</f>
        <v/>
      </c>
      <c r="H112" s="150" t="str">
        <f aca="false">IF($J112="","",INDEX(LEDGER_ENGINE!$L$2:$L$546,$J112))</f>
        <v/>
      </c>
      <c r="I112" s="150" t="str">
        <f aca="false">IF(A112="","",I111+H112)</f>
        <v/>
      </c>
      <c r="J112" s="101" t="str">
        <f aca="false">IFERROR(MATCH(LIBRI_I_MADH!$B$4&amp;"|"&amp;ROWS($A$6:A112),LEDGER_ENGINE!$U$2:$U$546,0),"")</f>
        <v/>
      </c>
    </row>
    <row r="113" customFormat="false" ht="15" hidden="false" customHeight="true" outlineLevel="0" collapsed="false">
      <c r="A113" s="148" t="str">
        <f aca="false">IF($J113="","",INDEX(LEDGER_ENGINE!$B$2:$B$546,$J113))</f>
        <v/>
      </c>
      <c r="B113" s="149" t="str">
        <f aca="false">IF($J113="","",INDEX(LEDGER_ENGINE!$C$2:$C$546,$J113))</f>
        <v/>
      </c>
      <c r="C113" s="149" t="str">
        <f aca="false">IF($J113="","",INDEX(LEDGER_ENGINE!$D$2:$D$546,$J113))</f>
        <v/>
      </c>
      <c r="D113" s="149" t="str">
        <f aca="false">IF($J113="","",INDEX(LEDGER_ENGINE!$G$2:$G$546,$J113))</f>
        <v/>
      </c>
      <c r="E113" s="149" t="str">
        <f aca="false">IFERROR(IF($J113="","",INDEX(LEDGER_ENGINE!$H$2:$H$546,$J113)),"")</f>
        <v/>
      </c>
      <c r="F113" s="150" t="str">
        <f aca="false">IF($J113="","",INDEX(LEDGER_ENGINE!$I$2:$I$546,$J113))</f>
        <v/>
      </c>
      <c r="G113" s="150" t="str">
        <f aca="false">IF($J113="","",INDEX(LEDGER_ENGINE!$J$2:$J$546,$J113))</f>
        <v/>
      </c>
      <c r="H113" s="150" t="str">
        <f aca="false">IF($J113="","",INDEX(LEDGER_ENGINE!$L$2:$L$546,$J113))</f>
        <v/>
      </c>
      <c r="I113" s="150" t="str">
        <f aca="false">IF(A113="","",I112+H113)</f>
        <v/>
      </c>
      <c r="J113" s="101" t="str">
        <f aca="false">IFERROR(MATCH(LIBRI_I_MADH!$B$4&amp;"|"&amp;ROWS($A$6:A113),LEDGER_ENGINE!$U$2:$U$546,0),"")</f>
        <v/>
      </c>
    </row>
    <row r="114" customFormat="false" ht="15" hidden="false" customHeight="true" outlineLevel="0" collapsed="false">
      <c r="A114" s="148" t="str">
        <f aca="false">IF($J114="","",INDEX(LEDGER_ENGINE!$B$2:$B$546,$J114))</f>
        <v/>
      </c>
      <c r="B114" s="149" t="str">
        <f aca="false">IF($J114="","",INDEX(LEDGER_ENGINE!$C$2:$C$546,$J114))</f>
        <v/>
      </c>
      <c r="C114" s="149" t="str">
        <f aca="false">IF($J114="","",INDEX(LEDGER_ENGINE!$D$2:$D$546,$J114))</f>
        <v/>
      </c>
      <c r="D114" s="149" t="str">
        <f aca="false">IF($J114="","",INDEX(LEDGER_ENGINE!$G$2:$G$546,$J114))</f>
        <v/>
      </c>
      <c r="E114" s="149" t="str">
        <f aca="false">IFERROR(IF($J114="","",INDEX(LEDGER_ENGINE!$H$2:$H$546,$J114)),"")</f>
        <v/>
      </c>
      <c r="F114" s="150" t="str">
        <f aca="false">IF($J114="","",INDEX(LEDGER_ENGINE!$I$2:$I$546,$J114))</f>
        <v/>
      </c>
      <c r="G114" s="150" t="str">
        <f aca="false">IF($J114="","",INDEX(LEDGER_ENGINE!$J$2:$J$546,$J114))</f>
        <v/>
      </c>
      <c r="H114" s="150" t="str">
        <f aca="false">IF($J114="","",INDEX(LEDGER_ENGINE!$L$2:$L$546,$J114))</f>
        <v/>
      </c>
      <c r="I114" s="150" t="str">
        <f aca="false">IF(A114="","",I113+H114)</f>
        <v/>
      </c>
      <c r="J114" s="101" t="str">
        <f aca="false">IFERROR(MATCH(LIBRI_I_MADH!$B$4&amp;"|"&amp;ROWS($A$6:A114),LEDGER_ENGINE!$U$2:$U$546,0),"")</f>
        <v/>
      </c>
    </row>
    <row r="115" customFormat="false" ht="15" hidden="false" customHeight="true" outlineLevel="0" collapsed="false">
      <c r="A115" s="148" t="str">
        <f aca="false">IF($J115="","",INDEX(LEDGER_ENGINE!$B$2:$B$546,$J115))</f>
        <v/>
      </c>
      <c r="B115" s="149" t="str">
        <f aca="false">IF($J115="","",INDEX(LEDGER_ENGINE!$C$2:$C$546,$J115))</f>
        <v/>
      </c>
      <c r="C115" s="149" t="str">
        <f aca="false">IF($J115="","",INDEX(LEDGER_ENGINE!$D$2:$D$546,$J115))</f>
        <v/>
      </c>
      <c r="D115" s="149" t="str">
        <f aca="false">IF($J115="","",INDEX(LEDGER_ENGINE!$G$2:$G$546,$J115))</f>
        <v/>
      </c>
      <c r="E115" s="149" t="str">
        <f aca="false">IFERROR(IF($J115="","",INDEX(LEDGER_ENGINE!$H$2:$H$546,$J115)),"")</f>
        <v/>
      </c>
      <c r="F115" s="150" t="str">
        <f aca="false">IF($J115="","",INDEX(LEDGER_ENGINE!$I$2:$I$546,$J115))</f>
        <v/>
      </c>
      <c r="G115" s="150" t="str">
        <f aca="false">IF($J115="","",INDEX(LEDGER_ENGINE!$J$2:$J$546,$J115))</f>
        <v/>
      </c>
      <c r="H115" s="150" t="str">
        <f aca="false">IF($J115="","",INDEX(LEDGER_ENGINE!$L$2:$L$546,$J115))</f>
        <v/>
      </c>
      <c r="I115" s="150" t="str">
        <f aca="false">IF(A115="","",I114+H115)</f>
        <v/>
      </c>
      <c r="J115" s="101" t="str">
        <f aca="false">IFERROR(MATCH(LIBRI_I_MADH!$B$4&amp;"|"&amp;ROWS($A$6:A115),LEDGER_ENGINE!$U$2:$U$546,0),"")</f>
        <v/>
      </c>
    </row>
    <row r="116" customFormat="false" ht="15" hidden="false" customHeight="true" outlineLevel="0" collapsed="false">
      <c r="A116" s="148" t="str">
        <f aca="false">IF($J116="","",INDEX(LEDGER_ENGINE!$B$2:$B$546,$J116))</f>
        <v/>
      </c>
      <c r="B116" s="149" t="str">
        <f aca="false">IF($J116="","",INDEX(LEDGER_ENGINE!$C$2:$C$546,$J116))</f>
        <v/>
      </c>
      <c r="C116" s="149" t="str">
        <f aca="false">IF($J116="","",INDEX(LEDGER_ENGINE!$D$2:$D$546,$J116))</f>
        <v/>
      </c>
      <c r="D116" s="149" t="str">
        <f aca="false">IF($J116="","",INDEX(LEDGER_ENGINE!$G$2:$G$546,$J116))</f>
        <v/>
      </c>
      <c r="E116" s="149" t="str">
        <f aca="false">IFERROR(IF($J116="","",INDEX(LEDGER_ENGINE!$H$2:$H$546,$J116)),"")</f>
        <v/>
      </c>
      <c r="F116" s="150" t="str">
        <f aca="false">IF($J116="","",INDEX(LEDGER_ENGINE!$I$2:$I$546,$J116))</f>
        <v/>
      </c>
      <c r="G116" s="150" t="str">
        <f aca="false">IF($J116="","",INDEX(LEDGER_ENGINE!$J$2:$J$546,$J116))</f>
        <v/>
      </c>
      <c r="H116" s="150" t="str">
        <f aca="false">IF($J116="","",INDEX(LEDGER_ENGINE!$L$2:$L$546,$J116))</f>
        <v/>
      </c>
      <c r="I116" s="150" t="str">
        <f aca="false">IF(A116="","",I115+H116)</f>
        <v/>
      </c>
      <c r="J116" s="101" t="str">
        <f aca="false">IFERROR(MATCH(LIBRI_I_MADH!$B$4&amp;"|"&amp;ROWS($A$6:A116),LEDGER_ENGINE!$U$2:$U$546,0),"")</f>
        <v/>
      </c>
    </row>
    <row r="117" customFormat="false" ht="15" hidden="false" customHeight="true" outlineLevel="0" collapsed="false">
      <c r="A117" s="148" t="str">
        <f aca="false">IF($J117="","",INDEX(LEDGER_ENGINE!$B$2:$B$546,$J117))</f>
        <v/>
      </c>
      <c r="B117" s="149" t="str">
        <f aca="false">IF($J117="","",INDEX(LEDGER_ENGINE!$C$2:$C$546,$J117))</f>
        <v/>
      </c>
      <c r="C117" s="149" t="str">
        <f aca="false">IF($J117="","",INDEX(LEDGER_ENGINE!$D$2:$D$546,$J117))</f>
        <v/>
      </c>
      <c r="D117" s="149" t="str">
        <f aca="false">IF($J117="","",INDEX(LEDGER_ENGINE!$G$2:$G$546,$J117))</f>
        <v/>
      </c>
      <c r="E117" s="149" t="str">
        <f aca="false">IFERROR(IF($J117="","",INDEX(LEDGER_ENGINE!$H$2:$H$546,$J117)),"")</f>
        <v/>
      </c>
      <c r="F117" s="150" t="str">
        <f aca="false">IF($J117="","",INDEX(LEDGER_ENGINE!$I$2:$I$546,$J117))</f>
        <v/>
      </c>
      <c r="G117" s="150" t="str">
        <f aca="false">IF($J117="","",INDEX(LEDGER_ENGINE!$J$2:$J$546,$J117))</f>
        <v/>
      </c>
      <c r="H117" s="150" t="str">
        <f aca="false">IF($J117="","",INDEX(LEDGER_ENGINE!$L$2:$L$546,$J117))</f>
        <v/>
      </c>
      <c r="I117" s="150" t="str">
        <f aca="false">IF(A117="","",I116+H117)</f>
        <v/>
      </c>
      <c r="J117" s="101" t="str">
        <f aca="false">IFERROR(MATCH(LIBRI_I_MADH!$B$4&amp;"|"&amp;ROWS($A$6:A117),LEDGER_ENGINE!$U$2:$U$546,0),"")</f>
        <v/>
      </c>
    </row>
    <row r="118" customFormat="false" ht="15" hidden="false" customHeight="true" outlineLevel="0" collapsed="false">
      <c r="A118" s="148" t="str">
        <f aca="false">IF($J118="","",INDEX(LEDGER_ENGINE!$B$2:$B$546,$J118))</f>
        <v/>
      </c>
      <c r="B118" s="149" t="str">
        <f aca="false">IF($J118="","",INDEX(LEDGER_ENGINE!$C$2:$C$546,$J118))</f>
        <v/>
      </c>
      <c r="C118" s="149" t="str">
        <f aca="false">IF($J118="","",INDEX(LEDGER_ENGINE!$D$2:$D$546,$J118))</f>
        <v/>
      </c>
      <c r="D118" s="149" t="str">
        <f aca="false">IF($J118="","",INDEX(LEDGER_ENGINE!$G$2:$G$546,$J118))</f>
        <v/>
      </c>
      <c r="E118" s="149" t="str">
        <f aca="false">IFERROR(IF($J118="","",INDEX(LEDGER_ENGINE!$H$2:$H$546,$J118)),"")</f>
        <v/>
      </c>
      <c r="F118" s="150" t="str">
        <f aca="false">IF($J118="","",INDEX(LEDGER_ENGINE!$I$2:$I$546,$J118))</f>
        <v/>
      </c>
      <c r="G118" s="150" t="str">
        <f aca="false">IF($J118="","",INDEX(LEDGER_ENGINE!$J$2:$J$546,$J118))</f>
        <v/>
      </c>
      <c r="H118" s="150" t="str">
        <f aca="false">IF($J118="","",INDEX(LEDGER_ENGINE!$L$2:$L$546,$J118))</f>
        <v/>
      </c>
      <c r="I118" s="150" t="str">
        <f aca="false">IF(A118="","",I117+H118)</f>
        <v/>
      </c>
      <c r="J118" s="101" t="str">
        <f aca="false">IFERROR(MATCH(LIBRI_I_MADH!$B$4&amp;"|"&amp;ROWS($A$6:A118),LEDGER_ENGINE!$U$2:$U$546,0),"")</f>
        <v/>
      </c>
    </row>
    <row r="119" customFormat="false" ht="15" hidden="false" customHeight="true" outlineLevel="0" collapsed="false">
      <c r="A119" s="148" t="str">
        <f aca="false">IF($J119="","",INDEX(LEDGER_ENGINE!$B$2:$B$546,$J119))</f>
        <v/>
      </c>
      <c r="B119" s="149" t="str">
        <f aca="false">IF($J119="","",INDEX(LEDGER_ENGINE!$C$2:$C$546,$J119))</f>
        <v/>
      </c>
      <c r="C119" s="149" t="str">
        <f aca="false">IF($J119="","",INDEX(LEDGER_ENGINE!$D$2:$D$546,$J119))</f>
        <v/>
      </c>
      <c r="D119" s="149" t="str">
        <f aca="false">IF($J119="","",INDEX(LEDGER_ENGINE!$G$2:$G$546,$J119))</f>
        <v/>
      </c>
      <c r="E119" s="149" t="str">
        <f aca="false">IFERROR(IF($J119="","",INDEX(LEDGER_ENGINE!$H$2:$H$546,$J119)),"")</f>
        <v/>
      </c>
      <c r="F119" s="150" t="str">
        <f aca="false">IF($J119="","",INDEX(LEDGER_ENGINE!$I$2:$I$546,$J119))</f>
        <v/>
      </c>
      <c r="G119" s="150" t="str">
        <f aca="false">IF($J119="","",INDEX(LEDGER_ENGINE!$J$2:$J$546,$J119))</f>
        <v/>
      </c>
      <c r="H119" s="150" t="str">
        <f aca="false">IF($J119="","",INDEX(LEDGER_ENGINE!$L$2:$L$546,$J119))</f>
        <v/>
      </c>
      <c r="I119" s="150" t="str">
        <f aca="false">IF(A119="","",I118+H119)</f>
        <v/>
      </c>
      <c r="J119" s="101" t="str">
        <f aca="false">IFERROR(MATCH(LIBRI_I_MADH!$B$4&amp;"|"&amp;ROWS($A$6:A119),LEDGER_ENGINE!$U$2:$U$546,0),"")</f>
        <v/>
      </c>
    </row>
    <row r="120" customFormat="false" ht="15" hidden="false" customHeight="true" outlineLevel="0" collapsed="false">
      <c r="A120" s="148" t="str">
        <f aca="false">IF($J120="","",INDEX(LEDGER_ENGINE!$B$2:$B$546,$J120))</f>
        <v/>
      </c>
      <c r="B120" s="149" t="str">
        <f aca="false">IF($J120="","",INDEX(LEDGER_ENGINE!$C$2:$C$546,$J120))</f>
        <v/>
      </c>
      <c r="C120" s="149" t="str">
        <f aca="false">IF($J120="","",INDEX(LEDGER_ENGINE!$D$2:$D$546,$J120))</f>
        <v/>
      </c>
      <c r="D120" s="149" t="str">
        <f aca="false">IF($J120="","",INDEX(LEDGER_ENGINE!$G$2:$G$546,$J120))</f>
        <v/>
      </c>
      <c r="E120" s="149" t="str">
        <f aca="false">IFERROR(IF($J120="","",INDEX(LEDGER_ENGINE!$H$2:$H$546,$J120)),"")</f>
        <v/>
      </c>
      <c r="F120" s="150" t="str">
        <f aca="false">IF($J120="","",INDEX(LEDGER_ENGINE!$I$2:$I$546,$J120))</f>
        <v/>
      </c>
      <c r="G120" s="150" t="str">
        <f aca="false">IF($J120="","",INDEX(LEDGER_ENGINE!$J$2:$J$546,$J120))</f>
        <v/>
      </c>
      <c r="H120" s="150" t="str">
        <f aca="false">IF($J120="","",INDEX(LEDGER_ENGINE!$L$2:$L$546,$J120))</f>
        <v/>
      </c>
      <c r="I120" s="150" t="str">
        <f aca="false">IF(A120="","",I119+H120)</f>
        <v/>
      </c>
      <c r="J120" s="101" t="str">
        <f aca="false">IFERROR(MATCH(LIBRI_I_MADH!$B$4&amp;"|"&amp;ROWS($A$6:A120),LEDGER_ENGINE!$U$2:$U$546,0),"")</f>
        <v/>
      </c>
    </row>
    <row r="121" customFormat="false" ht="15" hidden="false" customHeight="true" outlineLevel="0" collapsed="false">
      <c r="A121" s="148" t="str">
        <f aca="false">IF($J121="","",INDEX(LEDGER_ENGINE!$B$2:$B$546,$J121))</f>
        <v/>
      </c>
      <c r="B121" s="149" t="str">
        <f aca="false">IF($J121="","",INDEX(LEDGER_ENGINE!$C$2:$C$546,$J121))</f>
        <v/>
      </c>
      <c r="C121" s="149" t="str">
        <f aca="false">IF($J121="","",INDEX(LEDGER_ENGINE!$D$2:$D$546,$J121))</f>
        <v/>
      </c>
      <c r="D121" s="149" t="str">
        <f aca="false">IF($J121="","",INDEX(LEDGER_ENGINE!$G$2:$G$546,$J121))</f>
        <v/>
      </c>
      <c r="E121" s="149" t="str">
        <f aca="false">IFERROR(IF($J121="","",INDEX(LEDGER_ENGINE!$H$2:$H$546,$J121)),"")</f>
        <v/>
      </c>
      <c r="F121" s="150" t="str">
        <f aca="false">IF($J121="","",INDEX(LEDGER_ENGINE!$I$2:$I$546,$J121))</f>
        <v/>
      </c>
      <c r="G121" s="150" t="str">
        <f aca="false">IF($J121="","",INDEX(LEDGER_ENGINE!$J$2:$J$546,$J121))</f>
        <v/>
      </c>
      <c r="H121" s="150" t="str">
        <f aca="false">IF($J121="","",INDEX(LEDGER_ENGINE!$L$2:$L$546,$J121))</f>
        <v/>
      </c>
      <c r="I121" s="150" t="str">
        <f aca="false">IF(A121="","",I120+H121)</f>
        <v/>
      </c>
      <c r="J121" s="101" t="str">
        <f aca="false">IFERROR(MATCH(LIBRI_I_MADH!$B$4&amp;"|"&amp;ROWS($A$6:A121),LEDGER_ENGINE!$U$2:$U$546,0),"")</f>
        <v/>
      </c>
    </row>
    <row r="122" customFormat="false" ht="15" hidden="false" customHeight="true" outlineLevel="0" collapsed="false">
      <c r="A122" s="148" t="str">
        <f aca="false">IF($J122="","",INDEX(LEDGER_ENGINE!$B$2:$B$546,$J122))</f>
        <v/>
      </c>
      <c r="B122" s="149" t="str">
        <f aca="false">IF($J122="","",INDEX(LEDGER_ENGINE!$C$2:$C$546,$J122))</f>
        <v/>
      </c>
      <c r="C122" s="149" t="str">
        <f aca="false">IF($J122="","",INDEX(LEDGER_ENGINE!$D$2:$D$546,$J122))</f>
        <v/>
      </c>
      <c r="D122" s="149" t="str">
        <f aca="false">IF($J122="","",INDEX(LEDGER_ENGINE!$G$2:$G$546,$J122))</f>
        <v/>
      </c>
      <c r="E122" s="149" t="str">
        <f aca="false">IFERROR(IF($J122="","",INDEX(LEDGER_ENGINE!$H$2:$H$546,$J122)),"")</f>
        <v/>
      </c>
      <c r="F122" s="150" t="str">
        <f aca="false">IF($J122="","",INDEX(LEDGER_ENGINE!$I$2:$I$546,$J122))</f>
        <v/>
      </c>
      <c r="G122" s="150" t="str">
        <f aca="false">IF($J122="","",INDEX(LEDGER_ENGINE!$J$2:$J$546,$J122))</f>
        <v/>
      </c>
      <c r="H122" s="150" t="str">
        <f aca="false">IF($J122="","",INDEX(LEDGER_ENGINE!$L$2:$L$546,$J122))</f>
        <v/>
      </c>
      <c r="I122" s="150" t="str">
        <f aca="false">IF(A122="","",I121+H122)</f>
        <v/>
      </c>
      <c r="J122" s="101" t="str">
        <f aca="false">IFERROR(MATCH(LIBRI_I_MADH!$B$4&amp;"|"&amp;ROWS($A$6:A122),LEDGER_ENGINE!$U$2:$U$546,0),"")</f>
        <v/>
      </c>
    </row>
    <row r="123" customFormat="false" ht="15" hidden="false" customHeight="true" outlineLevel="0" collapsed="false">
      <c r="A123" s="148" t="str">
        <f aca="false">IF($J123="","",INDEX(LEDGER_ENGINE!$B$2:$B$546,$J123))</f>
        <v/>
      </c>
      <c r="B123" s="149" t="str">
        <f aca="false">IF($J123="","",INDEX(LEDGER_ENGINE!$C$2:$C$546,$J123))</f>
        <v/>
      </c>
      <c r="C123" s="149" t="str">
        <f aca="false">IF($J123="","",INDEX(LEDGER_ENGINE!$D$2:$D$546,$J123))</f>
        <v/>
      </c>
      <c r="D123" s="149" t="str">
        <f aca="false">IF($J123="","",INDEX(LEDGER_ENGINE!$G$2:$G$546,$J123))</f>
        <v/>
      </c>
      <c r="E123" s="149" t="str">
        <f aca="false">IFERROR(IF($J123="","",INDEX(LEDGER_ENGINE!$H$2:$H$546,$J123)),"")</f>
        <v/>
      </c>
      <c r="F123" s="150" t="str">
        <f aca="false">IF($J123="","",INDEX(LEDGER_ENGINE!$I$2:$I$546,$J123))</f>
        <v/>
      </c>
      <c r="G123" s="150" t="str">
        <f aca="false">IF($J123="","",INDEX(LEDGER_ENGINE!$J$2:$J$546,$J123))</f>
        <v/>
      </c>
      <c r="H123" s="150" t="str">
        <f aca="false">IF($J123="","",INDEX(LEDGER_ENGINE!$L$2:$L$546,$J123))</f>
        <v/>
      </c>
      <c r="I123" s="150" t="str">
        <f aca="false">IF(A123="","",I122+H123)</f>
        <v/>
      </c>
      <c r="J123" s="101" t="str">
        <f aca="false">IFERROR(MATCH(LIBRI_I_MADH!$B$4&amp;"|"&amp;ROWS($A$6:A123),LEDGER_ENGINE!$U$2:$U$546,0),"")</f>
        <v/>
      </c>
    </row>
    <row r="124" customFormat="false" ht="15" hidden="false" customHeight="true" outlineLevel="0" collapsed="false">
      <c r="A124" s="148" t="str">
        <f aca="false">IF($J124="","",INDEX(LEDGER_ENGINE!$B$2:$B$546,$J124))</f>
        <v/>
      </c>
      <c r="B124" s="149" t="str">
        <f aca="false">IF($J124="","",INDEX(LEDGER_ENGINE!$C$2:$C$546,$J124))</f>
        <v/>
      </c>
      <c r="C124" s="149" t="str">
        <f aca="false">IF($J124="","",INDEX(LEDGER_ENGINE!$D$2:$D$546,$J124))</f>
        <v/>
      </c>
      <c r="D124" s="149" t="str">
        <f aca="false">IF($J124="","",INDEX(LEDGER_ENGINE!$G$2:$G$546,$J124))</f>
        <v/>
      </c>
      <c r="E124" s="149" t="str">
        <f aca="false">IFERROR(IF($J124="","",INDEX(LEDGER_ENGINE!$H$2:$H$546,$J124)),"")</f>
        <v/>
      </c>
      <c r="F124" s="150" t="str">
        <f aca="false">IF($J124="","",INDEX(LEDGER_ENGINE!$I$2:$I$546,$J124))</f>
        <v/>
      </c>
      <c r="G124" s="150" t="str">
        <f aca="false">IF($J124="","",INDEX(LEDGER_ENGINE!$J$2:$J$546,$J124))</f>
        <v/>
      </c>
      <c r="H124" s="150" t="str">
        <f aca="false">IF($J124="","",INDEX(LEDGER_ENGINE!$L$2:$L$546,$J124))</f>
        <v/>
      </c>
      <c r="I124" s="150" t="str">
        <f aca="false">IF(A124="","",I123+H124)</f>
        <v/>
      </c>
      <c r="J124" s="101" t="str">
        <f aca="false">IFERROR(MATCH(LIBRI_I_MADH!$B$4&amp;"|"&amp;ROWS($A$6:A124),LEDGER_ENGINE!$U$2:$U$546,0),"")</f>
        <v/>
      </c>
    </row>
    <row r="125" customFormat="false" ht="15" hidden="false" customHeight="true" outlineLevel="0" collapsed="false">
      <c r="A125" s="148" t="str">
        <f aca="false">IF($J125="","",INDEX(LEDGER_ENGINE!$B$2:$B$546,$J125))</f>
        <v/>
      </c>
      <c r="B125" s="149" t="str">
        <f aca="false">IF($J125="","",INDEX(LEDGER_ENGINE!$C$2:$C$546,$J125))</f>
        <v/>
      </c>
      <c r="C125" s="149" t="str">
        <f aca="false">IF($J125="","",INDEX(LEDGER_ENGINE!$D$2:$D$546,$J125))</f>
        <v/>
      </c>
      <c r="D125" s="149" t="str">
        <f aca="false">IF($J125="","",INDEX(LEDGER_ENGINE!$G$2:$G$546,$J125))</f>
        <v/>
      </c>
      <c r="E125" s="149" t="str">
        <f aca="false">IFERROR(IF($J125="","",INDEX(LEDGER_ENGINE!$H$2:$H$546,$J125)),"")</f>
        <v/>
      </c>
      <c r="F125" s="150" t="str">
        <f aca="false">IF($J125="","",INDEX(LEDGER_ENGINE!$I$2:$I$546,$J125))</f>
        <v/>
      </c>
      <c r="G125" s="150" t="str">
        <f aca="false">IF($J125="","",INDEX(LEDGER_ENGINE!$J$2:$J$546,$J125))</f>
        <v/>
      </c>
      <c r="H125" s="150" t="str">
        <f aca="false">IF($J125="","",INDEX(LEDGER_ENGINE!$L$2:$L$546,$J125))</f>
        <v/>
      </c>
      <c r="I125" s="150" t="str">
        <f aca="false">IF(A125="","",I124+H125)</f>
        <v/>
      </c>
      <c r="J125" s="101" t="str">
        <f aca="false">IFERROR(MATCH(LIBRI_I_MADH!$B$4&amp;"|"&amp;ROWS($A$6:A125),LEDGER_ENGINE!$U$2:$U$546,0),"")</f>
        <v/>
      </c>
    </row>
    <row r="126" customFormat="false" ht="15" hidden="false" customHeight="true" outlineLevel="0" collapsed="false">
      <c r="A126" s="148" t="str">
        <f aca="false">IF($J126="","",INDEX(LEDGER_ENGINE!$B$2:$B$546,$J126))</f>
        <v/>
      </c>
      <c r="B126" s="149" t="str">
        <f aca="false">IF($J126="","",INDEX(LEDGER_ENGINE!$C$2:$C$546,$J126))</f>
        <v/>
      </c>
      <c r="C126" s="149" t="str">
        <f aca="false">IF($J126="","",INDEX(LEDGER_ENGINE!$D$2:$D$546,$J126))</f>
        <v/>
      </c>
      <c r="D126" s="149" t="str">
        <f aca="false">IF($J126="","",INDEX(LEDGER_ENGINE!$G$2:$G$546,$J126))</f>
        <v/>
      </c>
      <c r="E126" s="149" t="str">
        <f aca="false">IFERROR(IF($J126="","",INDEX(LEDGER_ENGINE!$H$2:$H$546,$J126)),"")</f>
        <v/>
      </c>
      <c r="F126" s="150" t="str">
        <f aca="false">IF($J126="","",INDEX(LEDGER_ENGINE!$I$2:$I$546,$J126))</f>
        <v/>
      </c>
      <c r="G126" s="150" t="str">
        <f aca="false">IF($J126="","",INDEX(LEDGER_ENGINE!$J$2:$J$546,$J126))</f>
        <v/>
      </c>
      <c r="H126" s="150" t="str">
        <f aca="false">IF($J126="","",INDEX(LEDGER_ENGINE!$L$2:$L$546,$J126))</f>
        <v/>
      </c>
      <c r="I126" s="150" t="str">
        <f aca="false">IF(A126="","",I125+H126)</f>
        <v/>
      </c>
      <c r="J126" s="101" t="str">
        <f aca="false">IFERROR(MATCH(LIBRI_I_MADH!$B$4&amp;"|"&amp;ROWS($A$6:A126),LEDGER_ENGINE!$U$2:$U$546,0),"")</f>
        <v/>
      </c>
    </row>
    <row r="127" customFormat="false" ht="15" hidden="false" customHeight="true" outlineLevel="0" collapsed="false">
      <c r="A127" s="148" t="str">
        <f aca="false">IF($J127="","",INDEX(LEDGER_ENGINE!$B$2:$B$546,$J127))</f>
        <v/>
      </c>
      <c r="B127" s="149" t="str">
        <f aca="false">IF($J127="","",INDEX(LEDGER_ENGINE!$C$2:$C$546,$J127))</f>
        <v/>
      </c>
      <c r="C127" s="149" t="str">
        <f aca="false">IF($J127="","",INDEX(LEDGER_ENGINE!$D$2:$D$546,$J127))</f>
        <v/>
      </c>
      <c r="D127" s="149" t="str">
        <f aca="false">IF($J127="","",INDEX(LEDGER_ENGINE!$G$2:$G$546,$J127))</f>
        <v/>
      </c>
      <c r="E127" s="149" t="str">
        <f aca="false">IFERROR(IF($J127="","",INDEX(LEDGER_ENGINE!$H$2:$H$546,$J127)),"")</f>
        <v/>
      </c>
      <c r="F127" s="150" t="str">
        <f aca="false">IF($J127="","",INDEX(LEDGER_ENGINE!$I$2:$I$546,$J127))</f>
        <v/>
      </c>
      <c r="G127" s="150" t="str">
        <f aca="false">IF($J127="","",INDEX(LEDGER_ENGINE!$J$2:$J$546,$J127))</f>
        <v/>
      </c>
      <c r="H127" s="150" t="str">
        <f aca="false">IF($J127="","",INDEX(LEDGER_ENGINE!$L$2:$L$546,$J127))</f>
        <v/>
      </c>
      <c r="I127" s="150" t="str">
        <f aca="false">IF(A127="","",I126+H127)</f>
        <v/>
      </c>
      <c r="J127" s="101" t="str">
        <f aca="false">IFERROR(MATCH(LIBRI_I_MADH!$B$4&amp;"|"&amp;ROWS($A$6:A127),LEDGER_ENGINE!$U$2:$U$546,0),"")</f>
        <v/>
      </c>
    </row>
    <row r="128" customFormat="false" ht="15" hidden="false" customHeight="true" outlineLevel="0" collapsed="false">
      <c r="A128" s="148" t="str">
        <f aca="false">IF($J128="","",INDEX(LEDGER_ENGINE!$B$2:$B$546,$J128))</f>
        <v/>
      </c>
      <c r="B128" s="149" t="str">
        <f aca="false">IF($J128="","",INDEX(LEDGER_ENGINE!$C$2:$C$546,$J128))</f>
        <v/>
      </c>
      <c r="C128" s="149" t="str">
        <f aca="false">IF($J128="","",INDEX(LEDGER_ENGINE!$D$2:$D$546,$J128))</f>
        <v/>
      </c>
      <c r="D128" s="149" t="str">
        <f aca="false">IF($J128="","",INDEX(LEDGER_ENGINE!$G$2:$G$546,$J128))</f>
        <v/>
      </c>
      <c r="E128" s="149" t="str">
        <f aca="false">IFERROR(IF($J128="","",INDEX(LEDGER_ENGINE!$H$2:$H$546,$J128)),"")</f>
        <v/>
      </c>
      <c r="F128" s="150" t="str">
        <f aca="false">IF($J128="","",INDEX(LEDGER_ENGINE!$I$2:$I$546,$J128))</f>
        <v/>
      </c>
      <c r="G128" s="150" t="str">
        <f aca="false">IF($J128="","",INDEX(LEDGER_ENGINE!$J$2:$J$546,$J128))</f>
        <v/>
      </c>
      <c r="H128" s="150" t="str">
        <f aca="false">IF($J128="","",INDEX(LEDGER_ENGINE!$L$2:$L$546,$J128))</f>
        <v/>
      </c>
      <c r="I128" s="150" t="str">
        <f aca="false">IF(A128="","",I127+H128)</f>
        <v/>
      </c>
      <c r="J128" s="101" t="str">
        <f aca="false">IFERROR(MATCH(LIBRI_I_MADH!$B$4&amp;"|"&amp;ROWS($A$6:A128),LEDGER_ENGINE!$U$2:$U$546,0),"")</f>
        <v/>
      </c>
    </row>
    <row r="129" customFormat="false" ht="15" hidden="false" customHeight="true" outlineLevel="0" collapsed="false">
      <c r="A129" s="148" t="str">
        <f aca="false">IF($J129="","",INDEX(LEDGER_ENGINE!$B$2:$B$546,$J129))</f>
        <v/>
      </c>
      <c r="B129" s="149" t="str">
        <f aca="false">IF($J129="","",INDEX(LEDGER_ENGINE!$C$2:$C$546,$J129))</f>
        <v/>
      </c>
      <c r="C129" s="149" t="str">
        <f aca="false">IF($J129="","",INDEX(LEDGER_ENGINE!$D$2:$D$546,$J129))</f>
        <v/>
      </c>
      <c r="D129" s="149" t="str">
        <f aca="false">IF($J129="","",INDEX(LEDGER_ENGINE!$G$2:$G$546,$J129))</f>
        <v/>
      </c>
      <c r="E129" s="149" t="str">
        <f aca="false">IFERROR(IF($J129="","",INDEX(LEDGER_ENGINE!$H$2:$H$546,$J129)),"")</f>
        <v/>
      </c>
      <c r="F129" s="150" t="str">
        <f aca="false">IF($J129="","",INDEX(LEDGER_ENGINE!$I$2:$I$546,$J129))</f>
        <v/>
      </c>
      <c r="G129" s="150" t="str">
        <f aca="false">IF($J129="","",INDEX(LEDGER_ENGINE!$J$2:$J$546,$J129))</f>
        <v/>
      </c>
      <c r="H129" s="150" t="str">
        <f aca="false">IF($J129="","",INDEX(LEDGER_ENGINE!$L$2:$L$546,$J129))</f>
        <v/>
      </c>
      <c r="I129" s="150" t="str">
        <f aca="false">IF(A129="","",I128+H129)</f>
        <v/>
      </c>
      <c r="J129" s="101" t="str">
        <f aca="false">IFERROR(MATCH(LIBRI_I_MADH!$B$4&amp;"|"&amp;ROWS($A$6:A129),LEDGER_ENGINE!$U$2:$U$546,0),"")</f>
        <v/>
      </c>
    </row>
    <row r="130" customFormat="false" ht="15" hidden="false" customHeight="true" outlineLevel="0" collapsed="false">
      <c r="A130" s="148" t="str">
        <f aca="false">IF($J130="","",INDEX(LEDGER_ENGINE!$B$2:$B$546,$J130))</f>
        <v/>
      </c>
      <c r="B130" s="149" t="str">
        <f aca="false">IF($J130="","",INDEX(LEDGER_ENGINE!$C$2:$C$546,$J130))</f>
        <v/>
      </c>
      <c r="C130" s="149" t="str">
        <f aca="false">IF($J130="","",INDEX(LEDGER_ENGINE!$D$2:$D$546,$J130))</f>
        <v/>
      </c>
      <c r="D130" s="149" t="str">
        <f aca="false">IF($J130="","",INDEX(LEDGER_ENGINE!$G$2:$G$546,$J130))</f>
        <v/>
      </c>
      <c r="E130" s="149" t="str">
        <f aca="false">IFERROR(IF($J130="","",INDEX(LEDGER_ENGINE!$H$2:$H$546,$J130)),"")</f>
        <v/>
      </c>
      <c r="F130" s="150" t="str">
        <f aca="false">IF($J130="","",INDEX(LEDGER_ENGINE!$I$2:$I$546,$J130))</f>
        <v/>
      </c>
      <c r="G130" s="150" t="str">
        <f aca="false">IF($J130="","",INDEX(LEDGER_ENGINE!$J$2:$J$546,$J130))</f>
        <v/>
      </c>
      <c r="H130" s="150" t="str">
        <f aca="false">IF($J130="","",INDEX(LEDGER_ENGINE!$L$2:$L$546,$J130))</f>
        <v/>
      </c>
      <c r="I130" s="150" t="str">
        <f aca="false">IF(A130="","",I129+H130)</f>
        <v/>
      </c>
      <c r="J130" s="101" t="str">
        <f aca="false">IFERROR(MATCH(LIBRI_I_MADH!$B$4&amp;"|"&amp;ROWS($A$6:A130),LEDGER_ENGINE!$U$2:$U$546,0),"")</f>
        <v/>
      </c>
    </row>
    <row r="131" customFormat="false" ht="15" hidden="false" customHeight="true" outlineLevel="0" collapsed="false">
      <c r="A131" s="148" t="str">
        <f aca="false">IF($J131="","",INDEX(LEDGER_ENGINE!$B$2:$B$546,$J131))</f>
        <v/>
      </c>
      <c r="B131" s="149" t="str">
        <f aca="false">IF($J131="","",INDEX(LEDGER_ENGINE!$C$2:$C$546,$J131))</f>
        <v/>
      </c>
      <c r="C131" s="149" t="str">
        <f aca="false">IF($J131="","",INDEX(LEDGER_ENGINE!$D$2:$D$546,$J131))</f>
        <v/>
      </c>
      <c r="D131" s="149" t="str">
        <f aca="false">IF($J131="","",INDEX(LEDGER_ENGINE!$G$2:$G$546,$J131))</f>
        <v/>
      </c>
      <c r="E131" s="149" t="str">
        <f aca="false">IFERROR(IF($J131="","",INDEX(LEDGER_ENGINE!$H$2:$H$546,$J131)),"")</f>
        <v/>
      </c>
      <c r="F131" s="150" t="str">
        <f aca="false">IF($J131="","",INDEX(LEDGER_ENGINE!$I$2:$I$546,$J131))</f>
        <v/>
      </c>
      <c r="G131" s="150" t="str">
        <f aca="false">IF($J131="","",INDEX(LEDGER_ENGINE!$J$2:$J$546,$J131))</f>
        <v/>
      </c>
      <c r="H131" s="150" t="str">
        <f aca="false">IF($J131="","",INDEX(LEDGER_ENGINE!$L$2:$L$546,$J131))</f>
        <v/>
      </c>
      <c r="I131" s="150" t="str">
        <f aca="false">IF(A131="","",I130+H131)</f>
        <v/>
      </c>
      <c r="J131" s="101" t="str">
        <f aca="false">IFERROR(MATCH(LIBRI_I_MADH!$B$4&amp;"|"&amp;ROWS($A$6:A131),LEDGER_ENGINE!$U$2:$U$546,0),"")</f>
        <v/>
      </c>
    </row>
    <row r="132" customFormat="false" ht="15" hidden="false" customHeight="true" outlineLevel="0" collapsed="false">
      <c r="A132" s="148" t="str">
        <f aca="false">IF($J132="","",INDEX(LEDGER_ENGINE!$B$2:$B$546,$J132))</f>
        <v/>
      </c>
      <c r="B132" s="149" t="str">
        <f aca="false">IF($J132="","",INDEX(LEDGER_ENGINE!$C$2:$C$546,$J132))</f>
        <v/>
      </c>
      <c r="C132" s="149" t="str">
        <f aca="false">IF($J132="","",INDEX(LEDGER_ENGINE!$D$2:$D$546,$J132))</f>
        <v/>
      </c>
      <c r="D132" s="149" t="str">
        <f aca="false">IF($J132="","",INDEX(LEDGER_ENGINE!$G$2:$G$546,$J132))</f>
        <v/>
      </c>
      <c r="E132" s="149" t="str">
        <f aca="false">IFERROR(IF($J132="","",INDEX(LEDGER_ENGINE!$H$2:$H$546,$J132)),"")</f>
        <v/>
      </c>
      <c r="F132" s="150" t="str">
        <f aca="false">IF($J132="","",INDEX(LEDGER_ENGINE!$I$2:$I$546,$J132))</f>
        <v/>
      </c>
      <c r="G132" s="150" t="str">
        <f aca="false">IF($J132="","",INDEX(LEDGER_ENGINE!$J$2:$J$546,$J132))</f>
        <v/>
      </c>
      <c r="H132" s="150" t="str">
        <f aca="false">IF($J132="","",INDEX(LEDGER_ENGINE!$L$2:$L$546,$J132))</f>
        <v/>
      </c>
      <c r="I132" s="150" t="str">
        <f aca="false">IF(A132="","",I131+H132)</f>
        <v/>
      </c>
      <c r="J132" s="101" t="str">
        <f aca="false">IFERROR(MATCH(LIBRI_I_MADH!$B$4&amp;"|"&amp;ROWS($A$6:A132),LEDGER_ENGINE!$U$2:$U$546,0),"")</f>
        <v/>
      </c>
    </row>
    <row r="133" customFormat="false" ht="15" hidden="false" customHeight="true" outlineLevel="0" collapsed="false">
      <c r="A133" s="148" t="str">
        <f aca="false">IF($J133="","",INDEX(LEDGER_ENGINE!$B$2:$B$546,$J133))</f>
        <v/>
      </c>
      <c r="B133" s="149" t="str">
        <f aca="false">IF($J133="","",INDEX(LEDGER_ENGINE!$C$2:$C$546,$J133))</f>
        <v/>
      </c>
      <c r="C133" s="149" t="str">
        <f aca="false">IF($J133="","",INDEX(LEDGER_ENGINE!$D$2:$D$546,$J133))</f>
        <v/>
      </c>
      <c r="D133" s="149" t="str">
        <f aca="false">IF($J133="","",INDEX(LEDGER_ENGINE!$G$2:$G$546,$J133))</f>
        <v/>
      </c>
      <c r="E133" s="149" t="str">
        <f aca="false">IFERROR(IF($J133="","",INDEX(LEDGER_ENGINE!$H$2:$H$546,$J133)),"")</f>
        <v/>
      </c>
      <c r="F133" s="150" t="str">
        <f aca="false">IF($J133="","",INDEX(LEDGER_ENGINE!$I$2:$I$546,$J133))</f>
        <v/>
      </c>
      <c r="G133" s="150" t="str">
        <f aca="false">IF($J133="","",INDEX(LEDGER_ENGINE!$J$2:$J$546,$J133))</f>
        <v/>
      </c>
      <c r="H133" s="150" t="str">
        <f aca="false">IF($J133="","",INDEX(LEDGER_ENGINE!$L$2:$L$546,$J133))</f>
        <v/>
      </c>
      <c r="I133" s="150" t="str">
        <f aca="false">IF(A133="","",I132+H133)</f>
        <v/>
      </c>
      <c r="J133" s="101" t="str">
        <f aca="false">IFERROR(MATCH(LIBRI_I_MADH!$B$4&amp;"|"&amp;ROWS($A$6:A133),LEDGER_ENGINE!$U$2:$U$546,0),"")</f>
        <v/>
      </c>
    </row>
    <row r="134" customFormat="false" ht="15" hidden="false" customHeight="true" outlineLevel="0" collapsed="false">
      <c r="A134" s="148" t="str">
        <f aca="false">IF($J134="","",INDEX(LEDGER_ENGINE!$B$2:$B$546,$J134))</f>
        <v/>
      </c>
      <c r="B134" s="149" t="str">
        <f aca="false">IF($J134="","",INDEX(LEDGER_ENGINE!$C$2:$C$546,$J134))</f>
        <v/>
      </c>
      <c r="C134" s="149" t="str">
        <f aca="false">IF($J134="","",INDEX(LEDGER_ENGINE!$D$2:$D$546,$J134))</f>
        <v/>
      </c>
      <c r="D134" s="149" t="str">
        <f aca="false">IF($J134="","",INDEX(LEDGER_ENGINE!$G$2:$G$546,$J134))</f>
        <v/>
      </c>
      <c r="E134" s="149" t="str">
        <f aca="false">IFERROR(IF($J134="","",INDEX(LEDGER_ENGINE!$H$2:$H$546,$J134)),"")</f>
        <v/>
      </c>
      <c r="F134" s="150" t="str">
        <f aca="false">IF($J134="","",INDEX(LEDGER_ENGINE!$I$2:$I$546,$J134))</f>
        <v/>
      </c>
      <c r="G134" s="150" t="str">
        <f aca="false">IF($J134="","",INDEX(LEDGER_ENGINE!$J$2:$J$546,$J134))</f>
        <v/>
      </c>
      <c r="H134" s="150" t="str">
        <f aca="false">IF($J134="","",INDEX(LEDGER_ENGINE!$L$2:$L$546,$J134))</f>
        <v/>
      </c>
      <c r="I134" s="150" t="str">
        <f aca="false">IF(A134="","",I133+H134)</f>
        <v/>
      </c>
      <c r="J134" s="101" t="str">
        <f aca="false">IFERROR(MATCH(LIBRI_I_MADH!$B$4&amp;"|"&amp;ROWS($A$6:A134),LEDGER_ENGINE!$U$2:$U$546,0),"")</f>
        <v/>
      </c>
    </row>
    <row r="135" customFormat="false" ht="15" hidden="false" customHeight="true" outlineLevel="0" collapsed="false">
      <c r="A135" s="148" t="str">
        <f aca="false">IF($J135="","",INDEX(LEDGER_ENGINE!$B$2:$B$546,$J135))</f>
        <v/>
      </c>
      <c r="B135" s="149" t="str">
        <f aca="false">IF($J135="","",INDEX(LEDGER_ENGINE!$C$2:$C$546,$J135))</f>
        <v/>
      </c>
      <c r="C135" s="149" t="str">
        <f aca="false">IF($J135="","",INDEX(LEDGER_ENGINE!$D$2:$D$546,$J135))</f>
        <v/>
      </c>
      <c r="D135" s="149" t="str">
        <f aca="false">IF($J135="","",INDEX(LEDGER_ENGINE!$G$2:$G$546,$J135))</f>
        <v/>
      </c>
      <c r="E135" s="149" t="str">
        <f aca="false">IFERROR(IF($J135="","",INDEX(LEDGER_ENGINE!$H$2:$H$546,$J135)),"")</f>
        <v/>
      </c>
      <c r="F135" s="150" t="str">
        <f aca="false">IF($J135="","",INDEX(LEDGER_ENGINE!$I$2:$I$546,$J135))</f>
        <v/>
      </c>
      <c r="G135" s="150" t="str">
        <f aca="false">IF($J135="","",INDEX(LEDGER_ENGINE!$J$2:$J$546,$J135))</f>
        <v/>
      </c>
      <c r="H135" s="150" t="str">
        <f aca="false">IF($J135="","",INDEX(LEDGER_ENGINE!$L$2:$L$546,$J135))</f>
        <v/>
      </c>
      <c r="I135" s="150" t="str">
        <f aca="false">IF(A135="","",I134+H135)</f>
        <v/>
      </c>
      <c r="J135" s="101" t="str">
        <f aca="false">IFERROR(MATCH(LIBRI_I_MADH!$B$4&amp;"|"&amp;ROWS($A$6:A135),LEDGER_ENGINE!$U$2:$U$546,0),"")</f>
        <v/>
      </c>
    </row>
    <row r="136" customFormat="false" ht="15" hidden="false" customHeight="true" outlineLevel="0" collapsed="false">
      <c r="A136" s="148" t="str">
        <f aca="false">IF($J136="","",INDEX(LEDGER_ENGINE!$B$2:$B$546,$J136))</f>
        <v/>
      </c>
      <c r="B136" s="149" t="str">
        <f aca="false">IF($J136="","",INDEX(LEDGER_ENGINE!$C$2:$C$546,$J136))</f>
        <v/>
      </c>
      <c r="C136" s="149" t="str">
        <f aca="false">IF($J136="","",INDEX(LEDGER_ENGINE!$D$2:$D$546,$J136))</f>
        <v/>
      </c>
      <c r="D136" s="149" t="str">
        <f aca="false">IF($J136="","",INDEX(LEDGER_ENGINE!$G$2:$G$546,$J136))</f>
        <v/>
      </c>
      <c r="E136" s="149" t="str">
        <f aca="false">IFERROR(IF($J136="","",INDEX(LEDGER_ENGINE!$H$2:$H$546,$J136)),"")</f>
        <v/>
      </c>
      <c r="F136" s="150" t="str">
        <f aca="false">IF($J136="","",INDEX(LEDGER_ENGINE!$I$2:$I$546,$J136))</f>
        <v/>
      </c>
      <c r="G136" s="150" t="str">
        <f aca="false">IF($J136="","",INDEX(LEDGER_ENGINE!$J$2:$J$546,$J136))</f>
        <v/>
      </c>
      <c r="H136" s="150" t="str">
        <f aca="false">IF($J136="","",INDEX(LEDGER_ENGINE!$L$2:$L$546,$J136))</f>
        <v/>
      </c>
      <c r="I136" s="150" t="str">
        <f aca="false">IF(A136="","",I135+H136)</f>
        <v/>
      </c>
      <c r="J136" s="101" t="str">
        <f aca="false">IFERROR(MATCH(LIBRI_I_MADH!$B$4&amp;"|"&amp;ROWS($A$6:A136),LEDGER_ENGINE!$U$2:$U$546,0),"")</f>
        <v/>
      </c>
    </row>
    <row r="137" customFormat="false" ht="15" hidden="false" customHeight="true" outlineLevel="0" collapsed="false">
      <c r="A137" s="148" t="str">
        <f aca="false">IF($J137="","",INDEX(LEDGER_ENGINE!$B$2:$B$546,$J137))</f>
        <v/>
      </c>
      <c r="B137" s="149" t="str">
        <f aca="false">IF($J137="","",INDEX(LEDGER_ENGINE!$C$2:$C$546,$J137))</f>
        <v/>
      </c>
      <c r="C137" s="149" t="str">
        <f aca="false">IF($J137="","",INDEX(LEDGER_ENGINE!$D$2:$D$546,$J137))</f>
        <v/>
      </c>
      <c r="D137" s="149" t="str">
        <f aca="false">IF($J137="","",INDEX(LEDGER_ENGINE!$G$2:$G$546,$J137))</f>
        <v/>
      </c>
      <c r="E137" s="149" t="str">
        <f aca="false">IFERROR(IF($J137="","",INDEX(LEDGER_ENGINE!$H$2:$H$546,$J137)),"")</f>
        <v/>
      </c>
      <c r="F137" s="150" t="str">
        <f aca="false">IF($J137="","",INDEX(LEDGER_ENGINE!$I$2:$I$546,$J137))</f>
        <v/>
      </c>
      <c r="G137" s="150" t="str">
        <f aca="false">IF($J137="","",INDEX(LEDGER_ENGINE!$J$2:$J$546,$J137))</f>
        <v/>
      </c>
      <c r="H137" s="150" t="str">
        <f aca="false">IF($J137="","",INDEX(LEDGER_ENGINE!$L$2:$L$546,$J137))</f>
        <v/>
      </c>
      <c r="I137" s="150" t="str">
        <f aca="false">IF(A137="","",I136+H137)</f>
        <v/>
      </c>
      <c r="J137" s="101" t="str">
        <f aca="false">IFERROR(MATCH(LIBRI_I_MADH!$B$4&amp;"|"&amp;ROWS($A$6:A137),LEDGER_ENGINE!$U$2:$U$546,0),"")</f>
        <v/>
      </c>
    </row>
    <row r="138" customFormat="false" ht="15" hidden="false" customHeight="true" outlineLevel="0" collapsed="false">
      <c r="A138" s="148" t="str">
        <f aca="false">IF($J138="","",INDEX(LEDGER_ENGINE!$B$2:$B$546,$J138))</f>
        <v/>
      </c>
      <c r="B138" s="149" t="str">
        <f aca="false">IF($J138="","",INDEX(LEDGER_ENGINE!$C$2:$C$546,$J138))</f>
        <v/>
      </c>
      <c r="C138" s="149" t="str">
        <f aca="false">IF($J138="","",INDEX(LEDGER_ENGINE!$D$2:$D$546,$J138))</f>
        <v/>
      </c>
      <c r="D138" s="149" t="str">
        <f aca="false">IF($J138="","",INDEX(LEDGER_ENGINE!$G$2:$G$546,$J138))</f>
        <v/>
      </c>
      <c r="E138" s="149" t="str">
        <f aca="false">IFERROR(IF($J138="","",INDEX(LEDGER_ENGINE!$H$2:$H$546,$J138)),"")</f>
        <v/>
      </c>
      <c r="F138" s="150" t="str">
        <f aca="false">IF($J138="","",INDEX(LEDGER_ENGINE!$I$2:$I$546,$J138))</f>
        <v/>
      </c>
      <c r="G138" s="150" t="str">
        <f aca="false">IF($J138="","",INDEX(LEDGER_ENGINE!$J$2:$J$546,$J138))</f>
        <v/>
      </c>
      <c r="H138" s="150" t="str">
        <f aca="false">IF($J138="","",INDEX(LEDGER_ENGINE!$L$2:$L$546,$J138))</f>
        <v/>
      </c>
      <c r="I138" s="150" t="str">
        <f aca="false">IF(A138="","",I137+H138)</f>
        <v/>
      </c>
      <c r="J138" s="101" t="str">
        <f aca="false">IFERROR(MATCH(LIBRI_I_MADH!$B$4&amp;"|"&amp;ROWS($A$6:A138),LEDGER_ENGINE!$U$2:$U$546,0),"")</f>
        <v/>
      </c>
    </row>
    <row r="139" customFormat="false" ht="15" hidden="false" customHeight="true" outlineLevel="0" collapsed="false">
      <c r="A139" s="148" t="str">
        <f aca="false">IF($J139="","",INDEX(LEDGER_ENGINE!$B$2:$B$546,$J139))</f>
        <v/>
      </c>
      <c r="B139" s="149" t="str">
        <f aca="false">IF($J139="","",INDEX(LEDGER_ENGINE!$C$2:$C$546,$J139))</f>
        <v/>
      </c>
      <c r="C139" s="149" t="str">
        <f aca="false">IF($J139="","",INDEX(LEDGER_ENGINE!$D$2:$D$546,$J139))</f>
        <v/>
      </c>
      <c r="D139" s="149" t="str">
        <f aca="false">IF($J139="","",INDEX(LEDGER_ENGINE!$G$2:$G$546,$J139))</f>
        <v/>
      </c>
      <c r="E139" s="149" t="str">
        <f aca="false">IFERROR(IF($J139="","",INDEX(LEDGER_ENGINE!$H$2:$H$546,$J139)),"")</f>
        <v/>
      </c>
      <c r="F139" s="150" t="str">
        <f aca="false">IF($J139="","",INDEX(LEDGER_ENGINE!$I$2:$I$546,$J139))</f>
        <v/>
      </c>
      <c r="G139" s="150" t="str">
        <f aca="false">IF($J139="","",INDEX(LEDGER_ENGINE!$J$2:$J$546,$J139))</f>
        <v/>
      </c>
      <c r="H139" s="150" t="str">
        <f aca="false">IF($J139="","",INDEX(LEDGER_ENGINE!$L$2:$L$546,$J139))</f>
        <v/>
      </c>
      <c r="I139" s="150" t="str">
        <f aca="false">IF(A139="","",I138+H139)</f>
        <v/>
      </c>
      <c r="J139" s="101" t="str">
        <f aca="false">IFERROR(MATCH(LIBRI_I_MADH!$B$4&amp;"|"&amp;ROWS($A$6:A139),LEDGER_ENGINE!$U$2:$U$546,0),"")</f>
        <v/>
      </c>
    </row>
    <row r="140" customFormat="false" ht="15" hidden="false" customHeight="true" outlineLevel="0" collapsed="false">
      <c r="A140" s="148" t="str">
        <f aca="false">IF($J140="","",INDEX(LEDGER_ENGINE!$B$2:$B$546,$J140))</f>
        <v/>
      </c>
      <c r="B140" s="149" t="str">
        <f aca="false">IF($J140="","",INDEX(LEDGER_ENGINE!$C$2:$C$546,$J140))</f>
        <v/>
      </c>
      <c r="C140" s="149" t="str">
        <f aca="false">IF($J140="","",INDEX(LEDGER_ENGINE!$D$2:$D$546,$J140))</f>
        <v/>
      </c>
      <c r="D140" s="149" t="str">
        <f aca="false">IF($J140="","",INDEX(LEDGER_ENGINE!$G$2:$G$546,$J140))</f>
        <v/>
      </c>
      <c r="E140" s="149" t="str">
        <f aca="false">IFERROR(IF($J140="","",INDEX(LEDGER_ENGINE!$H$2:$H$546,$J140)),"")</f>
        <v/>
      </c>
      <c r="F140" s="150" t="str">
        <f aca="false">IF($J140="","",INDEX(LEDGER_ENGINE!$I$2:$I$546,$J140))</f>
        <v/>
      </c>
      <c r="G140" s="150" t="str">
        <f aca="false">IF($J140="","",INDEX(LEDGER_ENGINE!$J$2:$J$546,$J140))</f>
        <v/>
      </c>
      <c r="H140" s="150" t="str">
        <f aca="false">IF($J140="","",INDEX(LEDGER_ENGINE!$L$2:$L$546,$J140))</f>
        <v/>
      </c>
      <c r="I140" s="150" t="str">
        <f aca="false">IF(A140="","",I139+H140)</f>
        <v/>
      </c>
      <c r="J140" s="101" t="str">
        <f aca="false">IFERROR(MATCH(LIBRI_I_MADH!$B$4&amp;"|"&amp;ROWS($A$6:A140),LEDGER_ENGINE!$U$2:$U$546,0),"")</f>
        <v/>
      </c>
    </row>
    <row r="141" customFormat="false" ht="15" hidden="false" customHeight="true" outlineLevel="0" collapsed="false">
      <c r="A141" s="148" t="str">
        <f aca="false">IF($J141="","",INDEX(LEDGER_ENGINE!$B$2:$B$546,$J141))</f>
        <v/>
      </c>
      <c r="B141" s="149" t="str">
        <f aca="false">IF($J141="","",INDEX(LEDGER_ENGINE!$C$2:$C$546,$J141))</f>
        <v/>
      </c>
      <c r="C141" s="149" t="str">
        <f aca="false">IF($J141="","",INDEX(LEDGER_ENGINE!$D$2:$D$546,$J141))</f>
        <v/>
      </c>
      <c r="D141" s="149" t="str">
        <f aca="false">IF($J141="","",INDEX(LEDGER_ENGINE!$G$2:$G$546,$J141))</f>
        <v/>
      </c>
      <c r="E141" s="149" t="str">
        <f aca="false">IFERROR(IF($J141="","",INDEX(LEDGER_ENGINE!$H$2:$H$546,$J141)),"")</f>
        <v/>
      </c>
      <c r="F141" s="150" t="str">
        <f aca="false">IF($J141="","",INDEX(LEDGER_ENGINE!$I$2:$I$546,$J141))</f>
        <v/>
      </c>
      <c r="G141" s="150" t="str">
        <f aca="false">IF($J141="","",INDEX(LEDGER_ENGINE!$J$2:$J$546,$J141))</f>
        <v/>
      </c>
      <c r="H141" s="150" t="str">
        <f aca="false">IF($J141="","",INDEX(LEDGER_ENGINE!$L$2:$L$546,$J141))</f>
        <v/>
      </c>
      <c r="I141" s="150" t="str">
        <f aca="false">IF(A141="","",I140+H141)</f>
        <v/>
      </c>
      <c r="J141" s="101" t="str">
        <f aca="false">IFERROR(MATCH(LIBRI_I_MADH!$B$4&amp;"|"&amp;ROWS($A$6:A141),LEDGER_ENGINE!$U$2:$U$546,0),"")</f>
        <v/>
      </c>
    </row>
    <row r="142" customFormat="false" ht="15" hidden="false" customHeight="true" outlineLevel="0" collapsed="false">
      <c r="A142" s="148" t="str">
        <f aca="false">IF($J142="","",INDEX(LEDGER_ENGINE!$B$2:$B$546,$J142))</f>
        <v/>
      </c>
      <c r="B142" s="149" t="str">
        <f aca="false">IF($J142="","",INDEX(LEDGER_ENGINE!$C$2:$C$546,$J142))</f>
        <v/>
      </c>
      <c r="C142" s="149" t="str">
        <f aca="false">IF($J142="","",INDEX(LEDGER_ENGINE!$D$2:$D$546,$J142))</f>
        <v/>
      </c>
      <c r="D142" s="149" t="str">
        <f aca="false">IF($J142="","",INDEX(LEDGER_ENGINE!$G$2:$G$546,$J142))</f>
        <v/>
      </c>
      <c r="E142" s="149" t="str">
        <f aca="false">IFERROR(IF($J142="","",INDEX(LEDGER_ENGINE!$H$2:$H$546,$J142)),"")</f>
        <v/>
      </c>
      <c r="F142" s="150" t="str">
        <f aca="false">IF($J142="","",INDEX(LEDGER_ENGINE!$I$2:$I$546,$J142))</f>
        <v/>
      </c>
      <c r="G142" s="150" t="str">
        <f aca="false">IF($J142="","",INDEX(LEDGER_ENGINE!$J$2:$J$546,$J142))</f>
        <v/>
      </c>
      <c r="H142" s="150" t="str">
        <f aca="false">IF($J142="","",INDEX(LEDGER_ENGINE!$L$2:$L$546,$J142))</f>
        <v/>
      </c>
      <c r="I142" s="150" t="str">
        <f aca="false">IF(A142="","",I141+H142)</f>
        <v/>
      </c>
      <c r="J142" s="101" t="str">
        <f aca="false">IFERROR(MATCH(LIBRI_I_MADH!$B$4&amp;"|"&amp;ROWS($A$6:A142),LEDGER_ENGINE!$U$2:$U$546,0),"")</f>
        <v/>
      </c>
    </row>
    <row r="143" customFormat="false" ht="15" hidden="false" customHeight="true" outlineLevel="0" collapsed="false">
      <c r="A143" s="148" t="str">
        <f aca="false">IF($J143="","",INDEX(LEDGER_ENGINE!$B$2:$B$546,$J143))</f>
        <v/>
      </c>
      <c r="B143" s="149" t="str">
        <f aca="false">IF($J143="","",INDEX(LEDGER_ENGINE!$C$2:$C$546,$J143))</f>
        <v/>
      </c>
      <c r="C143" s="149" t="str">
        <f aca="false">IF($J143="","",INDEX(LEDGER_ENGINE!$D$2:$D$546,$J143))</f>
        <v/>
      </c>
      <c r="D143" s="149" t="str">
        <f aca="false">IF($J143="","",INDEX(LEDGER_ENGINE!$G$2:$G$546,$J143))</f>
        <v/>
      </c>
      <c r="E143" s="149" t="str">
        <f aca="false">IFERROR(IF($J143="","",INDEX(LEDGER_ENGINE!$H$2:$H$546,$J143)),"")</f>
        <v/>
      </c>
      <c r="F143" s="150" t="str">
        <f aca="false">IF($J143="","",INDEX(LEDGER_ENGINE!$I$2:$I$546,$J143))</f>
        <v/>
      </c>
      <c r="G143" s="150" t="str">
        <f aca="false">IF($J143="","",INDEX(LEDGER_ENGINE!$J$2:$J$546,$J143))</f>
        <v/>
      </c>
      <c r="H143" s="150" t="str">
        <f aca="false">IF($J143="","",INDEX(LEDGER_ENGINE!$L$2:$L$546,$J143))</f>
        <v/>
      </c>
      <c r="I143" s="150" t="str">
        <f aca="false">IF(A143="","",I142+H143)</f>
        <v/>
      </c>
      <c r="J143" s="101" t="str">
        <f aca="false">IFERROR(MATCH(LIBRI_I_MADH!$B$4&amp;"|"&amp;ROWS($A$6:A143),LEDGER_ENGINE!$U$2:$U$546,0),"")</f>
        <v/>
      </c>
    </row>
    <row r="144" customFormat="false" ht="15" hidden="false" customHeight="true" outlineLevel="0" collapsed="false">
      <c r="A144" s="148" t="str">
        <f aca="false">IF($J144="","",INDEX(LEDGER_ENGINE!$B$2:$B$546,$J144))</f>
        <v/>
      </c>
      <c r="B144" s="149" t="str">
        <f aca="false">IF($J144="","",INDEX(LEDGER_ENGINE!$C$2:$C$546,$J144))</f>
        <v/>
      </c>
      <c r="C144" s="149" t="str">
        <f aca="false">IF($J144="","",INDEX(LEDGER_ENGINE!$D$2:$D$546,$J144))</f>
        <v/>
      </c>
      <c r="D144" s="149" t="str">
        <f aca="false">IF($J144="","",INDEX(LEDGER_ENGINE!$G$2:$G$546,$J144))</f>
        <v/>
      </c>
      <c r="E144" s="149" t="str">
        <f aca="false">IFERROR(IF($J144="","",INDEX(LEDGER_ENGINE!$H$2:$H$546,$J144)),"")</f>
        <v/>
      </c>
      <c r="F144" s="150" t="str">
        <f aca="false">IF($J144="","",INDEX(LEDGER_ENGINE!$I$2:$I$546,$J144))</f>
        <v/>
      </c>
      <c r="G144" s="150" t="str">
        <f aca="false">IF($J144="","",INDEX(LEDGER_ENGINE!$J$2:$J$546,$J144))</f>
        <v/>
      </c>
      <c r="H144" s="150" t="str">
        <f aca="false">IF($J144="","",INDEX(LEDGER_ENGINE!$L$2:$L$546,$J144))</f>
        <v/>
      </c>
      <c r="I144" s="150" t="str">
        <f aca="false">IF(A144="","",I143+H144)</f>
        <v/>
      </c>
      <c r="J144" s="101" t="str">
        <f aca="false">IFERROR(MATCH(LIBRI_I_MADH!$B$4&amp;"|"&amp;ROWS($A$6:A144),LEDGER_ENGINE!$U$2:$U$546,0),"")</f>
        <v/>
      </c>
    </row>
    <row r="145" customFormat="false" ht="15" hidden="false" customHeight="true" outlineLevel="0" collapsed="false">
      <c r="A145" s="148" t="str">
        <f aca="false">IF($J145="","",INDEX(LEDGER_ENGINE!$B$2:$B$546,$J145))</f>
        <v/>
      </c>
      <c r="B145" s="149" t="str">
        <f aca="false">IF($J145="","",INDEX(LEDGER_ENGINE!$C$2:$C$546,$J145))</f>
        <v/>
      </c>
      <c r="C145" s="149" t="str">
        <f aca="false">IF($J145="","",INDEX(LEDGER_ENGINE!$D$2:$D$546,$J145))</f>
        <v/>
      </c>
      <c r="D145" s="149" t="str">
        <f aca="false">IF($J145="","",INDEX(LEDGER_ENGINE!$G$2:$G$546,$J145))</f>
        <v/>
      </c>
      <c r="E145" s="149" t="str">
        <f aca="false">IFERROR(IF($J145="","",INDEX(LEDGER_ENGINE!$H$2:$H$546,$J145)),"")</f>
        <v/>
      </c>
      <c r="F145" s="150" t="str">
        <f aca="false">IF($J145="","",INDEX(LEDGER_ENGINE!$I$2:$I$546,$J145))</f>
        <v/>
      </c>
      <c r="G145" s="150" t="str">
        <f aca="false">IF($J145="","",INDEX(LEDGER_ENGINE!$J$2:$J$546,$J145))</f>
        <v/>
      </c>
      <c r="H145" s="150" t="str">
        <f aca="false">IF($J145="","",INDEX(LEDGER_ENGINE!$L$2:$L$546,$J145))</f>
        <v/>
      </c>
      <c r="I145" s="150" t="str">
        <f aca="false">IF(A145="","",I144+H145)</f>
        <v/>
      </c>
      <c r="J145" s="101" t="str">
        <f aca="false">IFERROR(MATCH(LIBRI_I_MADH!$B$4&amp;"|"&amp;ROWS($A$6:A145),LEDGER_ENGINE!$U$2:$U$546,0),"")</f>
        <v/>
      </c>
    </row>
    <row r="146" customFormat="false" ht="15" hidden="false" customHeight="true" outlineLevel="0" collapsed="false">
      <c r="A146" s="148" t="str">
        <f aca="false">IF($J146="","",INDEX(LEDGER_ENGINE!$B$2:$B$546,$J146))</f>
        <v/>
      </c>
      <c r="B146" s="149" t="str">
        <f aca="false">IF($J146="","",INDEX(LEDGER_ENGINE!$C$2:$C$546,$J146))</f>
        <v/>
      </c>
      <c r="C146" s="149" t="str">
        <f aca="false">IF($J146="","",INDEX(LEDGER_ENGINE!$D$2:$D$546,$J146))</f>
        <v/>
      </c>
      <c r="D146" s="149" t="str">
        <f aca="false">IF($J146="","",INDEX(LEDGER_ENGINE!$G$2:$G$546,$J146))</f>
        <v/>
      </c>
      <c r="E146" s="149" t="str">
        <f aca="false">IFERROR(IF($J146="","",INDEX(LEDGER_ENGINE!$H$2:$H$546,$J146)),"")</f>
        <v/>
      </c>
      <c r="F146" s="150" t="str">
        <f aca="false">IF($J146="","",INDEX(LEDGER_ENGINE!$I$2:$I$546,$J146))</f>
        <v/>
      </c>
      <c r="G146" s="150" t="str">
        <f aca="false">IF($J146="","",INDEX(LEDGER_ENGINE!$J$2:$J$546,$J146))</f>
        <v/>
      </c>
      <c r="H146" s="150" t="str">
        <f aca="false">IF($J146="","",INDEX(LEDGER_ENGINE!$L$2:$L$546,$J146))</f>
        <v/>
      </c>
      <c r="I146" s="150" t="str">
        <f aca="false">IF(A146="","",I145+H146)</f>
        <v/>
      </c>
      <c r="J146" s="101" t="str">
        <f aca="false">IFERROR(MATCH(LIBRI_I_MADH!$B$4&amp;"|"&amp;ROWS($A$6:A146),LEDGER_ENGINE!$U$2:$U$546,0),"")</f>
        <v/>
      </c>
    </row>
    <row r="147" customFormat="false" ht="15" hidden="false" customHeight="true" outlineLevel="0" collapsed="false">
      <c r="A147" s="148" t="str">
        <f aca="false">IF($J147="","",INDEX(LEDGER_ENGINE!$B$2:$B$546,$J147))</f>
        <v/>
      </c>
      <c r="B147" s="149" t="str">
        <f aca="false">IF($J147="","",INDEX(LEDGER_ENGINE!$C$2:$C$546,$J147))</f>
        <v/>
      </c>
      <c r="C147" s="149" t="str">
        <f aca="false">IF($J147="","",INDEX(LEDGER_ENGINE!$D$2:$D$546,$J147))</f>
        <v/>
      </c>
      <c r="D147" s="149" t="str">
        <f aca="false">IF($J147="","",INDEX(LEDGER_ENGINE!$G$2:$G$546,$J147))</f>
        <v/>
      </c>
      <c r="E147" s="149" t="str">
        <f aca="false">IFERROR(IF($J147="","",INDEX(LEDGER_ENGINE!$H$2:$H$546,$J147)),"")</f>
        <v/>
      </c>
      <c r="F147" s="150" t="str">
        <f aca="false">IF($J147="","",INDEX(LEDGER_ENGINE!$I$2:$I$546,$J147))</f>
        <v/>
      </c>
      <c r="G147" s="150" t="str">
        <f aca="false">IF($J147="","",INDEX(LEDGER_ENGINE!$J$2:$J$546,$J147))</f>
        <v/>
      </c>
      <c r="H147" s="150" t="str">
        <f aca="false">IF($J147="","",INDEX(LEDGER_ENGINE!$L$2:$L$546,$J147))</f>
        <v/>
      </c>
      <c r="I147" s="150" t="str">
        <f aca="false">IF(A147="","",I146+H147)</f>
        <v/>
      </c>
      <c r="J147" s="101" t="str">
        <f aca="false">IFERROR(MATCH(LIBRI_I_MADH!$B$4&amp;"|"&amp;ROWS($A$6:A147),LEDGER_ENGINE!$U$2:$U$546,0),"")</f>
        <v/>
      </c>
    </row>
    <row r="148" customFormat="false" ht="15" hidden="false" customHeight="true" outlineLevel="0" collapsed="false">
      <c r="A148" s="148" t="str">
        <f aca="false">IF($J148="","",INDEX(LEDGER_ENGINE!$B$2:$B$546,$J148))</f>
        <v/>
      </c>
      <c r="B148" s="149" t="str">
        <f aca="false">IF($J148="","",INDEX(LEDGER_ENGINE!$C$2:$C$546,$J148))</f>
        <v/>
      </c>
      <c r="C148" s="149" t="str">
        <f aca="false">IF($J148="","",INDEX(LEDGER_ENGINE!$D$2:$D$546,$J148))</f>
        <v/>
      </c>
      <c r="D148" s="149" t="str">
        <f aca="false">IF($J148="","",INDEX(LEDGER_ENGINE!$G$2:$G$546,$J148))</f>
        <v/>
      </c>
      <c r="E148" s="149" t="str">
        <f aca="false">IFERROR(IF($J148="","",INDEX(LEDGER_ENGINE!$H$2:$H$546,$J148)),"")</f>
        <v/>
      </c>
      <c r="F148" s="150" t="str">
        <f aca="false">IF($J148="","",INDEX(LEDGER_ENGINE!$I$2:$I$546,$J148))</f>
        <v/>
      </c>
      <c r="G148" s="150" t="str">
        <f aca="false">IF($J148="","",INDEX(LEDGER_ENGINE!$J$2:$J$546,$J148))</f>
        <v/>
      </c>
      <c r="H148" s="150" t="str">
        <f aca="false">IF($J148="","",INDEX(LEDGER_ENGINE!$L$2:$L$546,$J148))</f>
        <v/>
      </c>
      <c r="I148" s="150" t="str">
        <f aca="false">IF(A148="","",I147+H148)</f>
        <v/>
      </c>
      <c r="J148" s="101" t="str">
        <f aca="false">IFERROR(MATCH(LIBRI_I_MADH!$B$4&amp;"|"&amp;ROWS($A$6:A148),LEDGER_ENGINE!$U$2:$U$546,0),"")</f>
        <v/>
      </c>
    </row>
    <row r="149" customFormat="false" ht="15" hidden="false" customHeight="true" outlineLevel="0" collapsed="false">
      <c r="A149" s="148" t="str">
        <f aca="false">IF($J149="","",INDEX(LEDGER_ENGINE!$B$2:$B$546,$J149))</f>
        <v/>
      </c>
      <c r="B149" s="149" t="str">
        <f aca="false">IF($J149="","",INDEX(LEDGER_ENGINE!$C$2:$C$546,$J149))</f>
        <v/>
      </c>
      <c r="C149" s="149" t="str">
        <f aca="false">IF($J149="","",INDEX(LEDGER_ENGINE!$D$2:$D$546,$J149))</f>
        <v/>
      </c>
      <c r="D149" s="149" t="str">
        <f aca="false">IF($J149="","",INDEX(LEDGER_ENGINE!$G$2:$G$546,$J149))</f>
        <v/>
      </c>
      <c r="E149" s="149" t="str">
        <f aca="false">IFERROR(IF($J149="","",INDEX(LEDGER_ENGINE!$H$2:$H$546,$J149)),"")</f>
        <v/>
      </c>
      <c r="F149" s="150" t="str">
        <f aca="false">IF($J149="","",INDEX(LEDGER_ENGINE!$I$2:$I$546,$J149))</f>
        <v/>
      </c>
      <c r="G149" s="150" t="str">
        <f aca="false">IF($J149="","",INDEX(LEDGER_ENGINE!$J$2:$J$546,$J149))</f>
        <v/>
      </c>
      <c r="H149" s="150" t="str">
        <f aca="false">IF($J149="","",INDEX(LEDGER_ENGINE!$L$2:$L$546,$J149))</f>
        <v/>
      </c>
      <c r="I149" s="150" t="str">
        <f aca="false">IF(A149="","",I148+H149)</f>
        <v/>
      </c>
      <c r="J149" s="101" t="str">
        <f aca="false">IFERROR(MATCH(LIBRI_I_MADH!$B$4&amp;"|"&amp;ROWS($A$6:A149),LEDGER_ENGINE!$U$2:$U$546,0),"")</f>
        <v/>
      </c>
    </row>
    <row r="150" customFormat="false" ht="15" hidden="false" customHeight="true" outlineLevel="0" collapsed="false">
      <c r="A150" s="148" t="str">
        <f aca="false">IF($J150="","",INDEX(LEDGER_ENGINE!$B$2:$B$546,$J150))</f>
        <v/>
      </c>
      <c r="B150" s="149" t="str">
        <f aca="false">IF($J150="","",INDEX(LEDGER_ENGINE!$C$2:$C$546,$J150))</f>
        <v/>
      </c>
      <c r="C150" s="149" t="str">
        <f aca="false">IF($J150="","",INDEX(LEDGER_ENGINE!$D$2:$D$546,$J150))</f>
        <v/>
      </c>
      <c r="D150" s="149" t="str">
        <f aca="false">IF($J150="","",INDEX(LEDGER_ENGINE!$G$2:$G$546,$J150))</f>
        <v/>
      </c>
      <c r="E150" s="149" t="str">
        <f aca="false">IFERROR(IF($J150="","",INDEX(LEDGER_ENGINE!$H$2:$H$546,$J150)),"")</f>
        <v/>
      </c>
      <c r="F150" s="150" t="str">
        <f aca="false">IF($J150="","",INDEX(LEDGER_ENGINE!$I$2:$I$546,$J150))</f>
        <v/>
      </c>
      <c r="G150" s="150" t="str">
        <f aca="false">IF($J150="","",INDEX(LEDGER_ENGINE!$J$2:$J$546,$J150))</f>
        <v/>
      </c>
      <c r="H150" s="150" t="str">
        <f aca="false">IF($J150="","",INDEX(LEDGER_ENGINE!$L$2:$L$546,$J150))</f>
        <v/>
      </c>
      <c r="I150" s="150" t="str">
        <f aca="false">IF(A150="","",I149+H150)</f>
        <v/>
      </c>
      <c r="J150" s="101" t="str">
        <f aca="false">IFERROR(MATCH(LIBRI_I_MADH!$B$4&amp;"|"&amp;ROWS($A$6:A150),LEDGER_ENGINE!$U$2:$U$546,0),"")</f>
        <v/>
      </c>
    </row>
    <row r="151" customFormat="false" ht="15" hidden="false" customHeight="true" outlineLevel="0" collapsed="false">
      <c r="A151" s="148" t="str">
        <f aca="false">IF($J151="","",INDEX(LEDGER_ENGINE!$B$2:$B$546,$J151))</f>
        <v/>
      </c>
      <c r="B151" s="149" t="str">
        <f aca="false">IF($J151="","",INDEX(LEDGER_ENGINE!$C$2:$C$546,$J151))</f>
        <v/>
      </c>
      <c r="C151" s="149" t="str">
        <f aca="false">IF($J151="","",INDEX(LEDGER_ENGINE!$D$2:$D$546,$J151))</f>
        <v/>
      </c>
      <c r="D151" s="149" t="str">
        <f aca="false">IF($J151="","",INDEX(LEDGER_ENGINE!$G$2:$G$546,$J151))</f>
        <v/>
      </c>
      <c r="E151" s="149" t="str">
        <f aca="false">IFERROR(IF($J151="","",INDEX(LEDGER_ENGINE!$H$2:$H$546,$J151)),"")</f>
        <v/>
      </c>
      <c r="F151" s="150" t="str">
        <f aca="false">IF($J151="","",INDEX(LEDGER_ENGINE!$I$2:$I$546,$J151))</f>
        <v/>
      </c>
      <c r="G151" s="150" t="str">
        <f aca="false">IF($J151="","",INDEX(LEDGER_ENGINE!$J$2:$J$546,$J151))</f>
        <v/>
      </c>
      <c r="H151" s="150" t="str">
        <f aca="false">IF($J151="","",INDEX(LEDGER_ENGINE!$L$2:$L$546,$J151))</f>
        <v/>
      </c>
      <c r="I151" s="150" t="str">
        <f aca="false">IF(A151="","",I150+H151)</f>
        <v/>
      </c>
      <c r="J151" s="101" t="str">
        <f aca="false">IFERROR(MATCH(LIBRI_I_MADH!$B$4&amp;"|"&amp;ROWS($A$6:A151),LEDGER_ENGINE!$U$2:$U$546,0),"")</f>
        <v/>
      </c>
    </row>
    <row r="152" customFormat="false" ht="15" hidden="false" customHeight="true" outlineLevel="0" collapsed="false">
      <c r="A152" s="148" t="str">
        <f aca="false">IF($J152="","",INDEX(LEDGER_ENGINE!$B$2:$B$546,$J152))</f>
        <v/>
      </c>
      <c r="B152" s="149" t="str">
        <f aca="false">IF($J152="","",INDEX(LEDGER_ENGINE!$C$2:$C$546,$J152))</f>
        <v/>
      </c>
      <c r="C152" s="149" t="str">
        <f aca="false">IF($J152="","",INDEX(LEDGER_ENGINE!$D$2:$D$546,$J152))</f>
        <v/>
      </c>
      <c r="D152" s="149" t="str">
        <f aca="false">IF($J152="","",INDEX(LEDGER_ENGINE!$G$2:$G$546,$J152))</f>
        <v/>
      </c>
      <c r="E152" s="149" t="str">
        <f aca="false">IFERROR(IF($J152="","",INDEX(LEDGER_ENGINE!$H$2:$H$546,$J152)),"")</f>
        <v/>
      </c>
      <c r="F152" s="150" t="str">
        <f aca="false">IF($J152="","",INDEX(LEDGER_ENGINE!$I$2:$I$546,$J152))</f>
        <v/>
      </c>
      <c r="G152" s="150" t="str">
        <f aca="false">IF($J152="","",INDEX(LEDGER_ENGINE!$J$2:$J$546,$J152))</f>
        <v/>
      </c>
      <c r="H152" s="150" t="str">
        <f aca="false">IF($J152="","",INDEX(LEDGER_ENGINE!$L$2:$L$546,$J152))</f>
        <v/>
      </c>
      <c r="I152" s="150" t="str">
        <f aca="false">IF(A152="","",I151+H152)</f>
        <v/>
      </c>
      <c r="J152" s="101" t="str">
        <f aca="false">IFERROR(MATCH(LIBRI_I_MADH!$B$4&amp;"|"&amp;ROWS($A$6:A152),LEDGER_ENGINE!$U$2:$U$546,0),"")</f>
        <v/>
      </c>
    </row>
    <row r="153" customFormat="false" ht="15" hidden="false" customHeight="true" outlineLevel="0" collapsed="false">
      <c r="A153" s="148" t="str">
        <f aca="false">IF($J153="","",INDEX(LEDGER_ENGINE!$B$2:$B$546,$J153))</f>
        <v/>
      </c>
      <c r="B153" s="149" t="str">
        <f aca="false">IF($J153="","",INDEX(LEDGER_ENGINE!$C$2:$C$546,$J153))</f>
        <v/>
      </c>
      <c r="C153" s="149" t="str">
        <f aca="false">IF($J153="","",INDEX(LEDGER_ENGINE!$D$2:$D$546,$J153))</f>
        <v/>
      </c>
      <c r="D153" s="149" t="str">
        <f aca="false">IF($J153="","",INDEX(LEDGER_ENGINE!$G$2:$G$546,$J153))</f>
        <v/>
      </c>
      <c r="E153" s="149" t="str">
        <f aca="false">IFERROR(IF($J153="","",INDEX(LEDGER_ENGINE!$H$2:$H$546,$J153)),"")</f>
        <v/>
      </c>
      <c r="F153" s="150" t="str">
        <f aca="false">IF($J153="","",INDEX(LEDGER_ENGINE!$I$2:$I$546,$J153))</f>
        <v/>
      </c>
      <c r="G153" s="150" t="str">
        <f aca="false">IF($J153="","",INDEX(LEDGER_ENGINE!$J$2:$J$546,$J153))</f>
        <v/>
      </c>
      <c r="H153" s="150" t="str">
        <f aca="false">IF($J153="","",INDEX(LEDGER_ENGINE!$L$2:$L$546,$J153))</f>
        <v/>
      </c>
      <c r="I153" s="150" t="str">
        <f aca="false">IF(A153="","",I152+H153)</f>
        <v/>
      </c>
      <c r="J153" s="101" t="str">
        <f aca="false">IFERROR(MATCH(LIBRI_I_MADH!$B$4&amp;"|"&amp;ROWS($A$6:A153),LEDGER_ENGINE!$U$2:$U$546,0),"")</f>
        <v/>
      </c>
    </row>
    <row r="154" customFormat="false" ht="15" hidden="false" customHeight="true" outlineLevel="0" collapsed="false">
      <c r="A154" s="148" t="str">
        <f aca="false">IF($J154="","",INDEX(LEDGER_ENGINE!$B$2:$B$546,$J154))</f>
        <v/>
      </c>
      <c r="B154" s="149" t="str">
        <f aca="false">IF($J154="","",INDEX(LEDGER_ENGINE!$C$2:$C$546,$J154))</f>
        <v/>
      </c>
      <c r="C154" s="149" t="str">
        <f aca="false">IF($J154="","",INDEX(LEDGER_ENGINE!$D$2:$D$546,$J154))</f>
        <v/>
      </c>
      <c r="D154" s="149" t="str">
        <f aca="false">IF($J154="","",INDEX(LEDGER_ENGINE!$G$2:$G$546,$J154))</f>
        <v/>
      </c>
      <c r="E154" s="149" t="str">
        <f aca="false">IFERROR(IF($J154="","",INDEX(LEDGER_ENGINE!$H$2:$H$546,$J154)),"")</f>
        <v/>
      </c>
      <c r="F154" s="150" t="str">
        <f aca="false">IF($J154="","",INDEX(LEDGER_ENGINE!$I$2:$I$546,$J154))</f>
        <v/>
      </c>
      <c r="G154" s="150" t="str">
        <f aca="false">IF($J154="","",INDEX(LEDGER_ENGINE!$J$2:$J$546,$J154))</f>
        <v/>
      </c>
      <c r="H154" s="150" t="str">
        <f aca="false">IF($J154="","",INDEX(LEDGER_ENGINE!$L$2:$L$546,$J154))</f>
        <v/>
      </c>
      <c r="I154" s="150" t="str">
        <f aca="false">IF(A154="","",I153+H154)</f>
        <v/>
      </c>
      <c r="J154" s="101" t="str">
        <f aca="false">IFERROR(MATCH(LIBRI_I_MADH!$B$4&amp;"|"&amp;ROWS($A$6:A154),LEDGER_ENGINE!$U$2:$U$546,0),"")</f>
        <v/>
      </c>
    </row>
    <row r="155" customFormat="false" ht="15" hidden="false" customHeight="true" outlineLevel="0" collapsed="false">
      <c r="A155" s="148" t="str">
        <f aca="false">IF($J155="","",INDEX(LEDGER_ENGINE!$B$2:$B$546,$J155))</f>
        <v/>
      </c>
      <c r="B155" s="149" t="str">
        <f aca="false">IF($J155="","",INDEX(LEDGER_ENGINE!$C$2:$C$546,$J155))</f>
        <v/>
      </c>
      <c r="C155" s="149" t="str">
        <f aca="false">IF($J155="","",INDEX(LEDGER_ENGINE!$D$2:$D$546,$J155))</f>
        <v/>
      </c>
      <c r="D155" s="149" t="str">
        <f aca="false">IF($J155="","",INDEX(LEDGER_ENGINE!$G$2:$G$546,$J155))</f>
        <v/>
      </c>
      <c r="E155" s="149" t="str">
        <f aca="false">IFERROR(IF($J155="","",INDEX(LEDGER_ENGINE!$H$2:$H$546,$J155)),"")</f>
        <v/>
      </c>
      <c r="F155" s="150" t="str">
        <f aca="false">IF($J155="","",INDEX(LEDGER_ENGINE!$I$2:$I$546,$J155))</f>
        <v/>
      </c>
      <c r="G155" s="150" t="str">
        <f aca="false">IF($J155="","",INDEX(LEDGER_ENGINE!$J$2:$J$546,$J155))</f>
        <v/>
      </c>
      <c r="H155" s="150" t="str">
        <f aca="false">IF($J155="","",INDEX(LEDGER_ENGINE!$L$2:$L$546,$J155))</f>
        <v/>
      </c>
      <c r="I155" s="150" t="str">
        <f aca="false">IF(A155="","",I154+H155)</f>
        <v/>
      </c>
      <c r="J155" s="101" t="str">
        <f aca="false">IFERROR(MATCH(LIBRI_I_MADH!$B$4&amp;"|"&amp;ROWS($A$6:A155),LEDGER_ENGINE!$U$2:$U$546,0),"")</f>
        <v/>
      </c>
    </row>
    <row r="156" customFormat="false" ht="15" hidden="false" customHeight="true" outlineLevel="0" collapsed="false">
      <c r="A156" s="148" t="str">
        <f aca="false">IF($J156="","",INDEX(LEDGER_ENGINE!$B$2:$B$546,$J156))</f>
        <v/>
      </c>
      <c r="B156" s="149" t="str">
        <f aca="false">IF($J156="","",INDEX(LEDGER_ENGINE!$C$2:$C$546,$J156))</f>
        <v/>
      </c>
      <c r="C156" s="149" t="str">
        <f aca="false">IF($J156="","",INDEX(LEDGER_ENGINE!$D$2:$D$546,$J156))</f>
        <v/>
      </c>
      <c r="D156" s="149" t="str">
        <f aca="false">IF($J156="","",INDEX(LEDGER_ENGINE!$G$2:$G$546,$J156))</f>
        <v/>
      </c>
      <c r="E156" s="149" t="str">
        <f aca="false">IFERROR(IF($J156="","",INDEX(LEDGER_ENGINE!$H$2:$H$546,$J156)),"")</f>
        <v/>
      </c>
      <c r="F156" s="150" t="str">
        <f aca="false">IF($J156="","",INDEX(LEDGER_ENGINE!$I$2:$I$546,$J156))</f>
        <v/>
      </c>
      <c r="G156" s="150" t="str">
        <f aca="false">IF($J156="","",INDEX(LEDGER_ENGINE!$J$2:$J$546,$J156))</f>
        <v/>
      </c>
      <c r="H156" s="150" t="str">
        <f aca="false">IF($J156="","",INDEX(LEDGER_ENGINE!$L$2:$L$546,$J156))</f>
        <v/>
      </c>
      <c r="I156" s="150" t="str">
        <f aca="false">IF(A156="","",I155+H156)</f>
        <v/>
      </c>
      <c r="J156" s="101" t="str">
        <f aca="false">IFERROR(MATCH(LIBRI_I_MADH!$B$4&amp;"|"&amp;ROWS($A$6:A156),LEDGER_ENGINE!$U$2:$U$546,0),"")</f>
        <v/>
      </c>
    </row>
    <row r="157" customFormat="false" ht="15" hidden="false" customHeight="true" outlineLevel="0" collapsed="false">
      <c r="A157" s="148" t="str">
        <f aca="false">IF($J157="","",INDEX(LEDGER_ENGINE!$B$2:$B$546,$J157))</f>
        <v/>
      </c>
      <c r="B157" s="149" t="str">
        <f aca="false">IF($J157="","",INDEX(LEDGER_ENGINE!$C$2:$C$546,$J157))</f>
        <v/>
      </c>
      <c r="C157" s="149" t="str">
        <f aca="false">IF($J157="","",INDEX(LEDGER_ENGINE!$D$2:$D$546,$J157))</f>
        <v/>
      </c>
      <c r="D157" s="149" t="str">
        <f aca="false">IF($J157="","",INDEX(LEDGER_ENGINE!$G$2:$G$546,$J157))</f>
        <v/>
      </c>
      <c r="E157" s="149" t="str">
        <f aca="false">IFERROR(IF($J157="","",INDEX(LEDGER_ENGINE!$H$2:$H$546,$J157)),"")</f>
        <v/>
      </c>
      <c r="F157" s="150" t="str">
        <f aca="false">IF($J157="","",INDEX(LEDGER_ENGINE!$I$2:$I$546,$J157))</f>
        <v/>
      </c>
      <c r="G157" s="150" t="str">
        <f aca="false">IF($J157="","",INDEX(LEDGER_ENGINE!$J$2:$J$546,$J157))</f>
        <v/>
      </c>
      <c r="H157" s="150" t="str">
        <f aca="false">IF($J157="","",INDEX(LEDGER_ENGINE!$L$2:$L$546,$J157))</f>
        <v/>
      </c>
      <c r="I157" s="150" t="str">
        <f aca="false">IF(A157="","",I156+H157)</f>
        <v/>
      </c>
      <c r="J157" s="101" t="str">
        <f aca="false">IFERROR(MATCH(LIBRI_I_MADH!$B$4&amp;"|"&amp;ROWS($A$6:A157),LEDGER_ENGINE!$U$2:$U$546,0),"")</f>
        <v/>
      </c>
    </row>
    <row r="158" customFormat="false" ht="15" hidden="false" customHeight="true" outlineLevel="0" collapsed="false">
      <c r="A158" s="148" t="str">
        <f aca="false">IF($J158="","",INDEX(LEDGER_ENGINE!$B$2:$B$546,$J158))</f>
        <v/>
      </c>
      <c r="B158" s="149" t="str">
        <f aca="false">IF($J158="","",INDEX(LEDGER_ENGINE!$C$2:$C$546,$J158))</f>
        <v/>
      </c>
      <c r="C158" s="149" t="str">
        <f aca="false">IF($J158="","",INDEX(LEDGER_ENGINE!$D$2:$D$546,$J158))</f>
        <v/>
      </c>
      <c r="D158" s="149" t="str">
        <f aca="false">IF($J158="","",INDEX(LEDGER_ENGINE!$G$2:$G$546,$J158))</f>
        <v/>
      </c>
      <c r="E158" s="149" t="str">
        <f aca="false">IFERROR(IF($J158="","",INDEX(LEDGER_ENGINE!$H$2:$H$546,$J158)),"")</f>
        <v/>
      </c>
      <c r="F158" s="150" t="str">
        <f aca="false">IF($J158="","",INDEX(LEDGER_ENGINE!$I$2:$I$546,$J158))</f>
        <v/>
      </c>
      <c r="G158" s="150" t="str">
        <f aca="false">IF($J158="","",INDEX(LEDGER_ENGINE!$J$2:$J$546,$J158))</f>
        <v/>
      </c>
      <c r="H158" s="150" t="str">
        <f aca="false">IF($J158="","",INDEX(LEDGER_ENGINE!$L$2:$L$546,$J158))</f>
        <v/>
      </c>
      <c r="I158" s="150" t="str">
        <f aca="false">IF(A158="","",I157+H158)</f>
        <v/>
      </c>
      <c r="J158" s="101" t="str">
        <f aca="false">IFERROR(MATCH(LIBRI_I_MADH!$B$4&amp;"|"&amp;ROWS($A$6:A158),LEDGER_ENGINE!$U$2:$U$546,0),"")</f>
        <v/>
      </c>
    </row>
    <row r="159" customFormat="false" ht="15" hidden="false" customHeight="true" outlineLevel="0" collapsed="false">
      <c r="A159" s="148" t="str">
        <f aca="false">IF($J159="","",INDEX(LEDGER_ENGINE!$B$2:$B$546,$J159))</f>
        <v/>
      </c>
      <c r="B159" s="149" t="str">
        <f aca="false">IF($J159="","",INDEX(LEDGER_ENGINE!$C$2:$C$546,$J159))</f>
        <v/>
      </c>
      <c r="C159" s="149" t="str">
        <f aca="false">IF($J159="","",INDEX(LEDGER_ENGINE!$D$2:$D$546,$J159))</f>
        <v/>
      </c>
      <c r="D159" s="149" t="str">
        <f aca="false">IF($J159="","",INDEX(LEDGER_ENGINE!$G$2:$G$546,$J159))</f>
        <v/>
      </c>
      <c r="E159" s="149" t="str">
        <f aca="false">IFERROR(IF($J159="","",INDEX(LEDGER_ENGINE!$H$2:$H$546,$J159)),"")</f>
        <v/>
      </c>
      <c r="F159" s="150" t="str">
        <f aca="false">IF($J159="","",INDEX(LEDGER_ENGINE!$I$2:$I$546,$J159))</f>
        <v/>
      </c>
      <c r="G159" s="150" t="str">
        <f aca="false">IF($J159="","",INDEX(LEDGER_ENGINE!$J$2:$J$546,$J159))</f>
        <v/>
      </c>
      <c r="H159" s="150" t="str">
        <f aca="false">IF($J159="","",INDEX(LEDGER_ENGINE!$L$2:$L$546,$J159))</f>
        <v/>
      </c>
      <c r="I159" s="150" t="str">
        <f aca="false">IF(A159="","",I158+H159)</f>
        <v/>
      </c>
      <c r="J159" s="101" t="str">
        <f aca="false">IFERROR(MATCH(LIBRI_I_MADH!$B$4&amp;"|"&amp;ROWS($A$6:A159),LEDGER_ENGINE!$U$2:$U$546,0),"")</f>
        <v/>
      </c>
    </row>
    <row r="160" customFormat="false" ht="15" hidden="false" customHeight="true" outlineLevel="0" collapsed="false">
      <c r="A160" s="148" t="str">
        <f aca="false">IF($J160="","",INDEX(LEDGER_ENGINE!$B$2:$B$546,$J160))</f>
        <v/>
      </c>
      <c r="B160" s="149" t="str">
        <f aca="false">IF($J160="","",INDEX(LEDGER_ENGINE!$C$2:$C$546,$J160))</f>
        <v/>
      </c>
      <c r="C160" s="149" t="str">
        <f aca="false">IF($J160="","",INDEX(LEDGER_ENGINE!$D$2:$D$546,$J160))</f>
        <v/>
      </c>
      <c r="D160" s="149" t="str">
        <f aca="false">IF($J160="","",INDEX(LEDGER_ENGINE!$G$2:$G$546,$J160))</f>
        <v/>
      </c>
      <c r="E160" s="149" t="str">
        <f aca="false">IFERROR(IF($J160="","",INDEX(LEDGER_ENGINE!$H$2:$H$546,$J160)),"")</f>
        <v/>
      </c>
      <c r="F160" s="150" t="str">
        <f aca="false">IF($J160="","",INDEX(LEDGER_ENGINE!$I$2:$I$546,$J160))</f>
        <v/>
      </c>
      <c r="G160" s="150" t="str">
        <f aca="false">IF($J160="","",INDEX(LEDGER_ENGINE!$J$2:$J$546,$J160))</f>
        <v/>
      </c>
      <c r="H160" s="150" t="str">
        <f aca="false">IF($J160="","",INDEX(LEDGER_ENGINE!$L$2:$L$546,$J160))</f>
        <v/>
      </c>
      <c r="I160" s="150" t="str">
        <f aca="false">IF(A160="","",I159+H160)</f>
        <v/>
      </c>
      <c r="J160" s="101" t="str">
        <f aca="false">IFERROR(MATCH(LIBRI_I_MADH!$B$4&amp;"|"&amp;ROWS($A$6:A160),LEDGER_ENGINE!$U$2:$U$546,0),"")</f>
        <v/>
      </c>
    </row>
    <row r="161" customFormat="false" ht="15" hidden="false" customHeight="true" outlineLevel="0" collapsed="false">
      <c r="A161" s="148" t="str">
        <f aca="false">IF($J161="","",INDEX(LEDGER_ENGINE!$B$2:$B$546,$J161))</f>
        <v/>
      </c>
      <c r="B161" s="149" t="str">
        <f aca="false">IF($J161="","",INDEX(LEDGER_ENGINE!$C$2:$C$546,$J161))</f>
        <v/>
      </c>
      <c r="C161" s="149" t="str">
        <f aca="false">IF($J161="","",INDEX(LEDGER_ENGINE!$D$2:$D$546,$J161))</f>
        <v/>
      </c>
      <c r="D161" s="149" t="str">
        <f aca="false">IF($J161="","",INDEX(LEDGER_ENGINE!$G$2:$G$546,$J161))</f>
        <v/>
      </c>
      <c r="E161" s="149" t="str">
        <f aca="false">IFERROR(IF($J161="","",INDEX(LEDGER_ENGINE!$H$2:$H$546,$J161)),"")</f>
        <v/>
      </c>
      <c r="F161" s="150" t="str">
        <f aca="false">IF($J161="","",INDEX(LEDGER_ENGINE!$I$2:$I$546,$J161))</f>
        <v/>
      </c>
      <c r="G161" s="150" t="str">
        <f aca="false">IF($J161="","",INDEX(LEDGER_ENGINE!$J$2:$J$546,$J161))</f>
        <v/>
      </c>
      <c r="H161" s="150" t="str">
        <f aca="false">IF($J161="","",INDEX(LEDGER_ENGINE!$L$2:$L$546,$J161))</f>
        <v/>
      </c>
      <c r="I161" s="150" t="str">
        <f aca="false">IF(A161="","",I160+H161)</f>
        <v/>
      </c>
      <c r="J161" s="101" t="str">
        <f aca="false">IFERROR(MATCH(LIBRI_I_MADH!$B$4&amp;"|"&amp;ROWS($A$6:A161),LEDGER_ENGINE!$U$2:$U$546,0),"")</f>
        <v/>
      </c>
    </row>
    <row r="162" customFormat="false" ht="15" hidden="false" customHeight="true" outlineLevel="0" collapsed="false">
      <c r="A162" s="148" t="str">
        <f aca="false">IF($J162="","",INDEX(LEDGER_ENGINE!$B$2:$B$546,$J162))</f>
        <v/>
      </c>
      <c r="B162" s="149" t="str">
        <f aca="false">IF($J162="","",INDEX(LEDGER_ENGINE!$C$2:$C$546,$J162))</f>
        <v/>
      </c>
      <c r="C162" s="149" t="str">
        <f aca="false">IF($J162="","",INDEX(LEDGER_ENGINE!$D$2:$D$546,$J162))</f>
        <v/>
      </c>
      <c r="D162" s="149" t="str">
        <f aca="false">IF($J162="","",INDEX(LEDGER_ENGINE!$G$2:$G$546,$J162))</f>
        <v/>
      </c>
      <c r="E162" s="149" t="str">
        <f aca="false">IFERROR(IF($J162="","",INDEX(LEDGER_ENGINE!$H$2:$H$546,$J162)),"")</f>
        <v/>
      </c>
      <c r="F162" s="150" t="str">
        <f aca="false">IF($J162="","",INDEX(LEDGER_ENGINE!$I$2:$I$546,$J162))</f>
        <v/>
      </c>
      <c r="G162" s="150" t="str">
        <f aca="false">IF($J162="","",INDEX(LEDGER_ENGINE!$J$2:$J$546,$J162))</f>
        <v/>
      </c>
      <c r="H162" s="150" t="str">
        <f aca="false">IF($J162="","",INDEX(LEDGER_ENGINE!$L$2:$L$546,$J162))</f>
        <v/>
      </c>
      <c r="I162" s="150" t="str">
        <f aca="false">IF(A162="","",I161+H162)</f>
        <v/>
      </c>
      <c r="J162" s="101" t="str">
        <f aca="false">IFERROR(MATCH(LIBRI_I_MADH!$B$4&amp;"|"&amp;ROWS($A$6:A162),LEDGER_ENGINE!$U$2:$U$546,0),"")</f>
        <v/>
      </c>
    </row>
    <row r="163" customFormat="false" ht="15" hidden="false" customHeight="true" outlineLevel="0" collapsed="false">
      <c r="A163" s="148" t="str">
        <f aca="false">IF($J163="","",INDEX(LEDGER_ENGINE!$B$2:$B$546,$J163))</f>
        <v/>
      </c>
      <c r="B163" s="149" t="str">
        <f aca="false">IF($J163="","",INDEX(LEDGER_ENGINE!$C$2:$C$546,$J163))</f>
        <v/>
      </c>
      <c r="C163" s="149" t="str">
        <f aca="false">IF($J163="","",INDEX(LEDGER_ENGINE!$D$2:$D$546,$J163))</f>
        <v/>
      </c>
      <c r="D163" s="149" t="str">
        <f aca="false">IF($J163="","",INDEX(LEDGER_ENGINE!$G$2:$G$546,$J163))</f>
        <v/>
      </c>
      <c r="E163" s="149" t="str">
        <f aca="false">IFERROR(IF($J163="","",INDEX(LEDGER_ENGINE!$H$2:$H$546,$J163)),"")</f>
        <v/>
      </c>
      <c r="F163" s="150" t="str">
        <f aca="false">IF($J163="","",INDEX(LEDGER_ENGINE!$I$2:$I$546,$J163))</f>
        <v/>
      </c>
      <c r="G163" s="150" t="str">
        <f aca="false">IF($J163="","",INDEX(LEDGER_ENGINE!$J$2:$J$546,$J163))</f>
        <v/>
      </c>
      <c r="H163" s="150" t="str">
        <f aca="false">IF($J163="","",INDEX(LEDGER_ENGINE!$L$2:$L$546,$J163))</f>
        <v/>
      </c>
      <c r="I163" s="150" t="str">
        <f aca="false">IF(A163="","",I162+H163)</f>
        <v/>
      </c>
      <c r="J163" s="101" t="str">
        <f aca="false">IFERROR(MATCH(LIBRI_I_MADH!$B$4&amp;"|"&amp;ROWS($A$6:A163),LEDGER_ENGINE!$U$2:$U$546,0),"")</f>
        <v/>
      </c>
    </row>
    <row r="164" customFormat="false" ht="15" hidden="false" customHeight="true" outlineLevel="0" collapsed="false">
      <c r="A164" s="148" t="str">
        <f aca="false">IF($J164="","",INDEX(LEDGER_ENGINE!$B$2:$B$546,$J164))</f>
        <v/>
      </c>
      <c r="B164" s="149" t="str">
        <f aca="false">IF($J164="","",INDEX(LEDGER_ENGINE!$C$2:$C$546,$J164))</f>
        <v/>
      </c>
      <c r="C164" s="149" t="str">
        <f aca="false">IF($J164="","",INDEX(LEDGER_ENGINE!$D$2:$D$546,$J164))</f>
        <v/>
      </c>
      <c r="D164" s="149" t="str">
        <f aca="false">IF($J164="","",INDEX(LEDGER_ENGINE!$G$2:$G$546,$J164))</f>
        <v/>
      </c>
      <c r="E164" s="149" t="str">
        <f aca="false">IFERROR(IF($J164="","",INDEX(LEDGER_ENGINE!$H$2:$H$546,$J164)),"")</f>
        <v/>
      </c>
      <c r="F164" s="150" t="str">
        <f aca="false">IF($J164="","",INDEX(LEDGER_ENGINE!$I$2:$I$546,$J164))</f>
        <v/>
      </c>
      <c r="G164" s="150" t="str">
        <f aca="false">IF($J164="","",INDEX(LEDGER_ENGINE!$J$2:$J$546,$J164))</f>
        <v/>
      </c>
      <c r="H164" s="150" t="str">
        <f aca="false">IF($J164="","",INDEX(LEDGER_ENGINE!$L$2:$L$546,$J164))</f>
        <v/>
      </c>
      <c r="I164" s="150" t="str">
        <f aca="false">IF(A164="","",I163+H164)</f>
        <v/>
      </c>
      <c r="J164" s="101" t="str">
        <f aca="false">IFERROR(MATCH(LIBRI_I_MADH!$B$4&amp;"|"&amp;ROWS($A$6:A164),LEDGER_ENGINE!$U$2:$U$546,0),"")</f>
        <v/>
      </c>
    </row>
    <row r="165" customFormat="false" ht="15" hidden="false" customHeight="true" outlineLevel="0" collapsed="false">
      <c r="A165" s="148" t="str">
        <f aca="false">IF($J165="","",INDEX(LEDGER_ENGINE!$B$2:$B$546,$J165))</f>
        <v/>
      </c>
      <c r="B165" s="149" t="str">
        <f aca="false">IF($J165="","",INDEX(LEDGER_ENGINE!$C$2:$C$546,$J165))</f>
        <v/>
      </c>
      <c r="C165" s="149" t="str">
        <f aca="false">IF($J165="","",INDEX(LEDGER_ENGINE!$D$2:$D$546,$J165))</f>
        <v/>
      </c>
      <c r="D165" s="149" t="str">
        <f aca="false">IF($J165="","",INDEX(LEDGER_ENGINE!$G$2:$G$546,$J165))</f>
        <v/>
      </c>
      <c r="E165" s="149" t="str">
        <f aca="false">IFERROR(IF($J165="","",INDEX(LEDGER_ENGINE!$H$2:$H$546,$J165)),"")</f>
        <v/>
      </c>
      <c r="F165" s="150" t="str">
        <f aca="false">IF($J165="","",INDEX(LEDGER_ENGINE!$I$2:$I$546,$J165))</f>
        <v/>
      </c>
      <c r="G165" s="150" t="str">
        <f aca="false">IF($J165="","",INDEX(LEDGER_ENGINE!$J$2:$J$546,$J165))</f>
        <v/>
      </c>
      <c r="H165" s="150" t="str">
        <f aca="false">IF($J165="","",INDEX(LEDGER_ENGINE!$L$2:$L$546,$J165))</f>
        <v/>
      </c>
      <c r="I165" s="150" t="str">
        <f aca="false">IF(A165="","",I164+H165)</f>
        <v/>
      </c>
      <c r="J165" s="101" t="str">
        <f aca="false">IFERROR(MATCH(LIBRI_I_MADH!$B$4&amp;"|"&amp;ROWS($A$6:A165),LEDGER_ENGINE!$U$2:$U$546,0),"")</f>
        <v/>
      </c>
    </row>
    <row r="166" customFormat="false" ht="15" hidden="false" customHeight="true" outlineLevel="0" collapsed="false">
      <c r="A166" s="148" t="str">
        <f aca="false">IF($J166="","",INDEX(LEDGER_ENGINE!$B$2:$B$546,$J166))</f>
        <v/>
      </c>
      <c r="B166" s="149" t="str">
        <f aca="false">IF($J166="","",INDEX(LEDGER_ENGINE!$C$2:$C$546,$J166))</f>
        <v/>
      </c>
      <c r="C166" s="149" t="str">
        <f aca="false">IF($J166="","",INDEX(LEDGER_ENGINE!$D$2:$D$546,$J166))</f>
        <v/>
      </c>
      <c r="D166" s="149" t="str">
        <f aca="false">IF($J166="","",INDEX(LEDGER_ENGINE!$G$2:$G$546,$J166))</f>
        <v/>
      </c>
      <c r="E166" s="149" t="str">
        <f aca="false">IFERROR(IF($J166="","",INDEX(LEDGER_ENGINE!$H$2:$H$546,$J166)),"")</f>
        <v/>
      </c>
      <c r="F166" s="150" t="str">
        <f aca="false">IF($J166="","",INDEX(LEDGER_ENGINE!$I$2:$I$546,$J166))</f>
        <v/>
      </c>
      <c r="G166" s="150" t="str">
        <f aca="false">IF($J166="","",INDEX(LEDGER_ENGINE!$J$2:$J$546,$J166))</f>
        <v/>
      </c>
      <c r="H166" s="150" t="str">
        <f aca="false">IF($J166="","",INDEX(LEDGER_ENGINE!$L$2:$L$546,$J166))</f>
        <v/>
      </c>
      <c r="I166" s="150" t="str">
        <f aca="false">IF(A166="","",I165+H166)</f>
        <v/>
      </c>
      <c r="J166" s="101" t="str">
        <f aca="false">IFERROR(MATCH(LIBRI_I_MADH!$B$4&amp;"|"&amp;ROWS($A$6:A166),LEDGER_ENGINE!$U$2:$U$546,0),"")</f>
        <v/>
      </c>
    </row>
    <row r="167" customFormat="false" ht="15" hidden="false" customHeight="true" outlineLevel="0" collapsed="false">
      <c r="A167" s="148" t="str">
        <f aca="false">IF($J167="","",INDEX(LEDGER_ENGINE!$B$2:$B$546,$J167))</f>
        <v/>
      </c>
      <c r="B167" s="149" t="str">
        <f aca="false">IF($J167="","",INDEX(LEDGER_ENGINE!$C$2:$C$546,$J167))</f>
        <v/>
      </c>
      <c r="C167" s="149" t="str">
        <f aca="false">IF($J167="","",INDEX(LEDGER_ENGINE!$D$2:$D$546,$J167))</f>
        <v/>
      </c>
      <c r="D167" s="149" t="str">
        <f aca="false">IF($J167="","",INDEX(LEDGER_ENGINE!$G$2:$G$546,$J167))</f>
        <v/>
      </c>
      <c r="E167" s="149" t="str">
        <f aca="false">IFERROR(IF($J167="","",INDEX(LEDGER_ENGINE!$H$2:$H$546,$J167)),"")</f>
        <v/>
      </c>
      <c r="F167" s="150" t="str">
        <f aca="false">IF($J167="","",INDEX(LEDGER_ENGINE!$I$2:$I$546,$J167))</f>
        <v/>
      </c>
      <c r="G167" s="150" t="str">
        <f aca="false">IF($J167="","",INDEX(LEDGER_ENGINE!$J$2:$J$546,$J167))</f>
        <v/>
      </c>
      <c r="H167" s="150" t="str">
        <f aca="false">IF($J167="","",INDEX(LEDGER_ENGINE!$L$2:$L$546,$J167))</f>
        <v/>
      </c>
      <c r="I167" s="150" t="str">
        <f aca="false">IF(A167="","",I166+H167)</f>
        <v/>
      </c>
      <c r="J167" s="101" t="str">
        <f aca="false">IFERROR(MATCH(LIBRI_I_MADH!$B$4&amp;"|"&amp;ROWS($A$6:A167),LEDGER_ENGINE!$U$2:$U$546,0),"")</f>
        <v/>
      </c>
    </row>
    <row r="168" customFormat="false" ht="15" hidden="false" customHeight="true" outlineLevel="0" collapsed="false">
      <c r="A168" s="148" t="str">
        <f aca="false">IF($J168="","",INDEX(LEDGER_ENGINE!$B$2:$B$546,$J168))</f>
        <v/>
      </c>
      <c r="B168" s="149" t="str">
        <f aca="false">IF($J168="","",INDEX(LEDGER_ENGINE!$C$2:$C$546,$J168))</f>
        <v/>
      </c>
      <c r="C168" s="149" t="str">
        <f aca="false">IF($J168="","",INDEX(LEDGER_ENGINE!$D$2:$D$546,$J168))</f>
        <v/>
      </c>
      <c r="D168" s="149" t="str">
        <f aca="false">IF($J168="","",INDEX(LEDGER_ENGINE!$G$2:$G$546,$J168))</f>
        <v/>
      </c>
      <c r="E168" s="149" t="str">
        <f aca="false">IFERROR(IF($J168="","",INDEX(LEDGER_ENGINE!$H$2:$H$546,$J168)),"")</f>
        <v/>
      </c>
      <c r="F168" s="150" t="str">
        <f aca="false">IF($J168="","",INDEX(LEDGER_ENGINE!$I$2:$I$546,$J168))</f>
        <v/>
      </c>
      <c r="G168" s="150" t="str">
        <f aca="false">IF($J168="","",INDEX(LEDGER_ENGINE!$J$2:$J$546,$J168))</f>
        <v/>
      </c>
      <c r="H168" s="150" t="str">
        <f aca="false">IF($J168="","",INDEX(LEDGER_ENGINE!$L$2:$L$546,$J168))</f>
        <v/>
      </c>
      <c r="I168" s="150" t="str">
        <f aca="false">IF(A168="","",I167+H168)</f>
        <v/>
      </c>
      <c r="J168" s="101" t="str">
        <f aca="false">IFERROR(MATCH(LIBRI_I_MADH!$B$4&amp;"|"&amp;ROWS($A$6:A168),LEDGER_ENGINE!$U$2:$U$546,0),"")</f>
        <v/>
      </c>
    </row>
    <row r="169" customFormat="false" ht="15" hidden="false" customHeight="true" outlineLevel="0" collapsed="false">
      <c r="A169" s="148" t="str">
        <f aca="false">IF($J169="","",INDEX(LEDGER_ENGINE!$B$2:$B$546,$J169))</f>
        <v/>
      </c>
      <c r="B169" s="149" t="str">
        <f aca="false">IF($J169="","",INDEX(LEDGER_ENGINE!$C$2:$C$546,$J169))</f>
        <v/>
      </c>
      <c r="C169" s="149" t="str">
        <f aca="false">IF($J169="","",INDEX(LEDGER_ENGINE!$D$2:$D$546,$J169))</f>
        <v/>
      </c>
      <c r="D169" s="149" t="str">
        <f aca="false">IF($J169="","",INDEX(LEDGER_ENGINE!$G$2:$G$546,$J169))</f>
        <v/>
      </c>
      <c r="E169" s="149" t="str">
        <f aca="false">IFERROR(IF($J169="","",INDEX(LEDGER_ENGINE!$H$2:$H$546,$J169)),"")</f>
        <v/>
      </c>
      <c r="F169" s="150" t="str">
        <f aca="false">IF($J169="","",INDEX(LEDGER_ENGINE!$I$2:$I$546,$J169))</f>
        <v/>
      </c>
      <c r="G169" s="150" t="str">
        <f aca="false">IF($J169="","",INDEX(LEDGER_ENGINE!$J$2:$J$546,$J169))</f>
        <v/>
      </c>
      <c r="H169" s="150" t="str">
        <f aca="false">IF($J169="","",INDEX(LEDGER_ENGINE!$L$2:$L$546,$J169))</f>
        <v/>
      </c>
      <c r="I169" s="150" t="str">
        <f aca="false">IF(A169="","",I168+H169)</f>
        <v/>
      </c>
      <c r="J169" s="101" t="str">
        <f aca="false">IFERROR(MATCH(LIBRI_I_MADH!$B$4&amp;"|"&amp;ROWS($A$6:A169),LEDGER_ENGINE!$U$2:$U$546,0),"")</f>
        <v/>
      </c>
    </row>
    <row r="170" customFormat="false" ht="15" hidden="false" customHeight="true" outlineLevel="0" collapsed="false">
      <c r="A170" s="148" t="str">
        <f aca="false">IF($J170="","",INDEX(LEDGER_ENGINE!$B$2:$B$546,$J170))</f>
        <v/>
      </c>
      <c r="B170" s="149" t="str">
        <f aca="false">IF($J170="","",INDEX(LEDGER_ENGINE!$C$2:$C$546,$J170))</f>
        <v/>
      </c>
      <c r="C170" s="149" t="str">
        <f aca="false">IF($J170="","",INDEX(LEDGER_ENGINE!$D$2:$D$546,$J170))</f>
        <v/>
      </c>
      <c r="D170" s="149" t="str">
        <f aca="false">IF($J170="","",INDEX(LEDGER_ENGINE!$G$2:$G$546,$J170))</f>
        <v/>
      </c>
      <c r="E170" s="149" t="str">
        <f aca="false">IFERROR(IF($J170="","",INDEX(LEDGER_ENGINE!$H$2:$H$546,$J170)),"")</f>
        <v/>
      </c>
      <c r="F170" s="150" t="str">
        <f aca="false">IF($J170="","",INDEX(LEDGER_ENGINE!$I$2:$I$546,$J170))</f>
        <v/>
      </c>
      <c r="G170" s="150" t="str">
        <f aca="false">IF($J170="","",INDEX(LEDGER_ENGINE!$J$2:$J$546,$J170))</f>
        <v/>
      </c>
      <c r="H170" s="150" t="str">
        <f aca="false">IF($J170="","",INDEX(LEDGER_ENGINE!$L$2:$L$546,$J170))</f>
        <v/>
      </c>
      <c r="I170" s="150" t="str">
        <f aca="false">IF(A170="","",I169+H170)</f>
        <v/>
      </c>
      <c r="J170" s="101" t="str">
        <f aca="false">IFERROR(MATCH(LIBRI_I_MADH!$B$4&amp;"|"&amp;ROWS($A$6:A170),LEDGER_ENGINE!$U$2:$U$546,0),"")</f>
        <v/>
      </c>
    </row>
    <row r="171" customFormat="false" ht="15" hidden="false" customHeight="true" outlineLevel="0" collapsed="false">
      <c r="A171" s="148" t="str">
        <f aca="false">IF($J171="","",INDEX(LEDGER_ENGINE!$B$2:$B$546,$J171))</f>
        <v/>
      </c>
      <c r="B171" s="149" t="str">
        <f aca="false">IF($J171="","",INDEX(LEDGER_ENGINE!$C$2:$C$546,$J171))</f>
        <v/>
      </c>
      <c r="C171" s="149" t="str">
        <f aca="false">IF($J171="","",INDEX(LEDGER_ENGINE!$D$2:$D$546,$J171))</f>
        <v/>
      </c>
      <c r="D171" s="149" t="str">
        <f aca="false">IF($J171="","",INDEX(LEDGER_ENGINE!$G$2:$G$546,$J171))</f>
        <v/>
      </c>
      <c r="E171" s="149" t="str">
        <f aca="false">IFERROR(IF($J171="","",INDEX(LEDGER_ENGINE!$H$2:$H$546,$J171)),"")</f>
        <v/>
      </c>
      <c r="F171" s="150" t="str">
        <f aca="false">IF($J171="","",INDEX(LEDGER_ENGINE!$I$2:$I$546,$J171))</f>
        <v/>
      </c>
      <c r="G171" s="150" t="str">
        <f aca="false">IF($J171="","",INDEX(LEDGER_ENGINE!$J$2:$J$546,$J171))</f>
        <v/>
      </c>
      <c r="H171" s="150" t="str">
        <f aca="false">IF($J171="","",INDEX(LEDGER_ENGINE!$L$2:$L$546,$J171))</f>
        <v/>
      </c>
      <c r="I171" s="150" t="str">
        <f aca="false">IF(A171="","",I170+H171)</f>
        <v/>
      </c>
      <c r="J171" s="101" t="str">
        <f aca="false">IFERROR(MATCH(LIBRI_I_MADH!$B$4&amp;"|"&amp;ROWS($A$6:A171),LEDGER_ENGINE!$U$2:$U$546,0),"")</f>
        <v/>
      </c>
    </row>
    <row r="172" customFormat="false" ht="15" hidden="false" customHeight="true" outlineLevel="0" collapsed="false">
      <c r="A172" s="148" t="str">
        <f aca="false">IF($J172="","",INDEX(LEDGER_ENGINE!$B$2:$B$546,$J172))</f>
        <v/>
      </c>
      <c r="B172" s="149" t="str">
        <f aca="false">IF($J172="","",INDEX(LEDGER_ENGINE!$C$2:$C$546,$J172))</f>
        <v/>
      </c>
      <c r="C172" s="149" t="str">
        <f aca="false">IF($J172="","",INDEX(LEDGER_ENGINE!$D$2:$D$546,$J172))</f>
        <v/>
      </c>
      <c r="D172" s="149" t="str">
        <f aca="false">IF($J172="","",INDEX(LEDGER_ENGINE!$G$2:$G$546,$J172))</f>
        <v/>
      </c>
      <c r="E172" s="149" t="str">
        <f aca="false">IFERROR(IF($J172="","",INDEX(LEDGER_ENGINE!$H$2:$H$546,$J172)),"")</f>
        <v/>
      </c>
      <c r="F172" s="150" t="str">
        <f aca="false">IF($J172="","",INDEX(LEDGER_ENGINE!$I$2:$I$546,$J172))</f>
        <v/>
      </c>
      <c r="G172" s="150" t="str">
        <f aca="false">IF($J172="","",INDEX(LEDGER_ENGINE!$J$2:$J$546,$J172))</f>
        <v/>
      </c>
      <c r="H172" s="150" t="str">
        <f aca="false">IF($J172="","",INDEX(LEDGER_ENGINE!$L$2:$L$546,$J172))</f>
        <v/>
      </c>
      <c r="I172" s="150" t="str">
        <f aca="false">IF(A172="","",I171+H172)</f>
        <v/>
      </c>
      <c r="J172" s="101" t="str">
        <f aca="false">IFERROR(MATCH(LIBRI_I_MADH!$B$4&amp;"|"&amp;ROWS($A$6:A172),LEDGER_ENGINE!$U$2:$U$546,0),"")</f>
        <v/>
      </c>
    </row>
    <row r="173" customFormat="false" ht="15" hidden="false" customHeight="true" outlineLevel="0" collapsed="false">
      <c r="A173" s="148" t="str">
        <f aca="false">IF($J173="","",INDEX(LEDGER_ENGINE!$B$2:$B$546,$J173))</f>
        <v/>
      </c>
      <c r="B173" s="149" t="str">
        <f aca="false">IF($J173="","",INDEX(LEDGER_ENGINE!$C$2:$C$546,$J173))</f>
        <v/>
      </c>
      <c r="C173" s="149" t="str">
        <f aca="false">IF($J173="","",INDEX(LEDGER_ENGINE!$D$2:$D$546,$J173))</f>
        <v/>
      </c>
      <c r="D173" s="149" t="str">
        <f aca="false">IF($J173="","",INDEX(LEDGER_ENGINE!$G$2:$G$546,$J173))</f>
        <v/>
      </c>
      <c r="E173" s="149" t="str">
        <f aca="false">IFERROR(IF($J173="","",INDEX(LEDGER_ENGINE!$H$2:$H$546,$J173)),"")</f>
        <v/>
      </c>
      <c r="F173" s="150" t="str">
        <f aca="false">IF($J173="","",INDEX(LEDGER_ENGINE!$I$2:$I$546,$J173))</f>
        <v/>
      </c>
      <c r="G173" s="150" t="str">
        <f aca="false">IF($J173="","",INDEX(LEDGER_ENGINE!$J$2:$J$546,$J173))</f>
        <v/>
      </c>
      <c r="H173" s="150" t="str">
        <f aca="false">IF($J173="","",INDEX(LEDGER_ENGINE!$L$2:$L$546,$J173))</f>
        <v/>
      </c>
      <c r="I173" s="150" t="str">
        <f aca="false">IF(A173="","",I172+H173)</f>
        <v/>
      </c>
      <c r="J173" s="101" t="str">
        <f aca="false">IFERROR(MATCH(LIBRI_I_MADH!$B$4&amp;"|"&amp;ROWS($A$6:A173),LEDGER_ENGINE!$U$2:$U$546,0),"")</f>
        <v/>
      </c>
    </row>
    <row r="174" customFormat="false" ht="15" hidden="false" customHeight="true" outlineLevel="0" collapsed="false">
      <c r="A174" s="148" t="str">
        <f aca="false">IF($J174="","",INDEX(LEDGER_ENGINE!$B$2:$B$546,$J174))</f>
        <v/>
      </c>
      <c r="B174" s="149" t="str">
        <f aca="false">IF($J174="","",INDEX(LEDGER_ENGINE!$C$2:$C$546,$J174))</f>
        <v/>
      </c>
      <c r="C174" s="149" t="str">
        <f aca="false">IF($J174="","",INDEX(LEDGER_ENGINE!$D$2:$D$546,$J174))</f>
        <v/>
      </c>
      <c r="D174" s="149" t="str">
        <f aca="false">IF($J174="","",INDEX(LEDGER_ENGINE!$G$2:$G$546,$J174))</f>
        <v/>
      </c>
      <c r="E174" s="149" t="str">
        <f aca="false">IFERROR(IF($J174="","",INDEX(LEDGER_ENGINE!$H$2:$H$546,$J174)),"")</f>
        <v/>
      </c>
      <c r="F174" s="150" t="str">
        <f aca="false">IF($J174="","",INDEX(LEDGER_ENGINE!$I$2:$I$546,$J174))</f>
        <v/>
      </c>
      <c r="G174" s="150" t="str">
        <f aca="false">IF($J174="","",INDEX(LEDGER_ENGINE!$J$2:$J$546,$J174))</f>
        <v/>
      </c>
      <c r="H174" s="150" t="str">
        <f aca="false">IF($J174="","",INDEX(LEDGER_ENGINE!$L$2:$L$546,$J174))</f>
        <v/>
      </c>
      <c r="I174" s="150" t="str">
        <f aca="false">IF(A174="","",I173+H174)</f>
        <v/>
      </c>
      <c r="J174" s="101" t="str">
        <f aca="false">IFERROR(MATCH(LIBRI_I_MADH!$B$4&amp;"|"&amp;ROWS($A$6:A174),LEDGER_ENGINE!$U$2:$U$546,0),"")</f>
        <v/>
      </c>
    </row>
    <row r="175" customFormat="false" ht="15" hidden="false" customHeight="true" outlineLevel="0" collapsed="false">
      <c r="A175" s="148" t="str">
        <f aca="false">IF($J175="","",INDEX(LEDGER_ENGINE!$B$2:$B$546,$J175))</f>
        <v/>
      </c>
      <c r="B175" s="149" t="str">
        <f aca="false">IF($J175="","",INDEX(LEDGER_ENGINE!$C$2:$C$546,$J175))</f>
        <v/>
      </c>
      <c r="C175" s="149" t="str">
        <f aca="false">IF($J175="","",INDEX(LEDGER_ENGINE!$D$2:$D$546,$J175))</f>
        <v/>
      </c>
      <c r="D175" s="149" t="str">
        <f aca="false">IF($J175="","",INDEX(LEDGER_ENGINE!$G$2:$G$546,$J175))</f>
        <v/>
      </c>
      <c r="E175" s="149" t="str">
        <f aca="false">IFERROR(IF($J175="","",INDEX(LEDGER_ENGINE!$H$2:$H$546,$J175)),"")</f>
        <v/>
      </c>
      <c r="F175" s="150" t="str">
        <f aca="false">IF($J175="","",INDEX(LEDGER_ENGINE!$I$2:$I$546,$J175))</f>
        <v/>
      </c>
      <c r="G175" s="150" t="str">
        <f aca="false">IF($J175="","",INDEX(LEDGER_ENGINE!$J$2:$J$546,$J175))</f>
        <v/>
      </c>
      <c r="H175" s="150" t="str">
        <f aca="false">IF($J175="","",INDEX(LEDGER_ENGINE!$L$2:$L$546,$J175))</f>
        <v/>
      </c>
      <c r="I175" s="150" t="str">
        <f aca="false">IF(A175="","",I174+H175)</f>
        <v/>
      </c>
      <c r="J175" s="101" t="str">
        <f aca="false">IFERROR(MATCH(LIBRI_I_MADH!$B$4&amp;"|"&amp;ROWS($A$6:A175),LEDGER_ENGINE!$U$2:$U$546,0),"")</f>
        <v/>
      </c>
    </row>
    <row r="176" customFormat="false" ht="15" hidden="false" customHeight="true" outlineLevel="0" collapsed="false">
      <c r="A176" s="148" t="str">
        <f aca="false">IF($J176="","",INDEX(LEDGER_ENGINE!$B$2:$B$546,$J176))</f>
        <v/>
      </c>
      <c r="B176" s="149" t="str">
        <f aca="false">IF($J176="","",INDEX(LEDGER_ENGINE!$C$2:$C$546,$J176))</f>
        <v/>
      </c>
      <c r="C176" s="149" t="str">
        <f aca="false">IF($J176="","",INDEX(LEDGER_ENGINE!$D$2:$D$546,$J176))</f>
        <v/>
      </c>
      <c r="D176" s="149" t="str">
        <f aca="false">IF($J176="","",INDEX(LEDGER_ENGINE!$G$2:$G$546,$J176))</f>
        <v/>
      </c>
      <c r="E176" s="149" t="str">
        <f aca="false">IFERROR(IF($J176="","",INDEX(LEDGER_ENGINE!$H$2:$H$546,$J176)),"")</f>
        <v/>
      </c>
      <c r="F176" s="150" t="str">
        <f aca="false">IF($J176="","",INDEX(LEDGER_ENGINE!$I$2:$I$546,$J176))</f>
        <v/>
      </c>
      <c r="G176" s="150" t="str">
        <f aca="false">IF($J176="","",INDEX(LEDGER_ENGINE!$J$2:$J$546,$J176))</f>
        <v/>
      </c>
      <c r="H176" s="150" t="str">
        <f aca="false">IF($J176="","",INDEX(LEDGER_ENGINE!$L$2:$L$546,$J176))</f>
        <v/>
      </c>
      <c r="I176" s="150" t="str">
        <f aca="false">IF(A176="","",I175+H176)</f>
        <v/>
      </c>
      <c r="J176" s="101" t="str">
        <f aca="false">IFERROR(MATCH(LIBRI_I_MADH!$B$4&amp;"|"&amp;ROWS($A$6:A176),LEDGER_ENGINE!$U$2:$U$546,0),"")</f>
        <v/>
      </c>
    </row>
    <row r="177" customFormat="false" ht="15" hidden="false" customHeight="true" outlineLevel="0" collapsed="false">
      <c r="A177" s="148" t="str">
        <f aca="false">IF($J177="","",INDEX(LEDGER_ENGINE!$B$2:$B$546,$J177))</f>
        <v/>
      </c>
      <c r="B177" s="149" t="str">
        <f aca="false">IF($J177="","",INDEX(LEDGER_ENGINE!$C$2:$C$546,$J177))</f>
        <v/>
      </c>
      <c r="C177" s="149" t="str">
        <f aca="false">IF($J177="","",INDEX(LEDGER_ENGINE!$D$2:$D$546,$J177))</f>
        <v/>
      </c>
      <c r="D177" s="149" t="str">
        <f aca="false">IF($J177="","",INDEX(LEDGER_ENGINE!$G$2:$G$546,$J177))</f>
        <v/>
      </c>
      <c r="E177" s="149" t="str">
        <f aca="false">IFERROR(IF($J177="","",INDEX(LEDGER_ENGINE!$H$2:$H$546,$J177)),"")</f>
        <v/>
      </c>
      <c r="F177" s="150" t="str">
        <f aca="false">IF($J177="","",INDEX(LEDGER_ENGINE!$I$2:$I$546,$J177))</f>
        <v/>
      </c>
      <c r="G177" s="150" t="str">
        <f aca="false">IF($J177="","",INDEX(LEDGER_ENGINE!$J$2:$J$546,$J177))</f>
        <v/>
      </c>
      <c r="H177" s="150" t="str">
        <f aca="false">IF($J177="","",INDEX(LEDGER_ENGINE!$L$2:$L$546,$J177))</f>
        <v/>
      </c>
      <c r="I177" s="150" t="str">
        <f aca="false">IF(A177="","",I176+H177)</f>
        <v/>
      </c>
      <c r="J177" s="101" t="str">
        <f aca="false">IFERROR(MATCH(LIBRI_I_MADH!$B$4&amp;"|"&amp;ROWS($A$6:A177),LEDGER_ENGINE!$U$2:$U$546,0),"")</f>
        <v/>
      </c>
    </row>
    <row r="178" customFormat="false" ht="15" hidden="false" customHeight="true" outlineLevel="0" collapsed="false">
      <c r="A178" s="148" t="str">
        <f aca="false">IF($J178="","",INDEX(LEDGER_ENGINE!$B$2:$B$546,$J178))</f>
        <v/>
      </c>
      <c r="B178" s="149" t="str">
        <f aca="false">IF($J178="","",INDEX(LEDGER_ENGINE!$C$2:$C$546,$J178))</f>
        <v/>
      </c>
      <c r="C178" s="149" t="str">
        <f aca="false">IF($J178="","",INDEX(LEDGER_ENGINE!$D$2:$D$546,$J178))</f>
        <v/>
      </c>
      <c r="D178" s="149" t="str">
        <f aca="false">IF($J178="","",INDEX(LEDGER_ENGINE!$G$2:$G$546,$J178))</f>
        <v/>
      </c>
      <c r="E178" s="149" t="str">
        <f aca="false">IFERROR(IF($J178="","",INDEX(LEDGER_ENGINE!$H$2:$H$546,$J178)),"")</f>
        <v/>
      </c>
      <c r="F178" s="150" t="str">
        <f aca="false">IF($J178="","",INDEX(LEDGER_ENGINE!$I$2:$I$546,$J178))</f>
        <v/>
      </c>
      <c r="G178" s="150" t="str">
        <f aca="false">IF($J178="","",INDEX(LEDGER_ENGINE!$J$2:$J$546,$J178))</f>
        <v/>
      </c>
      <c r="H178" s="150" t="str">
        <f aca="false">IF($J178="","",INDEX(LEDGER_ENGINE!$L$2:$L$546,$J178))</f>
        <v/>
      </c>
      <c r="I178" s="150" t="str">
        <f aca="false">IF(A178="","",I177+H178)</f>
        <v/>
      </c>
      <c r="J178" s="101" t="str">
        <f aca="false">IFERROR(MATCH(LIBRI_I_MADH!$B$4&amp;"|"&amp;ROWS($A$6:A178),LEDGER_ENGINE!$U$2:$U$546,0),"")</f>
        <v/>
      </c>
    </row>
    <row r="179" customFormat="false" ht="15" hidden="false" customHeight="true" outlineLevel="0" collapsed="false">
      <c r="A179" s="148" t="str">
        <f aca="false">IF($J179="","",INDEX(LEDGER_ENGINE!$B$2:$B$546,$J179))</f>
        <v/>
      </c>
      <c r="B179" s="149" t="str">
        <f aca="false">IF($J179="","",INDEX(LEDGER_ENGINE!$C$2:$C$546,$J179))</f>
        <v/>
      </c>
      <c r="C179" s="149" t="str">
        <f aca="false">IF($J179="","",INDEX(LEDGER_ENGINE!$D$2:$D$546,$J179))</f>
        <v/>
      </c>
      <c r="D179" s="149" t="str">
        <f aca="false">IF($J179="","",INDEX(LEDGER_ENGINE!$G$2:$G$546,$J179))</f>
        <v/>
      </c>
      <c r="E179" s="149" t="str">
        <f aca="false">IFERROR(IF($J179="","",INDEX(LEDGER_ENGINE!$H$2:$H$546,$J179)),"")</f>
        <v/>
      </c>
      <c r="F179" s="150" t="str">
        <f aca="false">IF($J179="","",INDEX(LEDGER_ENGINE!$I$2:$I$546,$J179))</f>
        <v/>
      </c>
      <c r="G179" s="150" t="str">
        <f aca="false">IF($J179="","",INDEX(LEDGER_ENGINE!$J$2:$J$546,$J179))</f>
        <v/>
      </c>
      <c r="H179" s="150" t="str">
        <f aca="false">IF($J179="","",INDEX(LEDGER_ENGINE!$L$2:$L$546,$J179))</f>
        <v/>
      </c>
      <c r="I179" s="150" t="str">
        <f aca="false">IF(A179="","",I178+H179)</f>
        <v/>
      </c>
      <c r="J179" s="101" t="str">
        <f aca="false">IFERROR(MATCH(LIBRI_I_MADH!$B$4&amp;"|"&amp;ROWS($A$6:A179),LEDGER_ENGINE!$U$2:$U$546,0),"")</f>
        <v/>
      </c>
    </row>
    <row r="180" customFormat="false" ht="15" hidden="false" customHeight="true" outlineLevel="0" collapsed="false">
      <c r="A180" s="148" t="str">
        <f aca="false">IF($J180="","",INDEX(LEDGER_ENGINE!$B$2:$B$546,$J180))</f>
        <v/>
      </c>
      <c r="B180" s="149" t="str">
        <f aca="false">IF($J180="","",INDEX(LEDGER_ENGINE!$C$2:$C$546,$J180))</f>
        <v/>
      </c>
      <c r="C180" s="149" t="str">
        <f aca="false">IF($J180="","",INDEX(LEDGER_ENGINE!$D$2:$D$546,$J180))</f>
        <v/>
      </c>
      <c r="D180" s="149" t="str">
        <f aca="false">IF($J180="","",INDEX(LEDGER_ENGINE!$G$2:$G$546,$J180))</f>
        <v/>
      </c>
      <c r="E180" s="149" t="str">
        <f aca="false">IFERROR(IF($J180="","",INDEX(LEDGER_ENGINE!$H$2:$H$546,$J180)),"")</f>
        <v/>
      </c>
      <c r="F180" s="150" t="str">
        <f aca="false">IF($J180="","",INDEX(LEDGER_ENGINE!$I$2:$I$546,$J180))</f>
        <v/>
      </c>
      <c r="G180" s="150" t="str">
        <f aca="false">IF($J180="","",INDEX(LEDGER_ENGINE!$J$2:$J$546,$J180))</f>
        <v/>
      </c>
      <c r="H180" s="150" t="str">
        <f aca="false">IF($J180="","",INDEX(LEDGER_ENGINE!$L$2:$L$546,$J180))</f>
        <v/>
      </c>
      <c r="I180" s="150" t="str">
        <f aca="false">IF(A180="","",I179+H180)</f>
        <v/>
      </c>
      <c r="J180" s="101" t="str">
        <f aca="false">IFERROR(MATCH(LIBRI_I_MADH!$B$4&amp;"|"&amp;ROWS($A$6:A180),LEDGER_ENGINE!$U$2:$U$546,0),"")</f>
        <v/>
      </c>
    </row>
    <row r="181" customFormat="false" ht="15" hidden="false" customHeight="true" outlineLevel="0" collapsed="false">
      <c r="A181" s="148" t="str">
        <f aca="false">IF($J181="","",INDEX(LEDGER_ENGINE!$B$2:$B$546,$J181))</f>
        <v/>
      </c>
      <c r="B181" s="149" t="str">
        <f aca="false">IF($J181="","",INDEX(LEDGER_ENGINE!$C$2:$C$546,$J181))</f>
        <v/>
      </c>
      <c r="C181" s="149" t="str">
        <f aca="false">IF($J181="","",INDEX(LEDGER_ENGINE!$D$2:$D$546,$J181))</f>
        <v/>
      </c>
      <c r="D181" s="149" t="str">
        <f aca="false">IF($J181="","",INDEX(LEDGER_ENGINE!$G$2:$G$546,$J181))</f>
        <v/>
      </c>
      <c r="E181" s="149" t="str">
        <f aca="false">IFERROR(IF($J181="","",INDEX(LEDGER_ENGINE!$H$2:$H$546,$J181)),"")</f>
        <v/>
      </c>
      <c r="F181" s="150" t="str">
        <f aca="false">IF($J181="","",INDEX(LEDGER_ENGINE!$I$2:$I$546,$J181))</f>
        <v/>
      </c>
      <c r="G181" s="150" t="str">
        <f aca="false">IF($J181="","",INDEX(LEDGER_ENGINE!$J$2:$J$546,$J181))</f>
        <v/>
      </c>
      <c r="H181" s="150" t="str">
        <f aca="false">IF($J181="","",INDEX(LEDGER_ENGINE!$L$2:$L$546,$J181))</f>
        <v/>
      </c>
      <c r="I181" s="150" t="str">
        <f aca="false">IF(A181="","",I180+H181)</f>
        <v/>
      </c>
      <c r="J181" s="101" t="str">
        <f aca="false">IFERROR(MATCH(LIBRI_I_MADH!$B$4&amp;"|"&amp;ROWS($A$6:A181),LEDGER_ENGINE!$U$2:$U$546,0),"")</f>
        <v/>
      </c>
    </row>
    <row r="182" customFormat="false" ht="15" hidden="false" customHeight="true" outlineLevel="0" collapsed="false">
      <c r="A182" s="148" t="str">
        <f aca="false">IF($J182="","",INDEX(LEDGER_ENGINE!$B$2:$B$546,$J182))</f>
        <v/>
      </c>
      <c r="B182" s="149" t="str">
        <f aca="false">IF($J182="","",INDEX(LEDGER_ENGINE!$C$2:$C$546,$J182))</f>
        <v/>
      </c>
      <c r="C182" s="149" t="str">
        <f aca="false">IF($J182="","",INDEX(LEDGER_ENGINE!$D$2:$D$546,$J182))</f>
        <v/>
      </c>
      <c r="D182" s="149" t="str">
        <f aca="false">IF($J182="","",INDEX(LEDGER_ENGINE!$G$2:$G$546,$J182))</f>
        <v/>
      </c>
      <c r="E182" s="149" t="str">
        <f aca="false">IFERROR(IF($J182="","",INDEX(LEDGER_ENGINE!$H$2:$H$546,$J182)),"")</f>
        <v/>
      </c>
      <c r="F182" s="150" t="str">
        <f aca="false">IF($J182="","",INDEX(LEDGER_ENGINE!$I$2:$I$546,$J182))</f>
        <v/>
      </c>
      <c r="G182" s="150" t="str">
        <f aca="false">IF($J182="","",INDEX(LEDGER_ENGINE!$J$2:$J$546,$J182))</f>
        <v/>
      </c>
      <c r="H182" s="150" t="str">
        <f aca="false">IF($J182="","",INDEX(LEDGER_ENGINE!$L$2:$L$546,$J182))</f>
        <v/>
      </c>
      <c r="I182" s="150" t="str">
        <f aca="false">IF(A182="","",I181+H182)</f>
        <v/>
      </c>
      <c r="J182" s="101" t="str">
        <f aca="false">IFERROR(MATCH(LIBRI_I_MADH!$B$4&amp;"|"&amp;ROWS($A$6:A182),LEDGER_ENGINE!$U$2:$U$546,0),"")</f>
        <v/>
      </c>
    </row>
    <row r="183" customFormat="false" ht="15" hidden="false" customHeight="true" outlineLevel="0" collapsed="false">
      <c r="A183" s="148" t="str">
        <f aca="false">IF($J183="","",INDEX(LEDGER_ENGINE!$B$2:$B$546,$J183))</f>
        <v/>
      </c>
      <c r="B183" s="149" t="str">
        <f aca="false">IF($J183="","",INDEX(LEDGER_ENGINE!$C$2:$C$546,$J183))</f>
        <v/>
      </c>
      <c r="C183" s="149" t="str">
        <f aca="false">IF($J183="","",INDEX(LEDGER_ENGINE!$D$2:$D$546,$J183))</f>
        <v/>
      </c>
      <c r="D183" s="149" t="str">
        <f aca="false">IF($J183="","",INDEX(LEDGER_ENGINE!$G$2:$G$546,$J183))</f>
        <v/>
      </c>
      <c r="E183" s="149" t="str">
        <f aca="false">IFERROR(IF($J183="","",INDEX(LEDGER_ENGINE!$H$2:$H$546,$J183)),"")</f>
        <v/>
      </c>
      <c r="F183" s="150" t="str">
        <f aca="false">IF($J183="","",INDEX(LEDGER_ENGINE!$I$2:$I$546,$J183))</f>
        <v/>
      </c>
      <c r="G183" s="150" t="str">
        <f aca="false">IF($J183="","",INDEX(LEDGER_ENGINE!$J$2:$J$546,$J183))</f>
        <v/>
      </c>
      <c r="H183" s="150" t="str">
        <f aca="false">IF($J183="","",INDEX(LEDGER_ENGINE!$L$2:$L$546,$J183))</f>
        <v/>
      </c>
      <c r="I183" s="150" t="str">
        <f aca="false">IF(A183="","",I182+H183)</f>
        <v/>
      </c>
      <c r="J183" s="101" t="str">
        <f aca="false">IFERROR(MATCH(LIBRI_I_MADH!$B$4&amp;"|"&amp;ROWS($A$6:A183),LEDGER_ENGINE!$U$2:$U$546,0),"")</f>
        <v/>
      </c>
    </row>
    <row r="184" customFormat="false" ht="15" hidden="false" customHeight="true" outlineLevel="0" collapsed="false">
      <c r="A184" s="148" t="str">
        <f aca="false">IF($J184="","",INDEX(LEDGER_ENGINE!$B$2:$B$546,$J184))</f>
        <v/>
      </c>
      <c r="B184" s="149" t="str">
        <f aca="false">IF($J184="","",INDEX(LEDGER_ENGINE!$C$2:$C$546,$J184))</f>
        <v/>
      </c>
      <c r="C184" s="149" t="str">
        <f aca="false">IF($J184="","",INDEX(LEDGER_ENGINE!$D$2:$D$546,$J184))</f>
        <v/>
      </c>
      <c r="D184" s="149" t="str">
        <f aca="false">IF($J184="","",INDEX(LEDGER_ENGINE!$G$2:$G$546,$J184))</f>
        <v/>
      </c>
      <c r="E184" s="149" t="str">
        <f aca="false">IFERROR(IF($J184="","",INDEX(LEDGER_ENGINE!$H$2:$H$546,$J184)),"")</f>
        <v/>
      </c>
      <c r="F184" s="150" t="str">
        <f aca="false">IF($J184="","",INDEX(LEDGER_ENGINE!$I$2:$I$546,$J184))</f>
        <v/>
      </c>
      <c r="G184" s="150" t="str">
        <f aca="false">IF($J184="","",INDEX(LEDGER_ENGINE!$J$2:$J$546,$J184))</f>
        <v/>
      </c>
      <c r="H184" s="150" t="str">
        <f aca="false">IF($J184="","",INDEX(LEDGER_ENGINE!$L$2:$L$546,$J184))</f>
        <v/>
      </c>
      <c r="I184" s="150" t="str">
        <f aca="false">IF(A184="","",I183+H184)</f>
        <v/>
      </c>
      <c r="J184" s="101" t="str">
        <f aca="false">IFERROR(MATCH(LIBRI_I_MADH!$B$4&amp;"|"&amp;ROWS($A$6:A184),LEDGER_ENGINE!$U$2:$U$546,0),"")</f>
        <v/>
      </c>
    </row>
    <row r="185" customFormat="false" ht="15" hidden="false" customHeight="true" outlineLevel="0" collapsed="false">
      <c r="A185" s="148" t="str">
        <f aca="false">IF($J185="","",INDEX(LEDGER_ENGINE!$B$2:$B$546,$J185))</f>
        <v/>
      </c>
      <c r="B185" s="149" t="str">
        <f aca="false">IF($J185="","",INDEX(LEDGER_ENGINE!$C$2:$C$546,$J185))</f>
        <v/>
      </c>
      <c r="C185" s="149" t="str">
        <f aca="false">IF($J185="","",INDEX(LEDGER_ENGINE!$D$2:$D$546,$J185))</f>
        <v/>
      </c>
      <c r="D185" s="149" t="str">
        <f aca="false">IF($J185="","",INDEX(LEDGER_ENGINE!$G$2:$G$546,$J185))</f>
        <v/>
      </c>
      <c r="E185" s="149" t="str">
        <f aca="false">IFERROR(IF($J185="","",INDEX(LEDGER_ENGINE!$H$2:$H$546,$J185)),"")</f>
        <v/>
      </c>
      <c r="F185" s="150" t="str">
        <f aca="false">IF($J185="","",INDEX(LEDGER_ENGINE!$I$2:$I$546,$J185))</f>
        <v/>
      </c>
      <c r="G185" s="150" t="str">
        <f aca="false">IF($J185="","",INDEX(LEDGER_ENGINE!$J$2:$J$546,$J185))</f>
        <v/>
      </c>
      <c r="H185" s="150" t="str">
        <f aca="false">IF($J185="","",INDEX(LEDGER_ENGINE!$L$2:$L$546,$J185))</f>
        <v/>
      </c>
      <c r="I185" s="150" t="str">
        <f aca="false">IF(A185="","",I184+H185)</f>
        <v/>
      </c>
      <c r="J185" s="101" t="str">
        <f aca="false">IFERROR(MATCH(LIBRI_I_MADH!$B$4&amp;"|"&amp;ROWS($A$6:A185),LEDGER_ENGINE!$U$2:$U$546,0),"")</f>
        <v/>
      </c>
    </row>
    <row r="186" customFormat="false" ht="15" hidden="false" customHeight="true" outlineLevel="0" collapsed="false">
      <c r="A186" s="148" t="str">
        <f aca="false">IF($J186="","",INDEX(LEDGER_ENGINE!$B$2:$B$546,$J186))</f>
        <v/>
      </c>
      <c r="B186" s="149" t="str">
        <f aca="false">IF($J186="","",INDEX(LEDGER_ENGINE!$C$2:$C$546,$J186))</f>
        <v/>
      </c>
      <c r="C186" s="149" t="str">
        <f aca="false">IF($J186="","",INDEX(LEDGER_ENGINE!$D$2:$D$546,$J186))</f>
        <v/>
      </c>
      <c r="D186" s="149" t="str">
        <f aca="false">IF($J186="","",INDEX(LEDGER_ENGINE!$G$2:$G$546,$J186))</f>
        <v/>
      </c>
      <c r="E186" s="149" t="str">
        <f aca="false">IFERROR(IF($J186="","",INDEX(LEDGER_ENGINE!$H$2:$H$546,$J186)),"")</f>
        <v/>
      </c>
      <c r="F186" s="150" t="str">
        <f aca="false">IF($J186="","",INDEX(LEDGER_ENGINE!$I$2:$I$546,$J186))</f>
        <v/>
      </c>
      <c r="G186" s="150" t="str">
        <f aca="false">IF($J186="","",INDEX(LEDGER_ENGINE!$J$2:$J$546,$J186))</f>
        <v/>
      </c>
      <c r="H186" s="150" t="str">
        <f aca="false">IF($J186="","",INDEX(LEDGER_ENGINE!$L$2:$L$546,$J186))</f>
        <v/>
      </c>
      <c r="I186" s="150" t="str">
        <f aca="false">IF(A186="","",I185+H186)</f>
        <v/>
      </c>
      <c r="J186" s="101" t="str">
        <f aca="false">IFERROR(MATCH(LIBRI_I_MADH!$B$4&amp;"|"&amp;ROWS($A$6:A186),LEDGER_ENGINE!$U$2:$U$546,0),"")</f>
        <v/>
      </c>
    </row>
    <row r="187" customFormat="false" ht="15" hidden="false" customHeight="true" outlineLevel="0" collapsed="false">
      <c r="A187" s="148" t="str">
        <f aca="false">IF($J187="","",INDEX(LEDGER_ENGINE!$B$2:$B$546,$J187))</f>
        <v/>
      </c>
      <c r="B187" s="149" t="str">
        <f aca="false">IF($J187="","",INDEX(LEDGER_ENGINE!$C$2:$C$546,$J187))</f>
        <v/>
      </c>
      <c r="C187" s="149" t="str">
        <f aca="false">IF($J187="","",INDEX(LEDGER_ENGINE!$D$2:$D$546,$J187))</f>
        <v/>
      </c>
      <c r="D187" s="149" t="str">
        <f aca="false">IF($J187="","",INDEX(LEDGER_ENGINE!$G$2:$G$546,$J187))</f>
        <v/>
      </c>
      <c r="E187" s="149" t="str">
        <f aca="false">IFERROR(IF($J187="","",INDEX(LEDGER_ENGINE!$H$2:$H$546,$J187)),"")</f>
        <v/>
      </c>
      <c r="F187" s="150" t="str">
        <f aca="false">IF($J187="","",INDEX(LEDGER_ENGINE!$I$2:$I$546,$J187))</f>
        <v/>
      </c>
      <c r="G187" s="150" t="str">
        <f aca="false">IF($J187="","",INDEX(LEDGER_ENGINE!$J$2:$J$546,$J187))</f>
        <v/>
      </c>
      <c r="H187" s="150" t="str">
        <f aca="false">IF($J187="","",INDEX(LEDGER_ENGINE!$L$2:$L$546,$J187))</f>
        <v/>
      </c>
      <c r="I187" s="150" t="str">
        <f aca="false">IF(A187="","",I186+H187)</f>
        <v/>
      </c>
      <c r="J187" s="101" t="str">
        <f aca="false">IFERROR(MATCH(LIBRI_I_MADH!$B$4&amp;"|"&amp;ROWS($A$6:A187),LEDGER_ENGINE!$U$2:$U$546,0),"")</f>
        <v/>
      </c>
    </row>
    <row r="188" customFormat="false" ht="15" hidden="false" customHeight="true" outlineLevel="0" collapsed="false">
      <c r="A188" s="148" t="str">
        <f aca="false">IF($J188="","",INDEX(LEDGER_ENGINE!$B$2:$B$546,$J188))</f>
        <v/>
      </c>
      <c r="B188" s="149" t="str">
        <f aca="false">IF($J188="","",INDEX(LEDGER_ENGINE!$C$2:$C$546,$J188))</f>
        <v/>
      </c>
      <c r="C188" s="149" t="str">
        <f aca="false">IF($J188="","",INDEX(LEDGER_ENGINE!$D$2:$D$546,$J188))</f>
        <v/>
      </c>
      <c r="D188" s="149" t="str">
        <f aca="false">IF($J188="","",INDEX(LEDGER_ENGINE!$G$2:$G$546,$J188))</f>
        <v/>
      </c>
      <c r="E188" s="149" t="str">
        <f aca="false">IFERROR(IF($J188="","",INDEX(LEDGER_ENGINE!$H$2:$H$546,$J188)),"")</f>
        <v/>
      </c>
      <c r="F188" s="150" t="str">
        <f aca="false">IF($J188="","",INDEX(LEDGER_ENGINE!$I$2:$I$546,$J188))</f>
        <v/>
      </c>
      <c r="G188" s="150" t="str">
        <f aca="false">IF($J188="","",INDEX(LEDGER_ENGINE!$J$2:$J$546,$J188))</f>
        <v/>
      </c>
      <c r="H188" s="150" t="str">
        <f aca="false">IF($J188="","",INDEX(LEDGER_ENGINE!$L$2:$L$546,$J188))</f>
        <v/>
      </c>
      <c r="I188" s="150" t="str">
        <f aca="false">IF(A188="","",I187+H188)</f>
        <v/>
      </c>
      <c r="J188" s="101" t="str">
        <f aca="false">IFERROR(MATCH(LIBRI_I_MADH!$B$4&amp;"|"&amp;ROWS($A$6:A188),LEDGER_ENGINE!$U$2:$U$546,0),"")</f>
        <v/>
      </c>
    </row>
    <row r="189" customFormat="false" ht="15" hidden="false" customHeight="true" outlineLevel="0" collapsed="false">
      <c r="A189" s="148" t="str">
        <f aca="false">IF($J189="","",INDEX(LEDGER_ENGINE!$B$2:$B$546,$J189))</f>
        <v/>
      </c>
      <c r="B189" s="149" t="str">
        <f aca="false">IF($J189="","",INDEX(LEDGER_ENGINE!$C$2:$C$546,$J189))</f>
        <v/>
      </c>
      <c r="C189" s="149" t="str">
        <f aca="false">IF($J189="","",INDEX(LEDGER_ENGINE!$D$2:$D$546,$J189))</f>
        <v/>
      </c>
      <c r="D189" s="149" t="str">
        <f aca="false">IF($J189="","",INDEX(LEDGER_ENGINE!$G$2:$G$546,$J189))</f>
        <v/>
      </c>
      <c r="E189" s="149" t="str">
        <f aca="false">IFERROR(IF($J189="","",INDEX(LEDGER_ENGINE!$H$2:$H$546,$J189)),"")</f>
        <v/>
      </c>
      <c r="F189" s="150" t="str">
        <f aca="false">IF($J189="","",INDEX(LEDGER_ENGINE!$I$2:$I$546,$J189))</f>
        <v/>
      </c>
      <c r="G189" s="150" t="str">
        <f aca="false">IF($J189="","",INDEX(LEDGER_ENGINE!$J$2:$J$546,$J189))</f>
        <v/>
      </c>
      <c r="H189" s="150" t="str">
        <f aca="false">IF($J189="","",INDEX(LEDGER_ENGINE!$L$2:$L$546,$J189))</f>
        <v/>
      </c>
      <c r="I189" s="150" t="str">
        <f aca="false">IF(A189="","",I188+H189)</f>
        <v/>
      </c>
      <c r="J189" s="101" t="str">
        <f aca="false">IFERROR(MATCH(LIBRI_I_MADH!$B$4&amp;"|"&amp;ROWS($A$6:A189),LEDGER_ENGINE!$U$2:$U$546,0),"")</f>
        <v/>
      </c>
    </row>
    <row r="190" customFormat="false" ht="15" hidden="false" customHeight="true" outlineLevel="0" collapsed="false">
      <c r="A190" s="148" t="str">
        <f aca="false">IF($J190="","",INDEX(LEDGER_ENGINE!$B$2:$B$546,$J190))</f>
        <v/>
      </c>
      <c r="B190" s="149" t="str">
        <f aca="false">IF($J190="","",INDEX(LEDGER_ENGINE!$C$2:$C$546,$J190))</f>
        <v/>
      </c>
      <c r="C190" s="149" t="str">
        <f aca="false">IF($J190="","",INDEX(LEDGER_ENGINE!$D$2:$D$546,$J190))</f>
        <v/>
      </c>
      <c r="D190" s="149" t="str">
        <f aca="false">IF($J190="","",INDEX(LEDGER_ENGINE!$G$2:$G$546,$J190))</f>
        <v/>
      </c>
      <c r="E190" s="149" t="str">
        <f aca="false">IFERROR(IF($J190="","",INDEX(LEDGER_ENGINE!$H$2:$H$546,$J190)),"")</f>
        <v/>
      </c>
      <c r="F190" s="150" t="str">
        <f aca="false">IF($J190="","",INDEX(LEDGER_ENGINE!$I$2:$I$546,$J190))</f>
        <v/>
      </c>
      <c r="G190" s="150" t="str">
        <f aca="false">IF($J190="","",INDEX(LEDGER_ENGINE!$J$2:$J$546,$J190))</f>
        <v/>
      </c>
      <c r="H190" s="150" t="str">
        <f aca="false">IF($J190="","",INDEX(LEDGER_ENGINE!$L$2:$L$546,$J190))</f>
        <v/>
      </c>
      <c r="I190" s="150" t="str">
        <f aca="false">IF(A190="","",I189+H190)</f>
        <v/>
      </c>
      <c r="J190" s="101" t="str">
        <f aca="false">IFERROR(MATCH(LIBRI_I_MADH!$B$4&amp;"|"&amp;ROWS($A$6:A190),LEDGER_ENGINE!$U$2:$U$546,0),"")</f>
        <v/>
      </c>
    </row>
    <row r="191" customFormat="false" ht="15" hidden="false" customHeight="true" outlineLevel="0" collapsed="false">
      <c r="A191" s="148" t="str">
        <f aca="false">IF($J191="","",INDEX(LEDGER_ENGINE!$B$2:$B$546,$J191))</f>
        <v/>
      </c>
      <c r="B191" s="149" t="str">
        <f aca="false">IF($J191="","",INDEX(LEDGER_ENGINE!$C$2:$C$546,$J191))</f>
        <v/>
      </c>
      <c r="C191" s="149" t="str">
        <f aca="false">IF($J191="","",INDEX(LEDGER_ENGINE!$D$2:$D$546,$J191))</f>
        <v/>
      </c>
      <c r="D191" s="149" t="str">
        <f aca="false">IF($J191="","",INDEX(LEDGER_ENGINE!$G$2:$G$546,$J191))</f>
        <v/>
      </c>
      <c r="E191" s="149" t="str">
        <f aca="false">IFERROR(IF($J191="","",INDEX(LEDGER_ENGINE!$H$2:$H$546,$J191)),"")</f>
        <v/>
      </c>
      <c r="F191" s="150" t="str">
        <f aca="false">IF($J191="","",INDEX(LEDGER_ENGINE!$I$2:$I$546,$J191))</f>
        <v/>
      </c>
      <c r="G191" s="150" t="str">
        <f aca="false">IF($J191="","",INDEX(LEDGER_ENGINE!$J$2:$J$546,$J191))</f>
        <v/>
      </c>
      <c r="H191" s="150" t="str">
        <f aca="false">IF($J191="","",INDEX(LEDGER_ENGINE!$L$2:$L$546,$J191))</f>
        <v/>
      </c>
      <c r="I191" s="150" t="str">
        <f aca="false">IF(A191="","",I190+H191)</f>
        <v/>
      </c>
      <c r="J191" s="101" t="str">
        <f aca="false">IFERROR(MATCH(LIBRI_I_MADH!$B$4&amp;"|"&amp;ROWS($A$6:A191),LEDGER_ENGINE!$U$2:$U$546,0),"")</f>
        <v/>
      </c>
    </row>
    <row r="192" customFormat="false" ht="15" hidden="false" customHeight="true" outlineLevel="0" collapsed="false">
      <c r="A192" s="148" t="str">
        <f aca="false">IF($J192="","",INDEX(LEDGER_ENGINE!$B$2:$B$546,$J192))</f>
        <v/>
      </c>
      <c r="B192" s="149" t="str">
        <f aca="false">IF($J192="","",INDEX(LEDGER_ENGINE!$C$2:$C$546,$J192))</f>
        <v/>
      </c>
      <c r="C192" s="149" t="str">
        <f aca="false">IF($J192="","",INDEX(LEDGER_ENGINE!$D$2:$D$546,$J192))</f>
        <v/>
      </c>
      <c r="D192" s="149" t="str">
        <f aca="false">IF($J192="","",INDEX(LEDGER_ENGINE!$G$2:$G$546,$J192))</f>
        <v/>
      </c>
      <c r="E192" s="149" t="str">
        <f aca="false">IFERROR(IF($J192="","",INDEX(LEDGER_ENGINE!$H$2:$H$546,$J192)),"")</f>
        <v/>
      </c>
      <c r="F192" s="150" t="str">
        <f aca="false">IF($J192="","",INDEX(LEDGER_ENGINE!$I$2:$I$546,$J192))</f>
        <v/>
      </c>
      <c r="G192" s="150" t="str">
        <f aca="false">IF($J192="","",INDEX(LEDGER_ENGINE!$J$2:$J$546,$J192))</f>
        <v/>
      </c>
      <c r="H192" s="150" t="str">
        <f aca="false">IF($J192="","",INDEX(LEDGER_ENGINE!$L$2:$L$546,$J192))</f>
        <v/>
      </c>
      <c r="I192" s="150" t="str">
        <f aca="false">IF(A192="","",I191+H192)</f>
        <v/>
      </c>
      <c r="J192" s="101" t="str">
        <f aca="false">IFERROR(MATCH(LIBRI_I_MADH!$B$4&amp;"|"&amp;ROWS($A$6:A192),LEDGER_ENGINE!$U$2:$U$546,0),"")</f>
        <v/>
      </c>
    </row>
    <row r="193" customFormat="false" ht="15" hidden="false" customHeight="true" outlineLevel="0" collapsed="false">
      <c r="A193" s="148" t="str">
        <f aca="false">IF($J193="","",INDEX(LEDGER_ENGINE!$B$2:$B$546,$J193))</f>
        <v/>
      </c>
      <c r="B193" s="149" t="str">
        <f aca="false">IF($J193="","",INDEX(LEDGER_ENGINE!$C$2:$C$546,$J193))</f>
        <v/>
      </c>
      <c r="C193" s="149" t="str">
        <f aca="false">IF($J193="","",INDEX(LEDGER_ENGINE!$D$2:$D$546,$J193))</f>
        <v/>
      </c>
      <c r="D193" s="149" t="str">
        <f aca="false">IF($J193="","",INDEX(LEDGER_ENGINE!$G$2:$G$546,$J193))</f>
        <v/>
      </c>
      <c r="E193" s="149" t="str">
        <f aca="false">IFERROR(IF($J193="","",INDEX(LEDGER_ENGINE!$H$2:$H$546,$J193)),"")</f>
        <v/>
      </c>
      <c r="F193" s="150" t="str">
        <f aca="false">IF($J193="","",INDEX(LEDGER_ENGINE!$I$2:$I$546,$J193))</f>
        <v/>
      </c>
      <c r="G193" s="150" t="str">
        <f aca="false">IF($J193="","",INDEX(LEDGER_ENGINE!$J$2:$J$546,$J193))</f>
        <v/>
      </c>
      <c r="H193" s="150" t="str">
        <f aca="false">IF($J193="","",INDEX(LEDGER_ENGINE!$L$2:$L$546,$J193))</f>
        <v/>
      </c>
      <c r="I193" s="150" t="str">
        <f aca="false">IF(A193="","",I192+H193)</f>
        <v/>
      </c>
      <c r="J193" s="101" t="str">
        <f aca="false">IFERROR(MATCH(LIBRI_I_MADH!$B$4&amp;"|"&amp;ROWS($A$6:A193),LEDGER_ENGINE!$U$2:$U$546,0),"")</f>
        <v/>
      </c>
    </row>
    <row r="194" customFormat="false" ht="15" hidden="false" customHeight="true" outlineLevel="0" collapsed="false">
      <c r="A194" s="148" t="str">
        <f aca="false">IF($J194="","",INDEX(LEDGER_ENGINE!$B$2:$B$546,$J194))</f>
        <v/>
      </c>
      <c r="B194" s="149" t="str">
        <f aca="false">IF($J194="","",INDEX(LEDGER_ENGINE!$C$2:$C$546,$J194))</f>
        <v/>
      </c>
      <c r="C194" s="149" t="str">
        <f aca="false">IF($J194="","",INDEX(LEDGER_ENGINE!$D$2:$D$546,$J194))</f>
        <v/>
      </c>
      <c r="D194" s="149" t="str">
        <f aca="false">IF($J194="","",INDEX(LEDGER_ENGINE!$G$2:$G$546,$J194))</f>
        <v/>
      </c>
      <c r="E194" s="149" t="str">
        <f aca="false">IFERROR(IF($J194="","",INDEX(LEDGER_ENGINE!$H$2:$H$546,$J194)),"")</f>
        <v/>
      </c>
      <c r="F194" s="150" t="str">
        <f aca="false">IF($J194="","",INDEX(LEDGER_ENGINE!$I$2:$I$546,$J194))</f>
        <v/>
      </c>
      <c r="G194" s="150" t="str">
        <f aca="false">IF($J194="","",INDEX(LEDGER_ENGINE!$J$2:$J$546,$J194))</f>
        <v/>
      </c>
      <c r="H194" s="150" t="str">
        <f aca="false">IF($J194="","",INDEX(LEDGER_ENGINE!$L$2:$L$546,$J194))</f>
        <v/>
      </c>
      <c r="I194" s="150" t="str">
        <f aca="false">IF(A194="","",I193+H194)</f>
        <v/>
      </c>
      <c r="J194" s="101" t="str">
        <f aca="false">IFERROR(MATCH(LIBRI_I_MADH!$B$4&amp;"|"&amp;ROWS($A$6:A194),LEDGER_ENGINE!$U$2:$U$546,0),"")</f>
        <v/>
      </c>
    </row>
    <row r="195" customFormat="false" ht="15" hidden="false" customHeight="true" outlineLevel="0" collapsed="false">
      <c r="A195" s="148" t="str">
        <f aca="false">IF($J195="","",INDEX(LEDGER_ENGINE!$B$2:$B$546,$J195))</f>
        <v/>
      </c>
      <c r="B195" s="149" t="str">
        <f aca="false">IF($J195="","",INDEX(LEDGER_ENGINE!$C$2:$C$546,$J195))</f>
        <v/>
      </c>
      <c r="C195" s="149" t="str">
        <f aca="false">IF($J195="","",INDEX(LEDGER_ENGINE!$D$2:$D$546,$J195))</f>
        <v/>
      </c>
      <c r="D195" s="149" t="str">
        <f aca="false">IF($J195="","",INDEX(LEDGER_ENGINE!$G$2:$G$546,$J195))</f>
        <v/>
      </c>
      <c r="E195" s="149" t="str">
        <f aca="false">IFERROR(IF($J195="","",INDEX(LEDGER_ENGINE!$H$2:$H$546,$J195)),"")</f>
        <v/>
      </c>
      <c r="F195" s="150" t="str">
        <f aca="false">IF($J195="","",INDEX(LEDGER_ENGINE!$I$2:$I$546,$J195))</f>
        <v/>
      </c>
      <c r="G195" s="150" t="str">
        <f aca="false">IF($J195="","",INDEX(LEDGER_ENGINE!$J$2:$J$546,$J195))</f>
        <v/>
      </c>
      <c r="H195" s="150" t="str">
        <f aca="false">IF($J195="","",INDEX(LEDGER_ENGINE!$L$2:$L$546,$J195))</f>
        <v/>
      </c>
      <c r="I195" s="150" t="str">
        <f aca="false">IF(A195="","",I194+H195)</f>
        <v/>
      </c>
      <c r="J195" s="101" t="str">
        <f aca="false">IFERROR(MATCH(LIBRI_I_MADH!$B$4&amp;"|"&amp;ROWS($A$6:A195),LEDGER_ENGINE!$U$2:$U$546,0),"")</f>
        <v/>
      </c>
    </row>
    <row r="196" customFormat="false" ht="15" hidden="false" customHeight="true" outlineLevel="0" collapsed="false">
      <c r="A196" s="148" t="str">
        <f aca="false">IF($J196="","",INDEX(LEDGER_ENGINE!$B$2:$B$546,$J196))</f>
        <v/>
      </c>
      <c r="B196" s="149" t="str">
        <f aca="false">IF($J196="","",INDEX(LEDGER_ENGINE!$C$2:$C$546,$J196))</f>
        <v/>
      </c>
      <c r="C196" s="149" t="str">
        <f aca="false">IF($J196="","",INDEX(LEDGER_ENGINE!$D$2:$D$546,$J196))</f>
        <v/>
      </c>
      <c r="D196" s="149" t="str">
        <f aca="false">IF($J196="","",INDEX(LEDGER_ENGINE!$G$2:$G$546,$J196))</f>
        <v/>
      </c>
      <c r="E196" s="149" t="str">
        <f aca="false">IFERROR(IF($J196="","",INDEX(LEDGER_ENGINE!$H$2:$H$546,$J196)),"")</f>
        <v/>
      </c>
      <c r="F196" s="150" t="str">
        <f aca="false">IF($J196="","",INDEX(LEDGER_ENGINE!$I$2:$I$546,$J196))</f>
        <v/>
      </c>
      <c r="G196" s="150" t="str">
        <f aca="false">IF($J196="","",INDEX(LEDGER_ENGINE!$J$2:$J$546,$J196))</f>
        <v/>
      </c>
      <c r="H196" s="150" t="str">
        <f aca="false">IF($J196="","",INDEX(LEDGER_ENGINE!$L$2:$L$546,$J196))</f>
        <v/>
      </c>
      <c r="I196" s="150" t="str">
        <f aca="false">IF(A196="","",I195+H196)</f>
        <v/>
      </c>
      <c r="J196" s="101" t="str">
        <f aca="false">IFERROR(MATCH(LIBRI_I_MADH!$B$4&amp;"|"&amp;ROWS($A$6:A196),LEDGER_ENGINE!$U$2:$U$546,0),"")</f>
        <v/>
      </c>
    </row>
    <row r="197" customFormat="false" ht="15" hidden="false" customHeight="true" outlineLevel="0" collapsed="false">
      <c r="A197" s="148" t="str">
        <f aca="false">IF($J197="","",INDEX(LEDGER_ENGINE!$B$2:$B$546,$J197))</f>
        <v/>
      </c>
      <c r="B197" s="149" t="str">
        <f aca="false">IF($J197="","",INDEX(LEDGER_ENGINE!$C$2:$C$546,$J197))</f>
        <v/>
      </c>
      <c r="C197" s="149" t="str">
        <f aca="false">IF($J197="","",INDEX(LEDGER_ENGINE!$D$2:$D$546,$J197))</f>
        <v/>
      </c>
      <c r="D197" s="149" t="str">
        <f aca="false">IF($J197="","",INDEX(LEDGER_ENGINE!$G$2:$G$546,$J197))</f>
        <v/>
      </c>
      <c r="E197" s="149" t="str">
        <f aca="false">IFERROR(IF($J197="","",INDEX(LEDGER_ENGINE!$H$2:$H$546,$J197)),"")</f>
        <v/>
      </c>
      <c r="F197" s="150" t="str">
        <f aca="false">IF($J197="","",INDEX(LEDGER_ENGINE!$I$2:$I$546,$J197))</f>
        <v/>
      </c>
      <c r="G197" s="150" t="str">
        <f aca="false">IF($J197="","",INDEX(LEDGER_ENGINE!$J$2:$J$546,$J197))</f>
        <v/>
      </c>
      <c r="H197" s="150" t="str">
        <f aca="false">IF($J197="","",INDEX(LEDGER_ENGINE!$L$2:$L$546,$J197))</f>
        <v/>
      </c>
      <c r="I197" s="150" t="str">
        <f aca="false">IF(A197="","",I196+H197)</f>
        <v/>
      </c>
      <c r="J197" s="101" t="str">
        <f aca="false">IFERROR(MATCH(LIBRI_I_MADH!$B$4&amp;"|"&amp;ROWS($A$6:A197),LEDGER_ENGINE!$U$2:$U$546,0),"")</f>
        <v/>
      </c>
    </row>
    <row r="198" customFormat="false" ht="15" hidden="false" customHeight="true" outlineLevel="0" collapsed="false">
      <c r="A198" s="148" t="str">
        <f aca="false">IF($J198="","",INDEX(LEDGER_ENGINE!$B$2:$B$546,$J198))</f>
        <v/>
      </c>
      <c r="B198" s="149" t="str">
        <f aca="false">IF($J198="","",INDEX(LEDGER_ENGINE!$C$2:$C$546,$J198))</f>
        <v/>
      </c>
      <c r="C198" s="149" t="str">
        <f aca="false">IF($J198="","",INDEX(LEDGER_ENGINE!$D$2:$D$546,$J198))</f>
        <v/>
      </c>
      <c r="D198" s="149" t="str">
        <f aca="false">IF($J198="","",INDEX(LEDGER_ENGINE!$G$2:$G$546,$J198))</f>
        <v/>
      </c>
      <c r="E198" s="149" t="str">
        <f aca="false">IFERROR(IF($J198="","",INDEX(LEDGER_ENGINE!$H$2:$H$546,$J198)),"")</f>
        <v/>
      </c>
      <c r="F198" s="150" t="str">
        <f aca="false">IF($J198="","",INDEX(LEDGER_ENGINE!$I$2:$I$546,$J198))</f>
        <v/>
      </c>
      <c r="G198" s="150" t="str">
        <f aca="false">IF($J198="","",INDEX(LEDGER_ENGINE!$J$2:$J$546,$J198))</f>
        <v/>
      </c>
      <c r="H198" s="150" t="str">
        <f aca="false">IF($J198="","",INDEX(LEDGER_ENGINE!$L$2:$L$546,$J198))</f>
        <v/>
      </c>
      <c r="I198" s="150" t="str">
        <f aca="false">IF(A198="","",I197+H198)</f>
        <v/>
      </c>
      <c r="J198" s="101" t="str">
        <f aca="false">IFERROR(MATCH(LIBRI_I_MADH!$B$4&amp;"|"&amp;ROWS($A$6:A198),LEDGER_ENGINE!$U$2:$U$546,0),"")</f>
        <v/>
      </c>
    </row>
    <row r="199" customFormat="false" ht="15" hidden="false" customHeight="true" outlineLevel="0" collapsed="false">
      <c r="A199" s="148" t="str">
        <f aca="false">IF($J199="","",INDEX(LEDGER_ENGINE!$B$2:$B$546,$J199))</f>
        <v/>
      </c>
      <c r="B199" s="149" t="str">
        <f aca="false">IF($J199="","",INDEX(LEDGER_ENGINE!$C$2:$C$546,$J199))</f>
        <v/>
      </c>
      <c r="C199" s="149" t="str">
        <f aca="false">IF($J199="","",INDEX(LEDGER_ENGINE!$D$2:$D$546,$J199))</f>
        <v/>
      </c>
      <c r="D199" s="149" t="str">
        <f aca="false">IF($J199="","",INDEX(LEDGER_ENGINE!$G$2:$G$546,$J199))</f>
        <v/>
      </c>
      <c r="E199" s="149" t="str">
        <f aca="false">IFERROR(IF($J199="","",INDEX(LEDGER_ENGINE!$H$2:$H$546,$J199)),"")</f>
        <v/>
      </c>
      <c r="F199" s="150" t="str">
        <f aca="false">IF($J199="","",INDEX(LEDGER_ENGINE!$I$2:$I$546,$J199))</f>
        <v/>
      </c>
      <c r="G199" s="150" t="str">
        <f aca="false">IF($J199="","",INDEX(LEDGER_ENGINE!$J$2:$J$546,$J199))</f>
        <v/>
      </c>
      <c r="H199" s="150" t="str">
        <f aca="false">IF($J199="","",INDEX(LEDGER_ENGINE!$L$2:$L$546,$J199))</f>
        <v/>
      </c>
      <c r="I199" s="150" t="str">
        <f aca="false">IF(A199="","",I198+H199)</f>
        <v/>
      </c>
      <c r="J199" s="101" t="str">
        <f aca="false">IFERROR(MATCH(LIBRI_I_MADH!$B$4&amp;"|"&amp;ROWS($A$6:A199),LEDGER_ENGINE!$U$2:$U$546,0),"")</f>
        <v/>
      </c>
    </row>
    <row r="200" customFormat="false" ht="15" hidden="false" customHeight="true" outlineLevel="0" collapsed="false">
      <c r="A200" s="148" t="str">
        <f aca="false">IF($J200="","",INDEX(LEDGER_ENGINE!$B$2:$B$546,$J200))</f>
        <v/>
      </c>
      <c r="B200" s="149" t="str">
        <f aca="false">IF($J200="","",INDEX(LEDGER_ENGINE!$C$2:$C$546,$J200))</f>
        <v/>
      </c>
      <c r="C200" s="149" t="str">
        <f aca="false">IF($J200="","",INDEX(LEDGER_ENGINE!$D$2:$D$546,$J200))</f>
        <v/>
      </c>
      <c r="D200" s="149" t="str">
        <f aca="false">IF($J200="","",INDEX(LEDGER_ENGINE!$G$2:$G$546,$J200))</f>
        <v/>
      </c>
      <c r="E200" s="149" t="str">
        <f aca="false">IFERROR(IF($J200="","",INDEX(LEDGER_ENGINE!$H$2:$H$546,$J200)),"")</f>
        <v/>
      </c>
      <c r="F200" s="150" t="str">
        <f aca="false">IF($J200="","",INDEX(LEDGER_ENGINE!$I$2:$I$546,$J200))</f>
        <v/>
      </c>
      <c r="G200" s="150" t="str">
        <f aca="false">IF($J200="","",INDEX(LEDGER_ENGINE!$J$2:$J$546,$J200))</f>
        <v/>
      </c>
      <c r="H200" s="150" t="str">
        <f aca="false">IF($J200="","",INDEX(LEDGER_ENGINE!$L$2:$L$546,$J200))</f>
        <v/>
      </c>
      <c r="I200" s="150" t="str">
        <f aca="false">IF(A200="","",I199+H200)</f>
        <v/>
      </c>
      <c r="J200" s="101" t="str">
        <f aca="false">IFERROR(MATCH(LIBRI_I_MADH!$B$4&amp;"|"&amp;ROWS($A$6:A200),LEDGER_ENGINE!$U$2:$U$546,0),"")</f>
        <v/>
      </c>
    </row>
    <row r="201" customFormat="false" ht="15" hidden="false" customHeight="true" outlineLevel="0" collapsed="false">
      <c r="A201" s="148" t="str">
        <f aca="false">IF($J201="","",INDEX(LEDGER_ENGINE!$B$2:$B$546,$J201))</f>
        <v/>
      </c>
      <c r="B201" s="149" t="str">
        <f aca="false">IF($J201="","",INDEX(LEDGER_ENGINE!$C$2:$C$546,$J201))</f>
        <v/>
      </c>
      <c r="C201" s="149" t="str">
        <f aca="false">IF($J201="","",INDEX(LEDGER_ENGINE!$D$2:$D$546,$J201))</f>
        <v/>
      </c>
      <c r="D201" s="149" t="str">
        <f aca="false">IF($J201="","",INDEX(LEDGER_ENGINE!$G$2:$G$546,$J201))</f>
        <v/>
      </c>
      <c r="E201" s="149" t="str">
        <f aca="false">IFERROR(IF($J201="","",INDEX(LEDGER_ENGINE!$H$2:$H$546,$J201)),"")</f>
        <v/>
      </c>
      <c r="F201" s="150" t="str">
        <f aca="false">IF($J201="","",INDEX(LEDGER_ENGINE!$I$2:$I$546,$J201))</f>
        <v/>
      </c>
      <c r="G201" s="150" t="str">
        <f aca="false">IF($J201="","",INDEX(LEDGER_ENGINE!$J$2:$J$546,$J201))</f>
        <v/>
      </c>
      <c r="H201" s="150" t="str">
        <f aca="false">IF($J201="","",INDEX(LEDGER_ENGINE!$L$2:$L$546,$J201))</f>
        <v/>
      </c>
      <c r="I201" s="150" t="str">
        <f aca="false">IF(A201="","",I200+H201)</f>
        <v/>
      </c>
      <c r="J201" s="101" t="str">
        <f aca="false">IFERROR(MATCH(LIBRI_I_MADH!$B$4&amp;"|"&amp;ROWS($A$6:A201),LEDGER_ENGINE!$U$2:$U$546,0),"")</f>
        <v/>
      </c>
    </row>
    <row r="202" customFormat="false" ht="15" hidden="false" customHeight="true" outlineLevel="0" collapsed="false">
      <c r="A202" s="148" t="str">
        <f aca="false">IF($J202="","",INDEX(LEDGER_ENGINE!$B$2:$B$546,$J202))</f>
        <v/>
      </c>
      <c r="B202" s="149" t="str">
        <f aca="false">IF($J202="","",INDEX(LEDGER_ENGINE!$C$2:$C$546,$J202))</f>
        <v/>
      </c>
      <c r="C202" s="149" t="str">
        <f aca="false">IF($J202="","",INDEX(LEDGER_ENGINE!$D$2:$D$546,$J202))</f>
        <v/>
      </c>
      <c r="D202" s="149" t="str">
        <f aca="false">IF($J202="","",INDEX(LEDGER_ENGINE!$G$2:$G$546,$J202))</f>
        <v/>
      </c>
      <c r="E202" s="149" t="str">
        <f aca="false">IFERROR(IF($J202="","",INDEX(LEDGER_ENGINE!$H$2:$H$546,$J202)),"")</f>
        <v/>
      </c>
      <c r="F202" s="150" t="str">
        <f aca="false">IF($J202="","",INDEX(LEDGER_ENGINE!$I$2:$I$546,$J202))</f>
        <v/>
      </c>
      <c r="G202" s="150" t="str">
        <f aca="false">IF($J202="","",INDEX(LEDGER_ENGINE!$J$2:$J$546,$J202))</f>
        <v/>
      </c>
      <c r="H202" s="150" t="str">
        <f aca="false">IF($J202="","",INDEX(LEDGER_ENGINE!$L$2:$L$546,$J202))</f>
        <v/>
      </c>
      <c r="I202" s="150" t="str">
        <f aca="false">IF(A202="","",I201+H202)</f>
        <v/>
      </c>
      <c r="J202" s="101" t="str">
        <f aca="false">IFERROR(MATCH(LIBRI_I_MADH!$B$4&amp;"|"&amp;ROWS($A$6:A202),LEDGER_ENGINE!$U$2:$U$546,0),"")</f>
        <v/>
      </c>
    </row>
    <row r="203" customFormat="false" ht="15" hidden="false" customHeight="true" outlineLevel="0" collapsed="false">
      <c r="A203" s="148" t="str">
        <f aca="false">IF($J203="","",INDEX(LEDGER_ENGINE!$B$2:$B$546,$J203))</f>
        <v/>
      </c>
      <c r="B203" s="149" t="str">
        <f aca="false">IF($J203="","",INDEX(LEDGER_ENGINE!$C$2:$C$546,$J203))</f>
        <v/>
      </c>
      <c r="C203" s="149" t="str">
        <f aca="false">IF($J203="","",INDEX(LEDGER_ENGINE!$D$2:$D$546,$J203))</f>
        <v/>
      </c>
      <c r="D203" s="149" t="str">
        <f aca="false">IF($J203="","",INDEX(LEDGER_ENGINE!$G$2:$G$546,$J203))</f>
        <v/>
      </c>
      <c r="E203" s="149" t="str">
        <f aca="false">IFERROR(IF($J203="","",INDEX(LEDGER_ENGINE!$H$2:$H$546,$J203)),"")</f>
        <v/>
      </c>
      <c r="F203" s="150" t="str">
        <f aca="false">IF($J203="","",INDEX(LEDGER_ENGINE!$I$2:$I$546,$J203))</f>
        <v/>
      </c>
      <c r="G203" s="150" t="str">
        <f aca="false">IF($J203="","",INDEX(LEDGER_ENGINE!$J$2:$J$546,$J203))</f>
        <v/>
      </c>
      <c r="H203" s="150" t="str">
        <f aca="false">IF($J203="","",INDEX(LEDGER_ENGINE!$L$2:$L$546,$J203))</f>
        <v/>
      </c>
      <c r="I203" s="150" t="str">
        <f aca="false">IF(A203="","",I202+H203)</f>
        <v/>
      </c>
      <c r="J203" s="101" t="str">
        <f aca="false">IFERROR(MATCH(LIBRI_I_MADH!$B$4&amp;"|"&amp;ROWS($A$6:A203),LEDGER_ENGINE!$U$2:$U$546,0),"")</f>
        <v/>
      </c>
    </row>
    <row r="204" customFormat="false" ht="15" hidden="false" customHeight="true" outlineLevel="0" collapsed="false">
      <c r="A204" s="148" t="str">
        <f aca="false">IF($J204="","",INDEX(LEDGER_ENGINE!$B$2:$B$546,$J204))</f>
        <v/>
      </c>
      <c r="B204" s="149" t="str">
        <f aca="false">IF($J204="","",INDEX(LEDGER_ENGINE!$C$2:$C$546,$J204))</f>
        <v/>
      </c>
      <c r="C204" s="149" t="str">
        <f aca="false">IF($J204="","",INDEX(LEDGER_ENGINE!$D$2:$D$546,$J204))</f>
        <v/>
      </c>
      <c r="D204" s="149" t="str">
        <f aca="false">IF($J204="","",INDEX(LEDGER_ENGINE!$G$2:$G$546,$J204))</f>
        <v/>
      </c>
      <c r="E204" s="149" t="str">
        <f aca="false">IFERROR(IF($J204="","",INDEX(LEDGER_ENGINE!$H$2:$H$546,$J204)),"")</f>
        <v/>
      </c>
      <c r="F204" s="150" t="str">
        <f aca="false">IF($J204="","",INDEX(LEDGER_ENGINE!$I$2:$I$546,$J204))</f>
        <v/>
      </c>
      <c r="G204" s="150" t="str">
        <f aca="false">IF($J204="","",INDEX(LEDGER_ENGINE!$J$2:$J$546,$J204))</f>
        <v/>
      </c>
      <c r="H204" s="150" t="str">
        <f aca="false">IF($J204="","",INDEX(LEDGER_ENGINE!$L$2:$L$546,$J204))</f>
        <v/>
      </c>
      <c r="I204" s="150" t="str">
        <f aca="false">IF(A204="","",I203+H204)</f>
        <v/>
      </c>
      <c r="J204" s="101" t="str">
        <f aca="false">IFERROR(MATCH(LIBRI_I_MADH!$B$4&amp;"|"&amp;ROWS($A$6:A204),LEDGER_ENGINE!$U$2:$U$546,0),"")</f>
        <v/>
      </c>
    </row>
    <row r="205" customFormat="false" ht="15" hidden="false" customHeight="true" outlineLevel="0" collapsed="false">
      <c r="A205" s="148" t="str">
        <f aca="false">IF($J205="","",INDEX(LEDGER_ENGINE!$B$2:$B$546,$J205))</f>
        <v/>
      </c>
      <c r="B205" s="149" t="str">
        <f aca="false">IF($J205="","",INDEX(LEDGER_ENGINE!$C$2:$C$546,$J205))</f>
        <v/>
      </c>
      <c r="C205" s="149" t="str">
        <f aca="false">IF($J205="","",INDEX(LEDGER_ENGINE!$D$2:$D$546,$J205))</f>
        <v/>
      </c>
      <c r="D205" s="149" t="str">
        <f aca="false">IF($J205="","",INDEX(LEDGER_ENGINE!$G$2:$G$546,$J205))</f>
        <v/>
      </c>
      <c r="E205" s="149" t="str">
        <f aca="false">IFERROR(IF($J205="","",INDEX(LEDGER_ENGINE!$H$2:$H$546,$J205)),"")</f>
        <v/>
      </c>
      <c r="F205" s="150" t="str">
        <f aca="false">IF($J205="","",INDEX(LEDGER_ENGINE!$I$2:$I$546,$J205))</f>
        <v/>
      </c>
      <c r="G205" s="150" t="str">
        <f aca="false">IF($J205="","",INDEX(LEDGER_ENGINE!$J$2:$J$546,$J205))</f>
        <v/>
      </c>
      <c r="H205" s="150" t="str">
        <f aca="false">IF($J205="","",INDEX(LEDGER_ENGINE!$L$2:$L$546,$J205))</f>
        <v/>
      </c>
      <c r="I205" s="150" t="str">
        <f aca="false">IF(A205="","",I204+H205)</f>
        <v/>
      </c>
      <c r="J205" s="101" t="str">
        <f aca="false">IFERROR(MATCH(LIBRI_I_MADH!$B$4&amp;"|"&amp;ROWS($A$6:A205),LEDGER_ENGINE!$U$2:$U$546,0),"")</f>
        <v/>
      </c>
    </row>
    <row r="206" customFormat="false" ht="15" hidden="false" customHeight="true" outlineLevel="0" collapsed="false">
      <c r="A206" s="148" t="str">
        <f aca="false">IF($J206="","",INDEX(LEDGER_ENGINE!$B$2:$B$546,$J206))</f>
        <v/>
      </c>
      <c r="B206" s="149" t="str">
        <f aca="false">IF($J206="","",INDEX(LEDGER_ENGINE!$C$2:$C$546,$J206))</f>
        <v/>
      </c>
      <c r="C206" s="149" t="str">
        <f aca="false">IF($J206="","",INDEX(LEDGER_ENGINE!$D$2:$D$546,$J206))</f>
        <v/>
      </c>
      <c r="D206" s="149" t="str">
        <f aca="false">IF($J206="","",INDEX(LEDGER_ENGINE!$G$2:$G$546,$J206))</f>
        <v/>
      </c>
      <c r="E206" s="149" t="str">
        <f aca="false">IFERROR(IF($J206="","",INDEX(LEDGER_ENGINE!$H$2:$H$546,$J206)),"")</f>
        <v/>
      </c>
      <c r="F206" s="150" t="str">
        <f aca="false">IF($J206="","",INDEX(LEDGER_ENGINE!$I$2:$I$546,$J206))</f>
        <v/>
      </c>
      <c r="G206" s="150" t="str">
        <f aca="false">IF($J206="","",INDEX(LEDGER_ENGINE!$J$2:$J$546,$J206))</f>
        <v/>
      </c>
      <c r="H206" s="150" t="str">
        <f aca="false">IF($J206="","",INDEX(LEDGER_ENGINE!$L$2:$L$546,$J206))</f>
        <v/>
      </c>
      <c r="I206" s="150" t="str">
        <f aca="false">IF(A206="","",I205+H206)</f>
        <v/>
      </c>
      <c r="J206" s="101" t="str">
        <f aca="false">IFERROR(MATCH(LIBRI_I_MADH!$B$4&amp;"|"&amp;ROWS($A$6:A206),LEDGER_ENGINE!$U$2:$U$546,0),"")</f>
        <v/>
      </c>
    </row>
    <row r="207" customFormat="false" ht="15" hidden="false" customHeight="true" outlineLevel="0" collapsed="false">
      <c r="A207" s="148" t="str">
        <f aca="false">IF($J207="","",INDEX(LEDGER_ENGINE!$B$2:$B$546,$J207))</f>
        <v/>
      </c>
      <c r="B207" s="149" t="str">
        <f aca="false">IF($J207="","",INDEX(LEDGER_ENGINE!$C$2:$C$546,$J207))</f>
        <v/>
      </c>
      <c r="C207" s="149" t="str">
        <f aca="false">IF($J207="","",INDEX(LEDGER_ENGINE!$D$2:$D$546,$J207))</f>
        <v/>
      </c>
      <c r="D207" s="149" t="str">
        <f aca="false">IF($J207="","",INDEX(LEDGER_ENGINE!$G$2:$G$546,$J207))</f>
        <v/>
      </c>
      <c r="E207" s="149" t="str">
        <f aca="false">IFERROR(IF($J207="","",INDEX(LEDGER_ENGINE!$H$2:$H$546,$J207)),"")</f>
        <v/>
      </c>
      <c r="F207" s="150" t="str">
        <f aca="false">IF($J207="","",INDEX(LEDGER_ENGINE!$I$2:$I$546,$J207))</f>
        <v/>
      </c>
      <c r="G207" s="150" t="str">
        <f aca="false">IF($J207="","",INDEX(LEDGER_ENGINE!$J$2:$J$546,$J207))</f>
        <v/>
      </c>
      <c r="H207" s="150" t="str">
        <f aca="false">IF($J207="","",INDEX(LEDGER_ENGINE!$L$2:$L$546,$J207))</f>
        <v/>
      </c>
      <c r="I207" s="150" t="str">
        <f aca="false">IF(A207="","",I206+H207)</f>
        <v/>
      </c>
      <c r="J207" s="101" t="str">
        <f aca="false">IFERROR(MATCH(LIBRI_I_MADH!$B$4&amp;"|"&amp;ROWS($A$6:A207),LEDGER_ENGINE!$U$2:$U$546,0),"")</f>
        <v/>
      </c>
    </row>
    <row r="208" customFormat="false" ht="15" hidden="false" customHeight="true" outlineLevel="0" collapsed="false">
      <c r="A208" s="148" t="str">
        <f aca="false">IF($J208="","",INDEX(LEDGER_ENGINE!$B$2:$B$546,$J208))</f>
        <v/>
      </c>
      <c r="B208" s="149" t="str">
        <f aca="false">IF($J208="","",INDEX(LEDGER_ENGINE!$C$2:$C$546,$J208))</f>
        <v/>
      </c>
      <c r="C208" s="149" t="str">
        <f aca="false">IF($J208="","",INDEX(LEDGER_ENGINE!$D$2:$D$546,$J208))</f>
        <v/>
      </c>
      <c r="D208" s="149" t="str">
        <f aca="false">IF($J208="","",INDEX(LEDGER_ENGINE!$G$2:$G$546,$J208))</f>
        <v/>
      </c>
      <c r="E208" s="149" t="str">
        <f aca="false">IFERROR(IF($J208="","",INDEX(LEDGER_ENGINE!$H$2:$H$546,$J208)),"")</f>
        <v/>
      </c>
      <c r="F208" s="150" t="str">
        <f aca="false">IF($J208="","",INDEX(LEDGER_ENGINE!$I$2:$I$546,$J208))</f>
        <v/>
      </c>
      <c r="G208" s="150" t="str">
        <f aca="false">IF($J208="","",INDEX(LEDGER_ENGINE!$J$2:$J$546,$J208))</f>
        <v/>
      </c>
      <c r="H208" s="150" t="str">
        <f aca="false">IF($J208="","",INDEX(LEDGER_ENGINE!$L$2:$L$546,$J208))</f>
        <v/>
      </c>
      <c r="I208" s="150" t="str">
        <f aca="false">IF(A208="","",I207+H208)</f>
        <v/>
      </c>
      <c r="J208" s="101" t="str">
        <f aca="false">IFERROR(MATCH(LIBRI_I_MADH!$B$4&amp;"|"&amp;ROWS($A$6:A208),LEDGER_ENGINE!$U$2:$U$546,0),"")</f>
        <v/>
      </c>
    </row>
    <row r="209" customFormat="false" ht="15" hidden="false" customHeight="true" outlineLevel="0" collapsed="false">
      <c r="A209" s="148" t="str">
        <f aca="false">IF($J209="","",INDEX(LEDGER_ENGINE!$B$2:$B$546,$J209))</f>
        <v/>
      </c>
      <c r="B209" s="149" t="str">
        <f aca="false">IF($J209="","",INDEX(LEDGER_ENGINE!$C$2:$C$546,$J209))</f>
        <v/>
      </c>
      <c r="C209" s="149" t="str">
        <f aca="false">IF($J209="","",INDEX(LEDGER_ENGINE!$D$2:$D$546,$J209))</f>
        <v/>
      </c>
      <c r="D209" s="149" t="str">
        <f aca="false">IF($J209="","",INDEX(LEDGER_ENGINE!$G$2:$G$546,$J209))</f>
        <v/>
      </c>
      <c r="E209" s="149" t="str">
        <f aca="false">IFERROR(IF($J209="","",INDEX(LEDGER_ENGINE!$H$2:$H$546,$J209)),"")</f>
        <v/>
      </c>
      <c r="F209" s="150" t="str">
        <f aca="false">IF($J209="","",INDEX(LEDGER_ENGINE!$I$2:$I$546,$J209))</f>
        <v/>
      </c>
      <c r="G209" s="150" t="str">
        <f aca="false">IF($J209="","",INDEX(LEDGER_ENGINE!$J$2:$J$546,$J209))</f>
        <v/>
      </c>
      <c r="H209" s="150" t="str">
        <f aca="false">IF($J209="","",INDEX(LEDGER_ENGINE!$L$2:$L$546,$J209))</f>
        <v/>
      </c>
      <c r="I209" s="150" t="str">
        <f aca="false">IF(A209="","",I208+H209)</f>
        <v/>
      </c>
      <c r="J209" s="101" t="str">
        <f aca="false">IFERROR(MATCH(LIBRI_I_MADH!$B$4&amp;"|"&amp;ROWS($A$6:A209),LEDGER_ENGINE!$U$2:$U$546,0),"")</f>
        <v/>
      </c>
    </row>
    <row r="210" customFormat="false" ht="15" hidden="false" customHeight="true" outlineLevel="0" collapsed="false">
      <c r="A210" s="148" t="str">
        <f aca="false">IF($J210="","",INDEX(LEDGER_ENGINE!$B$2:$B$546,$J210))</f>
        <v/>
      </c>
      <c r="B210" s="149" t="str">
        <f aca="false">IF($J210="","",INDEX(LEDGER_ENGINE!$C$2:$C$546,$J210))</f>
        <v/>
      </c>
      <c r="C210" s="149" t="str">
        <f aca="false">IF($J210="","",INDEX(LEDGER_ENGINE!$D$2:$D$546,$J210))</f>
        <v/>
      </c>
      <c r="D210" s="149" t="str">
        <f aca="false">IF($J210="","",INDEX(LEDGER_ENGINE!$G$2:$G$546,$J210))</f>
        <v/>
      </c>
      <c r="E210" s="149" t="str">
        <f aca="false">IFERROR(IF($J210="","",INDEX(LEDGER_ENGINE!$H$2:$H$546,$J210)),"")</f>
        <v/>
      </c>
      <c r="F210" s="150" t="str">
        <f aca="false">IF($J210="","",INDEX(LEDGER_ENGINE!$I$2:$I$546,$J210))</f>
        <v/>
      </c>
      <c r="G210" s="150" t="str">
        <f aca="false">IF($J210="","",INDEX(LEDGER_ENGINE!$J$2:$J$546,$J210))</f>
        <v/>
      </c>
      <c r="H210" s="150" t="str">
        <f aca="false">IF($J210="","",INDEX(LEDGER_ENGINE!$L$2:$L$546,$J210))</f>
        <v/>
      </c>
      <c r="I210" s="150" t="str">
        <f aca="false">IF(A210="","",I209+H210)</f>
        <v/>
      </c>
      <c r="J210" s="101" t="str">
        <f aca="false">IFERROR(MATCH(LIBRI_I_MADH!$B$4&amp;"|"&amp;ROWS($A$6:A210),LEDGER_ENGINE!$U$2:$U$546,0),"")</f>
        <v/>
      </c>
    </row>
    <row r="211" customFormat="false" ht="15" hidden="false" customHeight="true" outlineLevel="0" collapsed="false">
      <c r="A211" s="148" t="str">
        <f aca="false">IF($J211="","",INDEX(LEDGER_ENGINE!$B$2:$B$546,$J211))</f>
        <v/>
      </c>
      <c r="B211" s="149" t="str">
        <f aca="false">IF($J211="","",INDEX(LEDGER_ENGINE!$C$2:$C$546,$J211))</f>
        <v/>
      </c>
      <c r="C211" s="149" t="str">
        <f aca="false">IF($J211="","",INDEX(LEDGER_ENGINE!$D$2:$D$546,$J211))</f>
        <v/>
      </c>
      <c r="D211" s="149" t="str">
        <f aca="false">IF($J211="","",INDEX(LEDGER_ENGINE!$G$2:$G$546,$J211))</f>
        <v/>
      </c>
      <c r="E211" s="149" t="str">
        <f aca="false">IFERROR(IF($J211="","",INDEX(LEDGER_ENGINE!$H$2:$H$546,$J211)),"")</f>
        <v/>
      </c>
      <c r="F211" s="150" t="str">
        <f aca="false">IF($J211="","",INDEX(LEDGER_ENGINE!$I$2:$I$546,$J211))</f>
        <v/>
      </c>
      <c r="G211" s="150" t="str">
        <f aca="false">IF($J211="","",INDEX(LEDGER_ENGINE!$J$2:$J$546,$J211))</f>
        <v/>
      </c>
      <c r="H211" s="150" t="str">
        <f aca="false">IF($J211="","",INDEX(LEDGER_ENGINE!$L$2:$L$546,$J211))</f>
        <v/>
      </c>
      <c r="I211" s="150" t="str">
        <f aca="false">IF(A211="","",I210+H211)</f>
        <v/>
      </c>
      <c r="J211" s="101" t="str">
        <f aca="false">IFERROR(MATCH(LIBRI_I_MADH!$B$4&amp;"|"&amp;ROWS($A$6:A211),LEDGER_ENGINE!$U$2:$U$546,0),"")</f>
        <v/>
      </c>
    </row>
    <row r="212" customFormat="false" ht="15" hidden="false" customHeight="true" outlineLevel="0" collapsed="false">
      <c r="A212" s="148" t="str">
        <f aca="false">IF($J212="","",INDEX(LEDGER_ENGINE!$B$2:$B$546,$J212))</f>
        <v/>
      </c>
      <c r="B212" s="149" t="str">
        <f aca="false">IF($J212="","",INDEX(LEDGER_ENGINE!$C$2:$C$546,$J212))</f>
        <v/>
      </c>
      <c r="C212" s="149" t="str">
        <f aca="false">IF($J212="","",INDEX(LEDGER_ENGINE!$D$2:$D$546,$J212))</f>
        <v/>
      </c>
      <c r="D212" s="149" t="str">
        <f aca="false">IF($J212="","",INDEX(LEDGER_ENGINE!$G$2:$G$546,$J212))</f>
        <v/>
      </c>
      <c r="E212" s="149" t="str">
        <f aca="false">IFERROR(IF($J212="","",INDEX(LEDGER_ENGINE!$H$2:$H$546,$J212)),"")</f>
        <v/>
      </c>
      <c r="F212" s="150" t="str">
        <f aca="false">IF($J212="","",INDEX(LEDGER_ENGINE!$I$2:$I$546,$J212))</f>
        <v/>
      </c>
      <c r="G212" s="150" t="str">
        <f aca="false">IF($J212="","",INDEX(LEDGER_ENGINE!$J$2:$J$546,$J212))</f>
        <v/>
      </c>
      <c r="H212" s="150" t="str">
        <f aca="false">IF($J212="","",INDEX(LEDGER_ENGINE!$L$2:$L$546,$J212))</f>
        <v/>
      </c>
      <c r="I212" s="150" t="str">
        <f aca="false">IF(A212="","",I211+H212)</f>
        <v/>
      </c>
      <c r="J212" s="101" t="str">
        <f aca="false">IFERROR(MATCH(LIBRI_I_MADH!$B$4&amp;"|"&amp;ROWS($A$6:A212),LEDGER_ENGINE!$U$2:$U$546,0),"")</f>
        <v/>
      </c>
    </row>
    <row r="213" customFormat="false" ht="15" hidden="false" customHeight="true" outlineLevel="0" collapsed="false">
      <c r="A213" s="148" t="str">
        <f aca="false">IF($J213="","",INDEX(LEDGER_ENGINE!$B$2:$B$546,$J213))</f>
        <v/>
      </c>
      <c r="B213" s="149" t="str">
        <f aca="false">IF($J213="","",INDEX(LEDGER_ENGINE!$C$2:$C$546,$J213))</f>
        <v/>
      </c>
      <c r="C213" s="149" t="str">
        <f aca="false">IF($J213="","",INDEX(LEDGER_ENGINE!$D$2:$D$546,$J213))</f>
        <v/>
      </c>
      <c r="D213" s="149" t="str">
        <f aca="false">IF($J213="","",INDEX(LEDGER_ENGINE!$G$2:$G$546,$J213))</f>
        <v/>
      </c>
      <c r="E213" s="149" t="str">
        <f aca="false">IFERROR(IF($J213="","",INDEX(LEDGER_ENGINE!$H$2:$H$546,$J213)),"")</f>
        <v/>
      </c>
      <c r="F213" s="150" t="str">
        <f aca="false">IF($J213="","",INDEX(LEDGER_ENGINE!$I$2:$I$546,$J213))</f>
        <v/>
      </c>
      <c r="G213" s="150" t="str">
        <f aca="false">IF($J213="","",INDEX(LEDGER_ENGINE!$J$2:$J$546,$J213))</f>
        <v/>
      </c>
      <c r="H213" s="150" t="str">
        <f aca="false">IF($J213="","",INDEX(LEDGER_ENGINE!$L$2:$L$546,$J213))</f>
        <v/>
      </c>
      <c r="I213" s="150" t="str">
        <f aca="false">IF(A213="","",I212+H213)</f>
        <v/>
      </c>
      <c r="J213" s="101" t="str">
        <f aca="false">IFERROR(MATCH(LIBRI_I_MADH!$B$4&amp;"|"&amp;ROWS($A$6:A213),LEDGER_ENGINE!$U$2:$U$546,0),"")</f>
        <v/>
      </c>
    </row>
    <row r="214" customFormat="false" ht="15" hidden="false" customHeight="true" outlineLevel="0" collapsed="false">
      <c r="A214" s="148" t="str">
        <f aca="false">IF($J214="","",INDEX(LEDGER_ENGINE!$B$2:$B$546,$J214))</f>
        <v/>
      </c>
      <c r="B214" s="149" t="str">
        <f aca="false">IF($J214="","",INDEX(LEDGER_ENGINE!$C$2:$C$546,$J214))</f>
        <v/>
      </c>
      <c r="C214" s="149" t="str">
        <f aca="false">IF($J214="","",INDEX(LEDGER_ENGINE!$D$2:$D$546,$J214))</f>
        <v/>
      </c>
      <c r="D214" s="149" t="str">
        <f aca="false">IF($J214="","",INDEX(LEDGER_ENGINE!$G$2:$G$546,$J214))</f>
        <v/>
      </c>
      <c r="E214" s="149" t="str">
        <f aca="false">IFERROR(IF($J214="","",INDEX(LEDGER_ENGINE!$H$2:$H$546,$J214)),"")</f>
        <v/>
      </c>
      <c r="F214" s="150" t="str">
        <f aca="false">IF($J214="","",INDEX(LEDGER_ENGINE!$I$2:$I$546,$J214))</f>
        <v/>
      </c>
      <c r="G214" s="150" t="str">
        <f aca="false">IF($J214="","",INDEX(LEDGER_ENGINE!$J$2:$J$546,$J214))</f>
        <v/>
      </c>
      <c r="H214" s="150" t="str">
        <f aca="false">IF($J214="","",INDEX(LEDGER_ENGINE!$L$2:$L$546,$J214))</f>
        <v/>
      </c>
      <c r="I214" s="150" t="str">
        <f aca="false">IF(A214="","",I213+H214)</f>
        <v/>
      </c>
      <c r="J214" s="101" t="str">
        <f aca="false">IFERROR(MATCH(LIBRI_I_MADH!$B$4&amp;"|"&amp;ROWS($A$6:A214),LEDGER_ENGINE!$U$2:$U$546,0),"")</f>
        <v/>
      </c>
    </row>
    <row r="215" customFormat="false" ht="15" hidden="false" customHeight="true" outlineLevel="0" collapsed="false">
      <c r="A215" s="148" t="str">
        <f aca="false">IF($J215="","",INDEX(LEDGER_ENGINE!$B$2:$B$546,$J215))</f>
        <v/>
      </c>
      <c r="B215" s="149" t="str">
        <f aca="false">IF($J215="","",INDEX(LEDGER_ENGINE!$C$2:$C$546,$J215))</f>
        <v/>
      </c>
      <c r="C215" s="149" t="str">
        <f aca="false">IF($J215="","",INDEX(LEDGER_ENGINE!$D$2:$D$546,$J215))</f>
        <v/>
      </c>
      <c r="D215" s="149" t="str">
        <f aca="false">IF($J215="","",INDEX(LEDGER_ENGINE!$G$2:$G$546,$J215))</f>
        <v/>
      </c>
      <c r="E215" s="149" t="str">
        <f aca="false">IFERROR(IF($J215="","",INDEX(LEDGER_ENGINE!$H$2:$H$546,$J215)),"")</f>
        <v/>
      </c>
      <c r="F215" s="150" t="str">
        <f aca="false">IF($J215="","",INDEX(LEDGER_ENGINE!$I$2:$I$546,$J215))</f>
        <v/>
      </c>
      <c r="G215" s="150" t="str">
        <f aca="false">IF($J215="","",INDEX(LEDGER_ENGINE!$J$2:$J$546,$J215))</f>
        <v/>
      </c>
      <c r="H215" s="150" t="str">
        <f aca="false">IF($J215="","",INDEX(LEDGER_ENGINE!$L$2:$L$546,$J215))</f>
        <v/>
      </c>
      <c r="I215" s="150" t="str">
        <f aca="false">IF(A215="","",I214+H215)</f>
        <v/>
      </c>
      <c r="J215" s="101" t="str">
        <f aca="false">IFERROR(MATCH(LIBRI_I_MADH!$B$4&amp;"|"&amp;ROWS($A$6:A215),LEDGER_ENGINE!$U$2:$U$546,0),"")</f>
        <v/>
      </c>
    </row>
    <row r="216" customFormat="false" ht="15" hidden="false" customHeight="true" outlineLevel="0" collapsed="false">
      <c r="A216" s="148" t="str">
        <f aca="false">IF($J216="","",INDEX(LEDGER_ENGINE!$B$2:$B$546,$J216))</f>
        <v/>
      </c>
      <c r="B216" s="149" t="str">
        <f aca="false">IF($J216="","",INDEX(LEDGER_ENGINE!$C$2:$C$546,$J216))</f>
        <v/>
      </c>
      <c r="C216" s="149" t="str">
        <f aca="false">IF($J216="","",INDEX(LEDGER_ENGINE!$D$2:$D$546,$J216))</f>
        <v/>
      </c>
      <c r="D216" s="149" t="str">
        <f aca="false">IF($J216="","",INDEX(LEDGER_ENGINE!$G$2:$G$546,$J216))</f>
        <v/>
      </c>
      <c r="E216" s="149" t="str">
        <f aca="false">IFERROR(IF($J216="","",INDEX(LEDGER_ENGINE!$H$2:$H$546,$J216)),"")</f>
        <v/>
      </c>
      <c r="F216" s="150" t="str">
        <f aca="false">IF($J216="","",INDEX(LEDGER_ENGINE!$I$2:$I$546,$J216))</f>
        <v/>
      </c>
      <c r="G216" s="150" t="str">
        <f aca="false">IF($J216="","",INDEX(LEDGER_ENGINE!$J$2:$J$546,$J216))</f>
        <v/>
      </c>
      <c r="H216" s="150" t="str">
        <f aca="false">IF($J216="","",INDEX(LEDGER_ENGINE!$L$2:$L$546,$J216))</f>
        <v/>
      </c>
      <c r="I216" s="150" t="str">
        <f aca="false">IF(A216="","",I215+H216)</f>
        <v/>
      </c>
      <c r="J216" s="101" t="str">
        <f aca="false">IFERROR(MATCH(LIBRI_I_MADH!$B$4&amp;"|"&amp;ROWS($A$6:A216),LEDGER_ENGINE!$U$2:$U$546,0),"")</f>
        <v/>
      </c>
    </row>
    <row r="217" customFormat="false" ht="15" hidden="false" customHeight="true" outlineLevel="0" collapsed="false">
      <c r="A217" s="148" t="str">
        <f aca="false">IF($J217="","",INDEX(LEDGER_ENGINE!$B$2:$B$546,$J217))</f>
        <v/>
      </c>
      <c r="B217" s="149" t="str">
        <f aca="false">IF($J217="","",INDEX(LEDGER_ENGINE!$C$2:$C$546,$J217))</f>
        <v/>
      </c>
      <c r="C217" s="149" t="str">
        <f aca="false">IF($J217="","",INDEX(LEDGER_ENGINE!$D$2:$D$546,$J217))</f>
        <v/>
      </c>
      <c r="D217" s="149" t="str">
        <f aca="false">IF($J217="","",INDEX(LEDGER_ENGINE!$G$2:$G$546,$J217))</f>
        <v/>
      </c>
      <c r="E217" s="149" t="str">
        <f aca="false">IFERROR(IF($J217="","",INDEX(LEDGER_ENGINE!$H$2:$H$546,$J217)),"")</f>
        <v/>
      </c>
      <c r="F217" s="150" t="str">
        <f aca="false">IF($J217="","",INDEX(LEDGER_ENGINE!$I$2:$I$546,$J217))</f>
        <v/>
      </c>
      <c r="G217" s="150" t="str">
        <f aca="false">IF($J217="","",INDEX(LEDGER_ENGINE!$J$2:$J$546,$J217))</f>
        <v/>
      </c>
      <c r="H217" s="150" t="str">
        <f aca="false">IF($J217="","",INDEX(LEDGER_ENGINE!$L$2:$L$546,$J217))</f>
        <v/>
      </c>
      <c r="I217" s="150" t="str">
        <f aca="false">IF(A217="","",I216+H217)</f>
        <v/>
      </c>
      <c r="J217" s="101" t="str">
        <f aca="false">IFERROR(MATCH(LIBRI_I_MADH!$B$4&amp;"|"&amp;ROWS($A$6:A217),LEDGER_ENGINE!$U$2:$U$546,0),"")</f>
        <v/>
      </c>
    </row>
    <row r="218" customFormat="false" ht="15" hidden="false" customHeight="true" outlineLevel="0" collapsed="false">
      <c r="A218" s="148" t="str">
        <f aca="false">IF($J218="","",INDEX(LEDGER_ENGINE!$B$2:$B$546,$J218))</f>
        <v/>
      </c>
      <c r="B218" s="149" t="str">
        <f aca="false">IF($J218="","",INDEX(LEDGER_ENGINE!$C$2:$C$546,$J218))</f>
        <v/>
      </c>
      <c r="C218" s="149" t="str">
        <f aca="false">IF($J218="","",INDEX(LEDGER_ENGINE!$D$2:$D$546,$J218))</f>
        <v/>
      </c>
      <c r="D218" s="149" t="str">
        <f aca="false">IF($J218="","",INDEX(LEDGER_ENGINE!$G$2:$G$546,$J218))</f>
        <v/>
      </c>
      <c r="E218" s="149" t="str">
        <f aca="false">IFERROR(IF($J218="","",INDEX(LEDGER_ENGINE!$H$2:$H$546,$J218)),"")</f>
        <v/>
      </c>
      <c r="F218" s="150" t="str">
        <f aca="false">IF($J218="","",INDEX(LEDGER_ENGINE!$I$2:$I$546,$J218))</f>
        <v/>
      </c>
      <c r="G218" s="150" t="str">
        <f aca="false">IF($J218="","",INDEX(LEDGER_ENGINE!$J$2:$J$546,$J218))</f>
        <v/>
      </c>
      <c r="H218" s="150" t="str">
        <f aca="false">IF($J218="","",INDEX(LEDGER_ENGINE!$L$2:$L$546,$J218))</f>
        <v/>
      </c>
      <c r="I218" s="150" t="str">
        <f aca="false">IF(A218="","",I217+H218)</f>
        <v/>
      </c>
      <c r="J218" s="101" t="str">
        <f aca="false">IFERROR(MATCH(LIBRI_I_MADH!$B$4&amp;"|"&amp;ROWS($A$6:A218),LEDGER_ENGINE!$U$2:$U$546,0),"")</f>
        <v/>
      </c>
    </row>
    <row r="219" customFormat="false" ht="15" hidden="false" customHeight="true" outlineLevel="0" collapsed="false">
      <c r="A219" s="148" t="str">
        <f aca="false">IF($J219="","",INDEX(LEDGER_ENGINE!$B$2:$B$546,$J219))</f>
        <v/>
      </c>
      <c r="B219" s="149" t="str">
        <f aca="false">IF($J219="","",INDEX(LEDGER_ENGINE!$C$2:$C$546,$J219))</f>
        <v/>
      </c>
      <c r="C219" s="149" t="str">
        <f aca="false">IF($J219="","",INDEX(LEDGER_ENGINE!$D$2:$D$546,$J219))</f>
        <v/>
      </c>
      <c r="D219" s="149" t="str">
        <f aca="false">IF($J219="","",INDEX(LEDGER_ENGINE!$G$2:$G$546,$J219))</f>
        <v/>
      </c>
      <c r="E219" s="149" t="str">
        <f aca="false">IFERROR(IF($J219="","",INDEX(LEDGER_ENGINE!$H$2:$H$546,$J219)),"")</f>
        <v/>
      </c>
      <c r="F219" s="150" t="str">
        <f aca="false">IF($J219="","",INDEX(LEDGER_ENGINE!$I$2:$I$546,$J219))</f>
        <v/>
      </c>
      <c r="G219" s="150" t="str">
        <f aca="false">IF($J219="","",INDEX(LEDGER_ENGINE!$J$2:$J$546,$J219))</f>
        <v/>
      </c>
      <c r="H219" s="150" t="str">
        <f aca="false">IF($J219="","",INDEX(LEDGER_ENGINE!$L$2:$L$546,$J219))</f>
        <v/>
      </c>
      <c r="I219" s="150" t="str">
        <f aca="false">IF(A219="","",I218+H219)</f>
        <v/>
      </c>
      <c r="J219" s="101" t="str">
        <f aca="false">IFERROR(MATCH(LIBRI_I_MADH!$B$4&amp;"|"&amp;ROWS($A$6:A219),LEDGER_ENGINE!$U$2:$U$546,0),"")</f>
        <v/>
      </c>
    </row>
    <row r="220" customFormat="false" ht="15" hidden="false" customHeight="true" outlineLevel="0" collapsed="false">
      <c r="A220" s="148" t="str">
        <f aca="false">IF($J220="","",INDEX(LEDGER_ENGINE!$B$2:$B$546,$J220))</f>
        <v/>
      </c>
      <c r="B220" s="149" t="str">
        <f aca="false">IF($J220="","",INDEX(LEDGER_ENGINE!$C$2:$C$546,$J220))</f>
        <v/>
      </c>
      <c r="C220" s="149" t="str">
        <f aca="false">IF($J220="","",INDEX(LEDGER_ENGINE!$D$2:$D$546,$J220))</f>
        <v/>
      </c>
      <c r="D220" s="149" t="str">
        <f aca="false">IF($J220="","",INDEX(LEDGER_ENGINE!$G$2:$G$546,$J220))</f>
        <v/>
      </c>
      <c r="E220" s="149" t="str">
        <f aca="false">IFERROR(IF($J220="","",INDEX(LEDGER_ENGINE!$H$2:$H$546,$J220)),"")</f>
        <v/>
      </c>
      <c r="F220" s="150" t="str">
        <f aca="false">IF($J220="","",INDEX(LEDGER_ENGINE!$I$2:$I$546,$J220))</f>
        <v/>
      </c>
      <c r="G220" s="150" t="str">
        <f aca="false">IF($J220="","",INDEX(LEDGER_ENGINE!$J$2:$J$546,$J220))</f>
        <v/>
      </c>
      <c r="H220" s="150" t="str">
        <f aca="false">IF($J220="","",INDEX(LEDGER_ENGINE!$L$2:$L$546,$J220))</f>
        <v/>
      </c>
      <c r="I220" s="150" t="str">
        <f aca="false">IF(A220="","",I219+H220)</f>
        <v/>
      </c>
      <c r="J220" s="101" t="str">
        <f aca="false">IFERROR(MATCH(LIBRI_I_MADH!$B$4&amp;"|"&amp;ROWS($A$6:A220),LEDGER_ENGINE!$U$2:$U$546,0),"")</f>
        <v/>
      </c>
    </row>
    <row r="221" customFormat="false" ht="15" hidden="false" customHeight="true" outlineLevel="0" collapsed="false">
      <c r="A221" s="148" t="str">
        <f aca="false">IF($J221="","",INDEX(LEDGER_ENGINE!$B$2:$B$546,$J221))</f>
        <v/>
      </c>
      <c r="B221" s="149" t="str">
        <f aca="false">IF($J221="","",INDEX(LEDGER_ENGINE!$C$2:$C$546,$J221))</f>
        <v/>
      </c>
      <c r="C221" s="149" t="str">
        <f aca="false">IF($J221="","",INDEX(LEDGER_ENGINE!$D$2:$D$546,$J221))</f>
        <v/>
      </c>
      <c r="D221" s="149" t="str">
        <f aca="false">IF($J221="","",INDEX(LEDGER_ENGINE!$G$2:$G$546,$J221))</f>
        <v/>
      </c>
      <c r="E221" s="149" t="str">
        <f aca="false">IFERROR(IF($J221="","",INDEX(LEDGER_ENGINE!$H$2:$H$546,$J221)),"")</f>
        <v/>
      </c>
      <c r="F221" s="150" t="str">
        <f aca="false">IF($J221="","",INDEX(LEDGER_ENGINE!$I$2:$I$546,$J221))</f>
        <v/>
      </c>
      <c r="G221" s="150" t="str">
        <f aca="false">IF($J221="","",INDEX(LEDGER_ENGINE!$J$2:$J$546,$J221))</f>
        <v/>
      </c>
      <c r="H221" s="150" t="str">
        <f aca="false">IF($J221="","",INDEX(LEDGER_ENGINE!$L$2:$L$546,$J221))</f>
        <v/>
      </c>
      <c r="I221" s="150" t="str">
        <f aca="false">IF(A221="","",I220+H221)</f>
        <v/>
      </c>
      <c r="J221" s="101" t="str">
        <f aca="false">IFERROR(MATCH(LIBRI_I_MADH!$B$4&amp;"|"&amp;ROWS($A$6:A221),LEDGER_ENGINE!$U$2:$U$546,0),"")</f>
        <v/>
      </c>
    </row>
    <row r="222" customFormat="false" ht="15" hidden="false" customHeight="true" outlineLevel="0" collapsed="false">
      <c r="A222" s="148" t="str">
        <f aca="false">IF($J222="","",INDEX(LEDGER_ENGINE!$B$2:$B$546,$J222))</f>
        <v/>
      </c>
      <c r="B222" s="149" t="str">
        <f aca="false">IF($J222="","",INDEX(LEDGER_ENGINE!$C$2:$C$546,$J222))</f>
        <v/>
      </c>
      <c r="C222" s="149" t="str">
        <f aca="false">IF($J222="","",INDEX(LEDGER_ENGINE!$D$2:$D$546,$J222))</f>
        <v/>
      </c>
      <c r="D222" s="149" t="str">
        <f aca="false">IF($J222="","",INDEX(LEDGER_ENGINE!$G$2:$G$546,$J222))</f>
        <v/>
      </c>
      <c r="E222" s="149" t="str">
        <f aca="false">IFERROR(IF($J222="","",INDEX(LEDGER_ENGINE!$H$2:$H$546,$J222)),"")</f>
        <v/>
      </c>
      <c r="F222" s="150" t="str">
        <f aca="false">IF($J222="","",INDEX(LEDGER_ENGINE!$I$2:$I$546,$J222))</f>
        <v/>
      </c>
      <c r="G222" s="150" t="str">
        <f aca="false">IF($J222="","",INDEX(LEDGER_ENGINE!$J$2:$J$546,$J222))</f>
        <v/>
      </c>
      <c r="H222" s="150" t="str">
        <f aca="false">IF($J222="","",INDEX(LEDGER_ENGINE!$L$2:$L$546,$J222))</f>
        <v/>
      </c>
      <c r="I222" s="150" t="str">
        <f aca="false">IF(A222="","",I221+H222)</f>
        <v/>
      </c>
      <c r="J222" s="101" t="str">
        <f aca="false">IFERROR(MATCH(LIBRI_I_MADH!$B$4&amp;"|"&amp;ROWS($A$6:A222),LEDGER_ENGINE!$U$2:$U$546,0),"")</f>
        <v/>
      </c>
    </row>
    <row r="223" customFormat="false" ht="15" hidden="false" customHeight="true" outlineLevel="0" collapsed="false">
      <c r="A223" s="148" t="str">
        <f aca="false">IF($J223="","",INDEX(LEDGER_ENGINE!$B$2:$B$546,$J223))</f>
        <v/>
      </c>
      <c r="B223" s="149" t="str">
        <f aca="false">IF($J223="","",INDEX(LEDGER_ENGINE!$C$2:$C$546,$J223))</f>
        <v/>
      </c>
      <c r="C223" s="149" t="str">
        <f aca="false">IF($J223="","",INDEX(LEDGER_ENGINE!$D$2:$D$546,$J223))</f>
        <v/>
      </c>
      <c r="D223" s="149" t="str">
        <f aca="false">IF($J223="","",INDEX(LEDGER_ENGINE!$G$2:$G$546,$J223))</f>
        <v/>
      </c>
      <c r="E223" s="149" t="str">
        <f aca="false">IFERROR(IF($J223="","",INDEX(LEDGER_ENGINE!$H$2:$H$546,$J223)),"")</f>
        <v/>
      </c>
      <c r="F223" s="150" t="str">
        <f aca="false">IF($J223="","",INDEX(LEDGER_ENGINE!$I$2:$I$546,$J223))</f>
        <v/>
      </c>
      <c r="G223" s="150" t="str">
        <f aca="false">IF($J223="","",INDEX(LEDGER_ENGINE!$J$2:$J$546,$J223))</f>
        <v/>
      </c>
      <c r="H223" s="150" t="str">
        <f aca="false">IF($J223="","",INDEX(LEDGER_ENGINE!$L$2:$L$546,$J223))</f>
        <v/>
      </c>
      <c r="I223" s="150" t="str">
        <f aca="false">IF(A223="","",I222+H223)</f>
        <v/>
      </c>
      <c r="J223" s="101" t="str">
        <f aca="false">IFERROR(MATCH(LIBRI_I_MADH!$B$4&amp;"|"&amp;ROWS($A$6:A223),LEDGER_ENGINE!$U$2:$U$546,0),"")</f>
        <v/>
      </c>
    </row>
    <row r="224" customFormat="false" ht="15" hidden="false" customHeight="true" outlineLevel="0" collapsed="false">
      <c r="A224" s="148" t="str">
        <f aca="false">IF($J224="","",INDEX(LEDGER_ENGINE!$B$2:$B$546,$J224))</f>
        <v/>
      </c>
      <c r="B224" s="149" t="str">
        <f aca="false">IF($J224="","",INDEX(LEDGER_ENGINE!$C$2:$C$546,$J224))</f>
        <v/>
      </c>
      <c r="C224" s="149" t="str">
        <f aca="false">IF($J224="","",INDEX(LEDGER_ENGINE!$D$2:$D$546,$J224))</f>
        <v/>
      </c>
      <c r="D224" s="149" t="str">
        <f aca="false">IF($J224="","",INDEX(LEDGER_ENGINE!$G$2:$G$546,$J224))</f>
        <v/>
      </c>
      <c r="E224" s="149" t="str">
        <f aca="false">IFERROR(IF($J224="","",INDEX(LEDGER_ENGINE!$H$2:$H$546,$J224)),"")</f>
        <v/>
      </c>
      <c r="F224" s="150" t="str">
        <f aca="false">IF($J224="","",INDEX(LEDGER_ENGINE!$I$2:$I$546,$J224))</f>
        <v/>
      </c>
      <c r="G224" s="150" t="str">
        <f aca="false">IF($J224="","",INDEX(LEDGER_ENGINE!$J$2:$J$546,$J224))</f>
        <v/>
      </c>
      <c r="H224" s="150" t="str">
        <f aca="false">IF($J224="","",INDEX(LEDGER_ENGINE!$L$2:$L$546,$J224))</f>
        <v/>
      </c>
      <c r="I224" s="150" t="str">
        <f aca="false">IF(A224="","",I223+H224)</f>
        <v/>
      </c>
      <c r="J224" s="101" t="str">
        <f aca="false">IFERROR(MATCH(LIBRI_I_MADH!$B$4&amp;"|"&amp;ROWS($A$6:A224),LEDGER_ENGINE!$U$2:$U$546,0),"")</f>
        <v/>
      </c>
    </row>
    <row r="225" customFormat="false" ht="15" hidden="false" customHeight="true" outlineLevel="0" collapsed="false">
      <c r="A225" s="148" t="str">
        <f aca="false">IF($J225="","",INDEX(LEDGER_ENGINE!$B$2:$B$546,$J225))</f>
        <v/>
      </c>
      <c r="B225" s="149" t="str">
        <f aca="false">IF($J225="","",INDEX(LEDGER_ENGINE!$C$2:$C$546,$J225))</f>
        <v/>
      </c>
      <c r="C225" s="149" t="str">
        <f aca="false">IF($J225="","",INDEX(LEDGER_ENGINE!$D$2:$D$546,$J225))</f>
        <v/>
      </c>
      <c r="D225" s="149" t="str">
        <f aca="false">IF($J225="","",INDEX(LEDGER_ENGINE!$G$2:$G$546,$J225))</f>
        <v/>
      </c>
      <c r="E225" s="149" t="str">
        <f aca="false">IFERROR(IF($J225="","",INDEX(LEDGER_ENGINE!$H$2:$H$546,$J225)),"")</f>
        <v/>
      </c>
      <c r="F225" s="150" t="str">
        <f aca="false">IF($J225="","",INDEX(LEDGER_ENGINE!$I$2:$I$546,$J225))</f>
        <v/>
      </c>
      <c r="G225" s="150" t="str">
        <f aca="false">IF($J225="","",INDEX(LEDGER_ENGINE!$J$2:$J$546,$J225))</f>
        <v/>
      </c>
      <c r="H225" s="150" t="str">
        <f aca="false">IF($J225="","",INDEX(LEDGER_ENGINE!$L$2:$L$546,$J225))</f>
        <v/>
      </c>
      <c r="I225" s="150" t="str">
        <f aca="false">IF(A225="","",I224+H225)</f>
        <v/>
      </c>
      <c r="J225" s="101" t="str">
        <f aca="false">IFERROR(MATCH(LIBRI_I_MADH!$B$4&amp;"|"&amp;ROWS($A$6:A225),LEDGER_ENGINE!$U$2:$U$546,0),"")</f>
        <v/>
      </c>
    </row>
    <row r="226" customFormat="false" ht="15" hidden="false" customHeight="true" outlineLevel="0" collapsed="false">
      <c r="A226" s="148" t="str">
        <f aca="false">IF($J226="","",INDEX(LEDGER_ENGINE!$B$2:$B$546,$J226))</f>
        <v/>
      </c>
      <c r="B226" s="149" t="str">
        <f aca="false">IF($J226="","",INDEX(LEDGER_ENGINE!$C$2:$C$546,$J226))</f>
        <v/>
      </c>
      <c r="C226" s="149" t="str">
        <f aca="false">IF($J226="","",INDEX(LEDGER_ENGINE!$D$2:$D$546,$J226))</f>
        <v/>
      </c>
      <c r="D226" s="149" t="str">
        <f aca="false">IF($J226="","",INDEX(LEDGER_ENGINE!$G$2:$G$546,$J226))</f>
        <v/>
      </c>
      <c r="E226" s="149" t="str">
        <f aca="false">IFERROR(IF($J226="","",INDEX(LEDGER_ENGINE!$H$2:$H$546,$J226)),"")</f>
        <v/>
      </c>
      <c r="F226" s="150" t="str">
        <f aca="false">IF($J226="","",INDEX(LEDGER_ENGINE!$I$2:$I$546,$J226))</f>
        <v/>
      </c>
      <c r="G226" s="150" t="str">
        <f aca="false">IF($J226="","",INDEX(LEDGER_ENGINE!$J$2:$J$546,$J226))</f>
        <v/>
      </c>
      <c r="H226" s="150" t="str">
        <f aca="false">IF($J226="","",INDEX(LEDGER_ENGINE!$L$2:$L$546,$J226))</f>
        <v/>
      </c>
      <c r="I226" s="150" t="str">
        <f aca="false">IF(A226="","",I225+H226)</f>
        <v/>
      </c>
      <c r="J226" s="101" t="str">
        <f aca="false">IFERROR(MATCH(LIBRI_I_MADH!$B$4&amp;"|"&amp;ROWS($A$6:A226),LEDGER_ENGINE!$U$2:$U$546,0),"")</f>
        <v/>
      </c>
    </row>
    <row r="227" customFormat="false" ht="15" hidden="false" customHeight="true" outlineLevel="0" collapsed="false">
      <c r="A227" s="148" t="str">
        <f aca="false">IF($J227="","",INDEX(LEDGER_ENGINE!$B$2:$B$546,$J227))</f>
        <v/>
      </c>
      <c r="B227" s="149" t="str">
        <f aca="false">IF($J227="","",INDEX(LEDGER_ENGINE!$C$2:$C$546,$J227))</f>
        <v/>
      </c>
      <c r="C227" s="149" t="str">
        <f aca="false">IF($J227="","",INDEX(LEDGER_ENGINE!$D$2:$D$546,$J227))</f>
        <v/>
      </c>
      <c r="D227" s="149" t="str">
        <f aca="false">IF($J227="","",INDEX(LEDGER_ENGINE!$G$2:$G$546,$J227))</f>
        <v/>
      </c>
      <c r="E227" s="149" t="str">
        <f aca="false">IFERROR(IF($J227="","",INDEX(LEDGER_ENGINE!$H$2:$H$546,$J227)),"")</f>
        <v/>
      </c>
      <c r="F227" s="150" t="str">
        <f aca="false">IF($J227="","",INDEX(LEDGER_ENGINE!$I$2:$I$546,$J227))</f>
        <v/>
      </c>
      <c r="G227" s="150" t="str">
        <f aca="false">IF($J227="","",INDEX(LEDGER_ENGINE!$J$2:$J$546,$J227))</f>
        <v/>
      </c>
      <c r="H227" s="150" t="str">
        <f aca="false">IF($J227="","",INDEX(LEDGER_ENGINE!$L$2:$L$546,$J227))</f>
        <v/>
      </c>
      <c r="I227" s="150" t="str">
        <f aca="false">IF(A227="","",I226+H227)</f>
        <v/>
      </c>
      <c r="J227" s="101" t="str">
        <f aca="false">IFERROR(MATCH(LIBRI_I_MADH!$B$4&amp;"|"&amp;ROWS($A$6:A227),LEDGER_ENGINE!$U$2:$U$546,0),"")</f>
        <v/>
      </c>
    </row>
    <row r="228" customFormat="false" ht="15" hidden="false" customHeight="true" outlineLevel="0" collapsed="false">
      <c r="A228" s="148" t="str">
        <f aca="false">IF($J228="","",INDEX(LEDGER_ENGINE!$B$2:$B$546,$J228))</f>
        <v/>
      </c>
      <c r="B228" s="149" t="str">
        <f aca="false">IF($J228="","",INDEX(LEDGER_ENGINE!$C$2:$C$546,$J228))</f>
        <v/>
      </c>
      <c r="C228" s="149" t="str">
        <f aca="false">IF($J228="","",INDEX(LEDGER_ENGINE!$D$2:$D$546,$J228))</f>
        <v/>
      </c>
      <c r="D228" s="149" t="str">
        <f aca="false">IF($J228="","",INDEX(LEDGER_ENGINE!$G$2:$G$546,$J228))</f>
        <v/>
      </c>
      <c r="E228" s="149" t="str">
        <f aca="false">IFERROR(IF($J228="","",INDEX(LEDGER_ENGINE!$H$2:$H$546,$J228)),"")</f>
        <v/>
      </c>
      <c r="F228" s="150" t="str">
        <f aca="false">IF($J228="","",INDEX(LEDGER_ENGINE!$I$2:$I$546,$J228))</f>
        <v/>
      </c>
      <c r="G228" s="150" t="str">
        <f aca="false">IF($J228="","",INDEX(LEDGER_ENGINE!$J$2:$J$546,$J228))</f>
        <v/>
      </c>
      <c r="H228" s="150" t="str">
        <f aca="false">IF($J228="","",INDEX(LEDGER_ENGINE!$L$2:$L$546,$J228))</f>
        <v/>
      </c>
      <c r="I228" s="150" t="str">
        <f aca="false">IF(A228="","",I227+H228)</f>
        <v/>
      </c>
      <c r="J228" s="101" t="str">
        <f aca="false">IFERROR(MATCH(LIBRI_I_MADH!$B$4&amp;"|"&amp;ROWS($A$6:A228),LEDGER_ENGINE!$U$2:$U$546,0),"")</f>
        <v/>
      </c>
    </row>
    <row r="229" customFormat="false" ht="15" hidden="false" customHeight="true" outlineLevel="0" collapsed="false">
      <c r="A229" s="148" t="str">
        <f aca="false">IF($J229="","",INDEX(LEDGER_ENGINE!$B$2:$B$546,$J229))</f>
        <v/>
      </c>
      <c r="B229" s="149" t="str">
        <f aca="false">IF($J229="","",INDEX(LEDGER_ENGINE!$C$2:$C$546,$J229))</f>
        <v/>
      </c>
      <c r="C229" s="149" t="str">
        <f aca="false">IF($J229="","",INDEX(LEDGER_ENGINE!$D$2:$D$546,$J229))</f>
        <v/>
      </c>
      <c r="D229" s="149" t="str">
        <f aca="false">IF($J229="","",INDEX(LEDGER_ENGINE!$G$2:$G$546,$J229))</f>
        <v/>
      </c>
      <c r="E229" s="149" t="str">
        <f aca="false">IFERROR(IF($J229="","",INDEX(LEDGER_ENGINE!$H$2:$H$546,$J229)),"")</f>
        <v/>
      </c>
      <c r="F229" s="150" t="str">
        <f aca="false">IF($J229="","",INDEX(LEDGER_ENGINE!$I$2:$I$546,$J229))</f>
        <v/>
      </c>
      <c r="G229" s="150" t="str">
        <f aca="false">IF($J229="","",INDEX(LEDGER_ENGINE!$J$2:$J$546,$J229))</f>
        <v/>
      </c>
      <c r="H229" s="150" t="str">
        <f aca="false">IF($J229="","",INDEX(LEDGER_ENGINE!$L$2:$L$546,$J229))</f>
        <v/>
      </c>
      <c r="I229" s="150" t="str">
        <f aca="false">IF(A229="","",I228+H229)</f>
        <v/>
      </c>
      <c r="J229" s="101" t="str">
        <f aca="false">IFERROR(MATCH(LIBRI_I_MADH!$B$4&amp;"|"&amp;ROWS($A$6:A229),LEDGER_ENGINE!$U$2:$U$546,0),"")</f>
        <v/>
      </c>
    </row>
    <row r="230" customFormat="false" ht="15" hidden="false" customHeight="true" outlineLevel="0" collapsed="false">
      <c r="A230" s="148" t="str">
        <f aca="false">IF($J230="","",INDEX(LEDGER_ENGINE!$B$2:$B$546,$J230))</f>
        <v/>
      </c>
      <c r="B230" s="149" t="str">
        <f aca="false">IF($J230="","",INDEX(LEDGER_ENGINE!$C$2:$C$546,$J230))</f>
        <v/>
      </c>
      <c r="C230" s="149" t="str">
        <f aca="false">IF($J230="","",INDEX(LEDGER_ENGINE!$D$2:$D$546,$J230))</f>
        <v/>
      </c>
      <c r="D230" s="149" t="str">
        <f aca="false">IF($J230="","",INDEX(LEDGER_ENGINE!$G$2:$G$546,$J230))</f>
        <v/>
      </c>
      <c r="E230" s="149" t="str">
        <f aca="false">IFERROR(IF($J230="","",INDEX(LEDGER_ENGINE!$H$2:$H$546,$J230)),"")</f>
        <v/>
      </c>
      <c r="F230" s="150" t="str">
        <f aca="false">IF($J230="","",INDEX(LEDGER_ENGINE!$I$2:$I$546,$J230))</f>
        <v/>
      </c>
      <c r="G230" s="150" t="str">
        <f aca="false">IF($J230="","",INDEX(LEDGER_ENGINE!$J$2:$J$546,$J230))</f>
        <v/>
      </c>
      <c r="H230" s="150" t="str">
        <f aca="false">IF($J230="","",INDEX(LEDGER_ENGINE!$L$2:$L$546,$J230))</f>
        <v/>
      </c>
      <c r="I230" s="150" t="str">
        <f aca="false">IF(A230="","",I229+H230)</f>
        <v/>
      </c>
      <c r="J230" s="101" t="str">
        <f aca="false">IFERROR(MATCH(LIBRI_I_MADH!$B$4&amp;"|"&amp;ROWS($A$6:A230),LEDGER_ENGINE!$U$2:$U$546,0),"")</f>
        <v/>
      </c>
    </row>
    <row r="231" customFormat="false" ht="15" hidden="false" customHeight="true" outlineLevel="0" collapsed="false">
      <c r="A231" s="148" t="str">
        <f aca="false">IF($J231="","",INDEX(LEDGER_ENGINE!$B$2:$B$546,$J231))</f>
        <v/>
      </c>
      <c r="B231" s="149" t="str">
        <f aca="false">IF($J231="","",INDEX(LEDGER_ENGINE!$C$2:$C$546,$J231))</f>
        <v/>
      </c>
      <c r="C231" s="149" t="str">
        <f aca="false">IF($J231="","",INDEX(LEDGER_ENGINE!$D$2:$D$546,$J231))</f>
        <v/>
      </c>
      <c r="D231" s="149" t="str">
        <f aca="false">IF($J231="","",INDEX(LEDGER_ENGINE!$G$2:$G$546,$J231))</f>
        <v/>
      </c>
      <c r="E231" s="149" t="str">
        <f aca="false">IFERROR(IF($J231="","",INDEX(LEDGER_ENGINE!$H$2:$H$546,$J231)),"")</f>
        <v/>
      </c>
      <c r="F231" s="150" t="str">
        <f aca="false">IF($J231="","",INDEX(LEDGER_ENGINE!$I$2:$I$546,$J231))</f>
        <v/>
      </c>
      <c r="G231" s="150" t="str">
        <f aca="false">IF($J231="","",INDEX(LEDGER_ENGINE!$J$2:$J$546,$J231))</f>
        <v/>
      </c>
      <c r="H231" s="150" t="str">
        <f aca="false">IF($J231="","",INDEX(LEDGER_ENGINE!$L$2:$L$546,$J231))</f>
        <v/>
      </c>
      <c r="I231" s="150" t="str">
        <f aca="false">IF(A231="","",I230+H231)</f>
        <v/>
      </c>
      <c r="J231" s="101" t="str">
        <f aca="false">IFERROR(MATCH(LIBRI_I_MADH!$B$4&amp;"|"&amp;ROWS($A$6:A231),LEDGER_ENGINE!$U$2:$U$546,0),"")</f>
        <v/>
      </c>
    </row>
    <row r="232" customFormat="false" ht="15" hidden="false" customHeight="true" outlineLevel="0" collapsed="false">
      <c r="A232" s="148" t="str">
        <f aca="false">IF($J232="","",INDEX(LEDGER_ENGINE!$B$2:$B$546,$J232))</f>
        <v/>
      </c>
      <c r="B232" s="149" t="str">
        <f aca="false">IF($J232="","",INDEX(LEDGER_ENGINE!$C$2:$C$546,$J232))</f>
        <v/>
      </c>
      <c r="C232" s="149" t="str">
        <f aca="false">IF($J232="","",INDEX(LEDGER_ENGINE!$D$2:$D$546,$J232))</f>
        <v/>
      </c>
      <c r="D232" s="149" t="str">
        <f aca="false">IF($J232="","",INDEX(LEDGER_ENGINE!$G$2:$G$546,$J232))</f>
        <v/>
      </c>
      <c r="E232" s="149" t="str">
        <f aca="false">IFERROR(IF($J232="","",INDEX(LEDGER_ENGINE!$H$2:$H$546,$J232)),"")</f>
        <v/>
      </c>
      <c r="F232" s="150" t="str">
        <f aca="false">IF($J232="","",INDEX(LEDGER_ENGINE!$I$2:$I$546,$J232))</f>
        <v/>
      </c>
      <c r="G232" s="150" t="str">
        <f aca="false">IF($J232="","",INDEX(LEDGER_ENGINE!$J$2:$J$546,$J232))</f>
        <v/>
      </c>
      <c r="H232" s="150" t="str">
        <f aca="false">IF($J232="","",INDEX(LEDGER_ENGINE!$L$2:$L$546,$J232))</f>
        <v/>
      </c>
      <c r="I232" s="150" t="str">
        <f aca="false">IF(A232="","",I231+H232)</f>
        <v/>
      </c>
      <c r="J232" s="101" t="str">
        <f aca="false">IFERROR(MATCH(LIBRI_I_MADH!$B$4&amp;"|"&amp;ROWS($A$6:A232),LEDGER_ENGINE!$U$2:$U$546,0),"")</f>
        <v/>
      </c>
    </row>
    <row r="233" customFormat="false" ht="15" hidden="false" customHeight="true" outlineLevel="0" collapsed="false">
      <c r="A233" s="148" t="str">
        <f aca="false">IF($J233="","",INDEX(LEDGER_ENGINE!$B$2:$B$546,$J233))</f>
        <v/>
      </c>
      <c r="B233" s="149" t="str">
        <f aca="false">IF($J233="","",INDEX(LEDGER_ENGINE!$C$2:$C$546,$J233))</f>
        <v/>
      </c>
      <c r="C233" s="149" t="str">
        <f aca="false">IF($J233="","",INDEX(LEDGER_ENGINE!$D$2:$D$546,$J233))</f>
        <v/>
      </c>
      <c r="D233" s="149" t="str">
        <f aca="false">IF($J233="","",INDEX(LEDGER_ENGINE!$G$2:$G$546,$J233))</f>
        <v/>
      </c>
      <c r="E233" s="149" t="str">
        <f aca="false">IFERROR(IF($J233="","",INDEX(LEDGER_ENGINE!$H$2:$H$546,$J233)),"")</f>
        <v/>
      </c>
      <c r="F233" s="150" t="str">
        <f aca="false">IF($J233="","",INDEX(LEDGER_ENGINE!$I$2:$I$546,$J233))</f>
        <v/>
      </c>
      <c r="G233" s="150" t="str">
        <f aca="false">IF($J233="","",INDEX(LEDGER_ENGINE!$J$2:$J$546,$J233))</f>
        <v/>
      </c>
      <c r="H233" s="150" t="str">
        <f aca="false">IF($J233="","",INDEX(LEDGER_ENGINE!$L$2:$L$546,$J233))</f>
        <v/>
      </c>
      <c r="I233" s="150" t="str">
        <f aca="false">IF(A233="","",I232+H233)</f>
        <v/>
      </c>
      <c r="J233" s="101" t="str">
        <f aca="false">IFERROR(MATCH(LIBRI_I_MADH!$B$4&amp;"|"&amp;ROWS($A$6:A233),LEDGER_ENGINE!$U$2:$U$546,0),"")</f>
        <v/>
      </c>
    </row>
    <row r="234" customFormat="false" ht="15" hidden="false" customHeight="true" outlineLevel="0" collapsed="false">
      <c r="A234" s="148" t="str">
        <f aca="false">IF($J234="","",INDEX(LEDGER_ENGINE!$B$2:$B$546,$J234))</f>
        <v/>
      </c>
      <c r="B234" s="149" t="str">
        <f aca="false">IF($J234="","",INDEX(LEDGER_ENGINE!$C$2:$C$546,$J234))</f>
        <v/>
      </c>
      <c r="C234" s="149" t="str">
        <f aca="false">IF($J234="","",INDEX(LEDGER_ENGINE!$D$2:$D$546,$J234))</f>
        <v/>
      </c>
      <c r="D234" s="149" t="str">
        <f aca="false">IF($J234="","",INDEX(LEDGER_ENGINE!$G$2:$G$546,$J234))</f>
        <v/>
      </c>
      <c r="E234" s="149" t="str">
        <f aca="false">IFERROR(IF($J234="","",INDEX(LEDGER_ENGINE!$H$2:$H$546,$J234)),"")</f>
        <v/>
      </c>
      <c r="F234" s="150" t="str">
        <f aca="false">IF($J234="","",INDEX(LEDGER_ENGINE!$I$2:$I$546,$J234))</f>
        <v/>
      </c>
      <c r="G234" s="150" t="str">
        <f aca="false">IF($J234="","",INDEX(LEDGER_ENGINE!$J$2:$J$546,$J234))</f>
        <v/>
      </c>
      <c r="H234" s="150" t="str">
        <f aca="false">IF($J234="","",INDEX(LEDGER_ENGINE!$L$2:$L$546,$J234))</f>
        <v/>
      </c>
      <c r="I234" s="150" t="str">
        <f aca="false">IF(A234="","",I233+H234)</f>
        <v/>
      </c>
      <c r="J234" s="101" t="str">
        <f aca="false">IFERROR(MATCH(LIBRI_I_MADH!$B$4&amp;"|"&amp;ROWS($A$6:A234),LEDGER_ENGINE!$U$2:$U$546,0),"")</f>
        <v/>
      </c>
    </row>
    <row r="235" customFormat="false" ht="15" hidden="false" customHeight="true" outlineLevel="0" collapsed="false">
      <c r="A235" s="148" t="str">
        <f aca="false">IF($J235="","",INDEX(LEDGER_ENGINE!$B$2:$B$546,$J235))</f>
        <v/>
      </c>
      <c r="B235" s="149" t="str">
        <f aca="false">IF($J235="","",INDEX(LEDGER_ENGINE!$C$2:$C$546,$J235))</f>
        <v/>
      </c>
      <c r="C235" s="149" t="str">
        <f aca="false">IF($J235="","",INDEX(LEDGER_ENGINE!$D$2:$D$546,$J235))</f>
        <v/>
      </c>
      <c r="D235" s="149" t="str">
        <f aca="false">IF($J235="","",INDEX(LEDGER_ENGINE!$G$2:$G$546,$J235))</f>
        <v/>
      </c>
      <c r="E235" s="149" t="str">
        <f aca="false">IFERROR(IF($J235="","",INDEX(LEDGER_ENGINE!$H$2:$H$546,$J235)),"")</f>
        <v/>
      </c>
      <c r="F235" s="150" t="str">
        <f aca="false">IF($J235="","",INDEX(LEDGER_ENGINE!$I$2:$I$546,$J235))</f>
        <v/>
      </c>
      <c r="G235" s="150" t="str">
        <f aca="false">IF($J235="","",INDEX(LEDGER_ENGINE!$J$2:$J$546,$J235))</f>
        <v/>
      </c>
      <c r="H235" s="150" t="str">
        <f aca="false">IF($J235="","",INDEX(LEDGER_ENGINE!$L$2:$L$546,$J235))</f>
        <v/>
      </c>
      <c r="I235" s="150" t="str">
        <f aca="false">IF(A235="","",I234+H235)</f>
        <v/>
      </c>
      <c r="J235" s="101" t="str">
        <f aca="false">IFERROR(MATCH(LIBRI_I_MADH!$B$4&amp;"|"&amp;ROWS($A$6:A235),LEDGER_ENGINE!$U$2:$U$546,0),"")</f>
        <v/>
      </c>
    </row>
    <row r="236" customFormat="false" ht="15" hidden="false" customHeight="true" outlineLevel="0" collapsed="false">
      <c r="A236" s="148" t="str">
        <f aca="false">IF($J236="","",INDEX(LEDGER_ENGINE!$B$2:$B$546,$J236))</f>
        <v/>
      </c>
      <c r="B236" s="149" t="str">
        <f aca="false">IF($J236="","",INDEX(LEDGER_ENGINE!$C$2:$C$546,$J236))</f>
        <v/>
      </c>
      <c r="C236" s="149" t="str">
        <f aca="false">IF($J236="","",INDEX(LEDGER_ENGINE!$D$2:$D$546,$J236))</f>
        <v/>
      </c>
      <c r="D236" s="149" t="str">
        <f aca="false">IF($J236="","",INDEX(LEDGER_ENGINE!$G$2:$G$546,$J236))</f>
        <v/>
      </c>
      <c r="E236" s="149" t="str">
        <f aca="false">IFERROR(IF($J236="","",INDEX(LEDGER_ENGINE!$H$2:$H$546,$J236)),"")</f>
        <v/>
      </c>
      <c r="F236" s="150" t="str">
        <f aca="false">IF($J236="","",INDEX(LEDGER_ENGINE!$I$2:$I$546,$J236))</f>
        <v/>
      </c>
      <c r="G236" s="150" t="str">
        <f aca="false">IF($J236="","",INDEX(LEDGER_ENGINE!$J$2:$J$546,$J236))</f>
        <v/>
      </c>
      <c r="H236" s="150" t="str">
        <f aca="false">IF($J236="","",INDEX(LEDGER_ENGINE!$L$2:$L$546,$J236))</f>
        <v/>
      </c>
      <c r="I236" s="150" t="str">
        <f aca="false">IF(A236="","",I235+H236)</f>
        <v/>
      </c>
      <c r="J236" s="101" t="str">
        <f aca="false">IFERROR(MATCH(LIBRI_I_MADH!$B$4&amp;"|"&amp;ROWS($A$6:A236),LEDGER_ENGINE!$U$2:$U$546,0),"")</f>
        <v/>
      </c>
    </row>
    <row r="237" customFormat="false" ht="15" hidden="false" customHeight="true" outlineLevel="0" collapsed="false">
      <c r="A237" s="148" t="str">
        <f aca="false">IF($J237="","",INDEX(LEDGER_ENGINE!$B$2:$B$546,$J237))</f>
        <v/>
      </c>
      <c r="B237" s="149" t="str">
        <f aca="false">IF($J237="","",INDEX(LEDGER_ENGINE!$C$2:$C$546,$J237))</f>
        <v/>
      </c>
      <c r="C237" s="149" t="str">
        <f aca="false">IF($J237="","",INDEX(LEDGER_ENGINE!$D$2:$D$546,$J237))</f>
        <v/>
      </c>
      <c r="D237" s="149" t="str">
        <f aca="false">IF($J237="","",INDEX(LEDGER_ENGINE!$G$2:$G$546,$J237))</f>
        <v/>
      </c>
      <c r="E237" s="149" t="str">
        <f aca="false">IFERROR(IF($J237="","",INDEX(LEDGER_ENGINE!$H$2:$H$546,$J237)),"")</f>
        <v/>
      </c>
      <c r="F237" s="150" t="str">
        <f aca="false">IF($J237="","",INDEX(LEDGER_ENGINE!$I$2:$I$546,$J237))</f>
        <v/>
      </c>
      <c r="G237" s="150" t="str">
        <f aca="false">IF($J237="","",INDEX(LEDGER_ENGINE!$J$2:$J$546,$J237))</f>
        <v/>
      </c>
      <c r="H237" s="150" t="str">
        <f aca="false">IF($J237="","",INDEX(LEDGER_ENGINE!$L$2:$L$546,$J237))</f>
        <v/>
      </c>
      <c r="I237" s="150" t="str">
        <f aca="false">IF(A237="","",I236+H237)</f>
        <v/>
      </c>
      <c r="J237" s="101" t="str">
        <f aca="false">IFERROR(MATCH(LIBRI_I_MADH!$B$4&amp;"|"&amp;ROWS($A$6:A237),LEDGER_ENGINE!$U$2:$U$546,0),"")</f>
        <v/>
      </c>
    </row>
    <row r="238" customFormat="false" ht="15" hidden="false" customHeight="true" outlineLevel="0" collapsed="false">
      <c r="A238" s="148" t="str">
        <f aca="false">IF($J238="","",INDEX(LEDGER_ENGINE!$B$2:$B$546,$J238))</f>
        <v/>
      </c>
      <c r="B238" s="149" t="str">
        <f aca="false">IF($J238="","",INDEX(LEDGER_ENGINE!$C$2:$C$546,$J238))</f>
        <v/>
      </c>
      <c r="C238" s="149" t="str">
        <f aca="false">IF($J238="","",INDEX(LEDGER_ENGINE!$D$2:$D$546,$J238))</f>
        <v/>
      </c>
      <c r="D238" s="149" t="str">
        <f aca="false">IF($J238="","",INDEX(LEDGER_ENGINE!$G$2:$G$546,$J238))</f>
        <v/>
      </c>
      <c r="E238" s="149" t="str">
        <f aca="false">IFERROR(IF($J238="","",INDEX(LEDGER_ENGINE!$H$2:$H$546,$J238)),"")</f>
        <v/>
      </c>
      <c r="F238" s="150" t="str">
        <f aca="false">IF($J238="","",INDEX(LEDGER_ENGINE!$I$2:$I$546,$J238))</f>
        <v/>
      </c>
      <c r="G238" s="150" t="str">
        <f aca="false">IF($J238="","",INDEX(LEDGER_ENGINE!$J$2:$J$546,$J238))</f>
        <v/>
      </c>
      <c r="H238" s="150" t="str">
        <f aca="false">IF($J238="","",INDEX(LEDGER_ENGINE!$L$2:$L$546,$J238))</f>
        <v/>
      </c>
      <c r="I238" s="150" t="str">
        <f aca="false">IF(A238="","",I237+H238)</f>
        <v/>
      </c>
      <c r="J238" s="101" t="str">
        <f aca="false">IFERROR(MATCH(LIBRI_I_MADH!$B$4&amp;"|"&amp;ROWS($A$6:A238),LEDGER_ENGINE!$U$2:$U$546,0),"")</f>
        <v/>
      </c>
    </row>
    <row r="239" customFormat="false" ht="15" hidden="false" customHeight="true" outlineLevel="0" collapsed="false">
      <c r="A239" s="148" t="str">
        <f aca="false">IF($J239="","",INDEX(LEDGER_ENGINE!$B$2:$B$546,$J239))</f>
        <v/>
      </c>
      <c r="B239" s="149" t="str">
        <f aca="false">IF($J239="","",INDEX(LEDGER_ENGINE!$C$2:$C$546,$J239))</f>
        <v/>
      </c>
      <c r="C239" s="149" t="str">
        <f aca="false">IF($J239="","",INDEX(LEDGER_ENGINE!$D$2:$D$546,$J239))</f>
        <v/>
      </c>
      <c r="D239" s="149" t="str">
        <f aca="false">IF($J239="","",INDEX(LEDGER_ENGINE!$G$2:$G$546,$J239))</f>
        <v/>
      </c>
      <c r="E239" s="149" t="str">
        <f aca="false">IFERROR(IF($J239="","",INDEX(LEDGER_ENGINE!$H$2:$H$546,$J239)),"")</f>
        <v/>
      </c>
      <c r="F239" s="150" t="str">
        <f aca="false">IF($J239="","",INDEX(LEDGER_ENGINE!$I$2:$I$546,$J239))</f>
        <v/>
      </c>
      <c r="G239" s="150" t="str">
        <f aca="false">IF($J239="","",INDEX(LEDGER_ENGINE!$J$2:$J$546,$J239))</f>
        <v/>
      </c>
      <c r="H239" s="150" t="str">
        <f aca="false">IF($J239="","",INDEX(LEDGER_ENGINE!$L$2:$L$546,$J239))</f>
        <v/>
      </c>
      <c r="I239" s="150" t="str">
        <f aca="false">IF(A239="","",I238+H239)</f>
        <v/>
      </c>
      <c r="J239" s="101" t="str">
        <f aca="false">IFERROR(MATCH(LIBRI_I_MADH!$B$4&amp;"|"&amp;ROWS($A$6:A239),LEDGER_ENGINE!$U$2:$U$546,0),"")</f>
        <v/>
      </c>
    </row>
    <row r="240" customFormat="false" ht="15" hidden="false" customHeight="true" outlineLevel="0" collapsed="false">
      <c r="A240" s="148" t="str">
        <f aca="false">IF($J240="","",INDEX(LEDGER_ENGINE!$B$2:$B$546,$J240))</f>
        <v/>
      </c>
      <c r="B240" s="149" t="str">
        <f aca="false">IF($J240="","",INDEX(LEDGER_ENGINE!$C$2:$C$546,$J240))</f>
        <v/>
      </c>
      <c r="C240" s="149" t="str">
        <f aca="false">IF($J240="","",INDEX(LEDGER_ENGINE!$D$2:$D$546,$J240))</f>
        <v/>
      </c>
      <c r="D240" s="149" t="str">
        <f aca="false">IF($J240="","",INDEX(LEDGER_ENGINE!$G$2:$G$546,$J240))</f>
        <v/>
      </c>
      <c r="E240" s="149" t="str">
        <f aca="false">IFERROR(IF($J240="","",INDEX(LEDGER_ENGINE!$H$2:$H$546,$J240)),"")</f>
        <v/>
      </c>
      <c r="F240" s="150" t="str">
        <f aca="false">IF($J240="","",INDEX(LEDGER_ENGINE!$I$2:$I$546,$J240))</f>
        <v/>
      </c>
      <c r="G240" s="150" t="str">
        <f aca="false">IF($J240="","",INDEX(LEDGER_ENGINE!$J$2:$J$546,$J240))</f>
        <v/>
      </c>
      <c r="H240" s="150" t="str">
        <f aca="false">IF($J240="","",INDEX(LEDGER_ENGINE!$L$2:$L$546,$J240))</f>
        <v/>
      </c>
      <c r="I240" s="150" t="str">
        <f aca="false">IF(A240="","",I239+H240)</f>
        <v/>
      </c>
      <c r="J240" s="101" t="str">
        <f aca="false">IFERROR(MATCH(LIBRI_I_MADH!$B$4&amp;"|"&amp;ROWS($A$6:A240),LEDGER_ENGINE!$U$2:$U$546,0),"")</f>
        <v/>
      </c>
    </row>
    <row r="241" customFormat="false" ht="15" hidden="false" customHeight="true" outlineLevel="0" collapsed="false">
      <c r="A241" s="148" t="str">
        <f aca="false">IF($J241="","",INDEX(LEDGER_ENGINE!$B$2:$B$546,$J241))</f>
        <v/>
      </c>
      <c r="B241" s="149" t="str">
        <f aca="false">IF($J241="","",INDEX(LEDGER_ENGINE!$C$2:$C$546,$J241))</f>
        <v/>
      </c>
      <c r="C241" s="149" t="str">
        <f aca="false">IF($J241="","",INDEX(LEDGER_ENGINE!$D$2:$D$546,$J241))</f>
        <v/>
      </c>
      <c r="D241" s="149" t="str">
        <f aca="false">IF($J241="","",INDEX(LEDGER_ENGINE!$G$2:$G$546,$J241))</f>
        <v/>
      </c>
      <c r="E241" s="149" t="str">
        <f aca="false">IFERROR(IF($J241="","",INDEX(LEDGER_ENGINE!$H$2:$H$546,$J241)),"")</f>
        <v/>
      </c>
      <c r="F241" s="150" t="str">
        <f aca="false">IF($J241="","",INDEX(LEDGER_ENGINE!$I$2:$I$546,$J241))</f>
        <v/>
      </c>
      <c r="G241" s="150" t="str">
        <f aca="false">IF($J241="","",INDEX(LEDGER_ENGINE!$J$2:$J$546,$J241))</f>
        <v/>
      </c>
      <c r="H241" s="150" t="str">
        <f aca="false">IF($J241="","",INDEX(LEDGER_ENGINE!$L$2:$L$546,$J241))</f>
        <v/>
      </c>
      <c r="I241" s="150" t="str">
        <f aca="false">IF(A241="","",I240+H241)</f>
        <v/>
      </c>
      <c r="J241" s="101" t="str">
        <f aca="false">IFERROR(MATCH(LIBRI_I_MADH!$B$4&amp;"|"&amp;ROWS($A$6:A241),LEDGER_ENGINE!$U$2:$U$546,0),"")</f>
        <v/>
      </c>
    </row>
    <row r="242" customFormat="false" ht="15" hidden="false" customHeight="true" outlineLevel="0" collapsed="false">
      <c r="A242" s="148" t="str">
        <f aca="false">IF($J242="","",INDEX(LEDGER_ENGINE!$B$2:$B$546,$J242))</f>
        <v/>
      </c>
      <c r="B242" s="149" t="str">
        <f aca="false">IF($J242="","",INDEX(LEDGER_ENGINE!$C$2:$C$546,$J242))</f>
        <v/>
      </c>
      <c r="C242" s="149" t="str">
        <f aca="false">IF($J242="","",INDEX(LEDGER_ENGINE!$D$2:$D$546,$J242))</f>
        <v/>
      </c>
      <c r="D242" s="149" t="str">
        <f aca="false">IF($J242="","",INDEX(LEDGER_ENGINE!$G$2:$G$546,$J242))</f>
        <v/>
      </c>
      <c r="E242" s="149" t="str">
        <f aca="false">IFERROR(IF($J242="","",INDEX(LEDGER_ENGINE!$H$2:$H$546,$J242)),"")</f>
        <v/>
      </c>
      <c r="F242" s="150" t="str">
        <f aca="false">IF($J242="","",INDEX(LEDGER_ENGINE!$I$2:$I$546,$J242))</f>
        <v/>
      </c>
      <c r="G242" s="150" t="str">
        <f aca="false">IF($J242="","",INDEX(LEDGER_ENGINE!$J$2:$J$546,$J242))</f>
        <v/>
      </c>
      <c r="H242" s="150" t="str">
        <f aca="false">IF($J242="","",INDEX(LEDGER_ENGINE!$L$2:$L$546,$J242))</f>
        <v/>
      </c>
      <c r="I242" s="150" t="str">
        <f aca="false">IF(A242="","",I241+H242)</f>
        <v/>
      </c>
      <c r="J242" s="101" t="str">
        <f aca="false">IFERROR(MATCH(LIBRI_I_MADH!$B$4&amp;"|"&amp;ROWS($A$6:A242),LEDGER_ENGINE!$U$2:$U$546,0),"")</f>
        <v/>
      </c>
    </row>
    <row r="243" customFormat="false" ht="15" hidden="false" customHeight="true" outlineLevel="0" collapsed="false">
      <c r="A243" s="148" t="str">
        <f aca="false">IF($J243="","",INDEX(LEDGER_ENGINE!$B$2:$B$546,$J243))</f>
        <v/>
      </c>
      <c r="B243" s="149" t="str">
        <f aca="false">IF($J243="","",INDEX(LEDGER_ENGINE!$C$2:$C$546,$J243))</f>
        <v/>
      </c>
      <c r="C243" s="149" t="str">
        <f aca="false">IF($J243="","",INDEX(LEDGER_ENGINE!$D$2:$D$546,$J243))</f>
        <v/>
      </c>
      <c r="D243" s="149" t="str">
        <f aca="false">IF($J243="","",INDEX(LEDGER_ENGINE!$G$2:$G$546,$J243))</f>
        <v/>
      </c>
      <c r="E243" s="149" t="str">
        <f aca="false">IFERROR(IF($J243="","",INDEX(LEDGER_ENGINE!$H$2:$H$546,$J243)),"")</f>
        <v/>
      </c>
      <c r="F243" s="150" t="str">
        <f aca="false">IF($J243="","",INDEX(LEDGER_ENGINE!$I$2:$I$546,$J243))</f>
        <v/>
      </c>
      <c r="G243" s="150" t="str">
        <f aca="false">IF($J243="","",INDEX(LEDGER_ENGINE!$J$2:$J$546,$J243))</f>
        <v/>
      </c>
      <c r="H243" s="150" t="str">
        <f aca="false">IF($J243="","",INDEX(LEDGER_ENGINE!$L$2:$L$546,$J243))</f>
        <v/>
      </c>
      <c r="I243" s="150" t="str">
        <f aca="false">IF(A243="","",I242+H243)</f>
        <v/>
      </c>
      <c r="J243" s="101" t="str">
        <f aca="false">IFERROR(MATCH(LIBRI_I_MADH!$B$4&amp;"|"&amp;ROWS($A$6:A243),LEDGER_ENGINE!$U$2:$U$546,0),"")</f>
        <v/>
      </c>
    </row>
    <row r="244" customFormat="false" ht="15" hidden="false" customHeight="true" outlineLevel="0" collapsed="false">
      <c r="A244" s="148" t="str">
        <f aca="false">IF($J244="","",INDEX(LEDGER_ENGINE!$B$2:$B$546,$J244))</f>
        <v/>
      </c>
      <c r="B244" s="149" t="str">
        <f aca="false">IF($J244="","",INDEX(LEDGER_ENGINE!$C$2:$C$546,$J244))</f>
        <v/>
      </c>
      <c r="C244" s="149" t="str">
        <f aca="false">IF($J244="","",INDEX(LEDGER_ENGINE!$D$2:$D$546,$J244))</f>
        <v/>
      </c>
      <c r="D244" s="149" t="str">
        <f aca="false">IF($J244="","",INDEX(LEDGER_ENGINE!$G$2:$G$546,$J244))</f>
        <v/>
      </c>
      <c r="E244" s="149" t="str">
        <f aca="false">IFERROR(IF($J244="","",INDEX(LEDGER_ENGINE!$H$2:$H$546,$J244)),"")</f>
        <v/>
      </c>
      <c r="F244" s="150" t="str">
        <f aca="false">IF($J244="","",INDEX(LEDGER_ENGINE!$I$2:$I$546,$J244))</f>
        <v/>
      </c>
      <c r="G244" s="150" t="str">
        <f aca="false">IF($J244="","",INDEX(LEDGER_ENGINE!$J$2:$J$546,$J244))</f>
        <v/>
      </c>
      <c r="H244" s="150" t="str">
        <f aca="false">IF($J244="","",INDEX(LEDGER_ENGINE!$L$2:$L$546,$J244))</f>
        <v/>
      </c>
      <c r="I244" s="150" t="str">
        <f aca="false">IF(A244="","",I243+H244)</f>
        <v/>
      </c>
      <c r="J244" s="101" t="str">
        <f aca="false">IFERROR(MATCH(LIBRI_I_MADH!$B$4&amp;"|"&amp;ROWS($A$6:A244),LEDGER_ENGINE!$U$2:$U$546,0),"")</f>
        <v/>
      </c>
    </row>
    <row r="245" customFormat="false" ht="15" hidden="false" customHeight="true" outlineLevel="0" collapsed="false">
      <c r="A245" s="148" t="str">
        <f aca="false">IF($J245="","",INDEX(LEDGER_ENGINE!$B$2:$B$546,$J245))</f>
        <v/>
      </c>
      <c r="B245" s="149" t="str">
        <f aca="false">IF($J245="","",INDEX(LEDGER_ENGINE!$C$2:$C$546,$J245))</f>
        <v/>
      </c>
      <c r="C245" s="149" t="str">
        <f aca="false">IF($J245="","",INDEX(LEDGER_ENGINE!$D$2:$D$546,$J245))</f>
        <v/>
      </c>
      <c r="D245" s="149" t="str">
        <f aca="false">IF($J245="","",INDEX(LEDGER_ENGINE!$G$2:$G$546,$J245))</f>
        <v/>
      </c>
      <c r="E245" s="149" t="str">
        <f aca="false">IFERROR(IF($J245="","",INDEX(LEDGER_ENGINE!$H$2:$H$546,$J245)),"")</f>
        <v/>
      </c>
      <c r="F245" s="150" t="str">
        <f aca="false">IF($J245="","",INDEX(LEDGER_ENGINE!$I$2:$I$546,$J245))</f>
        <v/>
      </c>
      <c r="G245" s="150" t="str">
        <f aca="false">IF($J245="","",INDEX(LEDGER_ENGINE!$J$2:$J$546,$J245))</f>
        <v/>
      </c>
      <c r="H245" s="150" t="str">
        <f aca="false">IF($J245="","",INDEX(LEDGER_ENGINE!$L$2:$L$546,$J245))</f>
        <v/>
      </c>
      <c r="I245" s="150" t="str">
        <f aca="false">IF(A245="","",I244+H245)</f>
        <v/>
      </c>
      <c r="J245" s="101" t="str">
        <f aca="false">IFERROR(MATCH(LIBRI_I_MADH!$B$4&amp;"|"&amp;ROWS($A$6:A245),LEDGER_ENGINE!$U$2:$U$546,0),"")</f>
        <v/>
      </c>
    </row>
    <row r="246" customFormat="false" ht="15" hidden="false" customHeight="true" outlineLevel="0" collapsed="false">
      <c r="A246" s="148" t="str">
        <f aca="false">IF($J246="","",INDEX(LEDGER_ENGINE!$B$2:$B$546,$J246))</f>
        <v/>
      </c>
      <c r="B246" s="149" t="str">
        <f aca="false">IF($J246="","",INDEX(LEDGER_ENGINE!$C$2:$C$546,$J246))</f>
        <v/>
      </c>
      <c r="C246" s="149" t="str">
        <f aca="false">IF($J246="","",INDEX(LEDGER_ENGINE!$D$2:$D$546,$J246))</f>
        <v/>
      </c>
      <c r="D246" s="149" t="str">
        <f aca="false">IF($J246="","",INDEX(LEDGER_ENGINE!$G$2:$G$546,$J246))</f>
        <v/>
      </c>
      <c r="E246" s="149" t="str">
        <f aca="false">IFERROR(IF($J246="","",INDEX(LEDGER_ENGINE!$H$2:$H$546,$J246)),"")</f>
        <v/>
      </c>
      <c r="F246" s="150" t="str">
        <f aca="false">IF($J246="","",INDEX(LEDGER_ENGINE!$I$2:$I$546,$J246))</f>
        <v/>
      </c>
      <c r="G246" s="150" t="str">
        <f aca="false">IF($J246="","",INDEX(LEDGER_ENGINE!$J$2:$J$546,$J246))</f>
        <v/>
      </c>
      <c r="H246" s="150" t="str">
        <f aca="false">IF($J246="","",INDEX(LEDGER_ENGINE!$L$2:$L$546,$J246))</f>
        <v/>
      </c>
      <c r="I246" s="150" t="str">
        <f aca="false">IF(A246="","",I245+H246)</f>
        <v/>
      </c>
      <c r="J246" s="101" t="str">
        <f aca="false">IFERROR(MATCH(LIBRI_I_MADH!$B$4&amp;"|"&amp;ROWS($A$6:A246),LEDGER_ENGINE!$U$2:$U$546,0),"")</f>
        <v/>
      </c>
    </row>
    <row r="247" customFormat="false" ht="15" hidden="false" customHeight="true" outlineLevel="0" collapsed="false">
      <c r="A247" s="148" t="str">
        <f aca="false">IF($J247="","",INDEX(LEDGER_ENGINE!$B$2:$B$546,$J247))</f>
        <v/>
      </c>
      <c r="B247" s="149" t="str">
        <f aca="false">IF($J247="","",INDEX(LEDGER_ENGINE!$C$2:$C$546,$J247))</f>
        <v/>
      </c>
      <c r="C247" s="149" t="str">
        <f aca="false">IF($J247="","",INDEX(LEDGER_ENGINE!$D$2:$D$546,$J247))</f>
        <v/>
      </c>
      <c r="D247" s="149" t="str">
        <f aca="false">IF($J247="","",INDEX(LEDGER_ENGINE!$G$2:$G$546,$J247))</f>
        <v/>
      </c>
      <c r="E247" s="149" t="str">
        <f aca="false">IFERROR(IF($J247="","",INDEX(LEDGER_ENGINE!$H$2:$H$546,$J247)),"")</f>
        <v/>
      </c>
      <c r="F247" s="150" t="str">
        <f aca="false">IF($J247="","",INDEX(LEDGER_ENGINE!$I$2:$I$546,$J247))</f>
        <v/>
      </c>
      <c r="G247" s="150" t="str">
        <f aca="false">IF($J247="","",INDEX(LEDGER_ENGINE!$J$2:$J$546,$J247))</f>
        <v/>
      </c>
      <c r="H247" s="150" t="str">
        <f aca="false">IF($J247="","",INDEX(LEDGER_ENGINE!$L$2:$L$546,$J247))</f>
        <v/>
      </c>
      <c r="I247" s="150" t="str">
        <f aca="false">IF(A247="","",I246+H247)</f>
        <v/>
      </c>
      <c r="J247" s="101" t="str">
        <f aca="false">IFERROR(MATCH(LIBRI_I_MADH!$B$4&amp;"|"&amp;ROWS($A$6:A247),LEDGER_ENGINE!$U$2:$U$546,0),"")</f>
        <v/>
      </c>
    </row>
    <row r="248" customFormat="false" ht="15" hidden="false" customHeight="true" outlineLevel="0" collapsed="false">
      <c r="A248" s="148" t="str">
        <f aca="false">IF($J248="","",INDEX(LEDGER_ENGINE!$B$2:$B$546,$J248))</f>
        <v/>
      </c>
      <c r="B248" s="149" t="str">
        <f aca="false">IF($J248="","",INDEX(LEDGER_ENGINE!$C$2:$C$546,$J248))</f>
        <v/>
      </c>
      <c r="C248" s="149" t="str">
        <f aca="false">IF($J248="","",INDEX(LEDGER_ENGINE!$D$2:$D$546,$J248))</f>
        <v/>
      </c>
      <c r="D248" s="149" t="str">
        <f aca="false">IF($J248="","",INDEX(LEDGER_ENGINE!$G$2:$G$546,$J248))</f>
        <v/>
      </c>
      <c r="E248" s="149" t="str">
        <f aca="false">IFERROR(IF($J248="","",INDEX(LEDGER_ENGINE!$H$2:$H$546,$J248)),"")</f>
        <v/>
      </c>
      <c r="F248" s="150" t="str">
        <f aca="false">IF($J248="","",INDEX(LEDGER_ENGINE!$I$2:$I$546,$J248))</f>
        <v/>
      </c>
      <c r="G248" s="150" t="str">
        <f aca="false">IF($J248="","",INDEX(LEDGER_ENGINE!$J$2:$J$546,$J248))</f>
        <v/>
      </c>
      <c r="H248" s="150" t="str">
        <f aca="false">IF($J248="","",INDEX(LEDGER_ENGINE!$L$2:$L$546,$J248))</f>
        <v/>
      </c>
      <c r="I248" s="150" t="str">
        <f aca="false">IF(A248="","",I247+H248)</f>
        <v/>
      </c>
      <c r="J248" s="101" t="str">
        <f aca="false">IFERROR(MATCH(LIBRI_I_MADH!$B$4&amp;"|"&amp;ROWS($A$6:A248),LEDGER_ENGINE!$U$2:$U$546,0),"")</f>
        <v/>
      </c>
    </row>
    <row r="249" customFormat="false" ht="15" hidden="false" customHeight="true" outlineLevel="0" collapsed="false">
      <c r="A249" s="148" t="str">
        <f aca="false">IF($J249="","",INDEX(LEDGER_ENGINE!$B$2:$B$546,$J249))</f>
        <v/>
      </c>
      <c r="B249" s="149" t="str">
        <f aca="false">IF($J249="","",INDEX(LEDGER_ENGINE!$C$2:$C$546,$J249))</f>
        <v/>
      </c>
      <c r="C249" s="149" t="str">
        <f aca="false">IF($J249="","",INDEX(LEDGER_ENGINE!$D$2:$D$546,$J249))</f>
        <v/>
      </c>
      <c r="D249" s="149" t="str">
        <f aca="false">IF($J249="","",INDEX(LEDGER_ENGINE!$G$2:$G$546,$J249))</f>
        <v/>
      </c>
      <c r="E249" s="149" t="str">
        <f aca="false">IFERROR(IF($J249="","",INDEX(LEDGER_ENGINE!$H$2:$H$546,$J249)),"")</f>
        <v/>
      </c>
      <c r="F249" s="150" t="str">
        <f aca="false">IF($J249="","",INDEX(LEDGER_ENGINE!$I$2:$I$546,$J249))</f>
        <v/>
      </c>
      <c r="G249" s="150" t="str">
        <f aca="false">IF($J249="","",INDEX(LEDGER_ENGINE!$J$2:$J$546,$J249))</f>
        <v/>
      </c>
      <c r="H249" s="150" t="str">
        <f aca="false">IF($J249="","",INDEX(LEDGER_ENGINE!$L$2:$L$546,$J249))</f>
        <v/>
      </c>
      <c r="I249" s="150" t="str">
        <f aca="false">IF(A249="","",I248+H249)</f>
        <v/>
      </c>
      <c r="J249" s="101" t="str">
        <f aca="false">IFERROR(MATCH(LIBRI_I_MADH!$B$4&amp;"|"&amp;ROWS($A$6:A249),LEDGER_ENGINE!$U$2:$U$546,0),"")</f>
        <v/>
      </c>
    </row>
    <row r="250" customFormat="false" ht="15" hidden="false" customHeight="true" outlineLevel="0" collapsed="false">
      <c r="A250" s="148" t="str">
        <f aca="false">IF($J250="","",INDEX(LEDGER_ENGINE!$B$2:$B$546,$J250))</f>
        <v/>
      </c>
      <c r="B250" s="149" t="str">
        <f aca="false">IF($J250="","",INDEX(LEDGER_ENGINE!$C$2:$C$546,$J250))</f>
        <v/>
      </c>
      <c r="C250" s="149" t="str">
        <f aca="false">IF($J250="","",INDEX(LEDGER_ENGINE!$D$2:$D$546,$J250))</f>
        <v/>
      </c>
      <c r="D250" s="149" t="str">
        <f aca="false">IF($J250="","",INDEX(LEDGER_ENGINE!$G$2:$G$546,$J250))</f>
        <v/>
      </c>
      <c r="E250" s="149" t="str">
        <f aca="false">IFERROR(IF($J250="","",INDEX(LEDGER_ENGINE!$H$2:$H$546,$J250)),"")</f>
        <v/>
      </c>
      <c r="F250" s="150" t="str">
        <f aca="false">IF($J250="","",INDEX(LEDGER_ENGINE!$I$2:$I$546,$J250))</f>
        <v/>
      </c>
      <c r="G250" s="150" t="str">
        <f aca="false">IF($J250="","",INDEX(LEDGER_ENGINE!$J$2:$J$546,$J250))</f>
        <v/>
      </c>
      <c r="H250" s="150" t="str">
        <f aca="false">IF($J250="","",INDEX(LEDGER_ENGINE!$L$2:$L$546,$J250))</f>
        <v/>
      </c>
      <c r="I250" s="150" t="str">
        <f aca="false">IF(A250="","",I249+H250)</f>
        <v/>
      </c>
      <c r="J250" s="101" t="str">
        <f aca="false">IFERROR(MATCH(LIBRI_I_MADH!$B$4&amp;"|"&amp;ROWS($A$6:A250),LEDGER_ENGINE!$U$2:$U$546,0),"")</f>
        <v/>
      </c>
    </row>
    <row r="251" customFormat="false" ht="15" hidden="false" customHeight="true" outlineLevel="0" collapsed="false">
      <c r="A251" s="148" t="str">
        <f aca="false">IF($J251="","",INDEX(LEDGER_ENGINE!$B$2:$B$546,$J251))</f>
        <v/>
      </c>
      <c r="B251" s="149" t="str">
        <f aca="false">IF($J251="","",INDEX(LEDGER_ENGINE!$C$2:$C$546,$J251))</f>
        <v/>
      </c>
      <c r="C251" s="149" t="str">
        <f aca="false">IF($J251="","",INDEX(LEDGER_ENGINE!$D$2:$D$546,$J251))</f>
        <v/>
      </c>
      <c r="D251" s="149" t="str">
        <f aca="false">IF($J251="","",INDEX(LEDGER_ENGINE!$G$2:$G$546,$J251))</f>
        <v/>
      </c>
      <c r="E251" s="149" t="str">
        <f aca="false">IFERROR(IF($J251="","",INDEX(LEDGER_ENGINE!$H$2:$H$546,$J251)),"")</f>
        <v/>
      </c>
      <c r="F251" s="150" t="str">
        <f aca="false">IF($J251="","",INDEX(LEDGER_ENGINE!$I$2:$I$546,$J251))</f>
        <v/>
      </c>
      <c r="G251" s="150" t="str">
        <f aca="false">IF($J251="","",INDEX(LEDGER_ENGINE!$J$2:$J$546,$J251))</f>
        <v/>
      </c>
      <c r="H251" s="150" t="str">
        <f aca="false">IF($J251="","",INDEX(LEDGER_ENGINE!$L$2:$L$546,$J251))</f>
        <v/>
      </c>
      <c r="I251" s="150" t="str">
        <f aca="false">IF(A251="","",I250+H251)</f>
        <v/>
      </c>
      <c r="J251" s="101" t="str">
        <f aca="false">IFERROR(MATCH(LIBRI_I_MADH!$B$4&amp;"|"&amp;ROWS($A$6:A251),LEDGER_ENGINE!$U$2:$U$546,0),"")</f>
        <v/>
      </c>
    </row>
    <row r="252" customFormat="false" ht="15" hidden="false" customHeight="true" outlineLevel="0" collapsed="false">
      <c r="A252" s="148" t="str">
        <f aca="false">IF($J252="","",INDEX(LEDGER_ENGINE!$B$2:$B$546,$J252))</f>
        <v/>
      </c>
      <c r="B252" s="149" t="str">
        <f aca="false">IF($J252="","",INDEX(LEDGER_ENGINE!$C$2:$C$546,$J252))</f>
        <v/>
      </c>
      <c r="C252" s="149" t="str">
        <f aca="false">IF($J252="","",INDEX(LEDGER_ENGINE!$D$2:$D$546,$J252))</f>
        <v/>
      </c>
      <c r="D252" s="149" t="str">
        <f aca="false">IF($J252="","",INDEX(LEDGER_ENGINE!$G$2:$G$546,$J252))</f>
        <v/>
      </c>
      <c r="E252" s="149" t="str">
        <f aca="false">IFERROR(IF($J252="","",INDEX(LEDGER_ENGINE!$H$2:$H$546,$J252)),"")</f>
        <v/>
      </c>
      <c r="F252" s="150" t="str">
        <f aca="false">IF($J252="","",INDEX(LEDGER_ENGINE!$I$2:$I$546,$J252))</f>
        <v/>
      </c>
      <c r="G252" s="150" t="str">
        <f aca="false">IF($J252="","",INDEX(LEDGER_ENGINE!$J$2:$J$546,$J252))</f>
        <v/>
      </c>
      <c r="H252" s="150" t="str">
        <f aca="false">IF($J252="","",INDEX(LEDGER_ENGINE!$L$2:$L$546,$J252))</f>
        <v/>
      </c>
      <c r="I252" s="150" t="str">
        <f aca="false">IF(A252="","",I251+H252)</f>
        <v/>
      </c>
      <c r="J252" s="101" t="str">
        <f aca="false">IFERROR(MATCH(LIBRI_I_MADH!$B$4&amp;"|"&amp;ROWS($A$6:A252),LEDGER_ENGINE!$U$2:$U$546,0),"")</f>
        <v/>
      </c>
    </row>
    <row r="253" customFormat="false" ht="15" hidden="false" customHeight="true" outlineLevel="0" collapsed="false">
      <c r="A253" s="148" t="str">
        <f aca="false">IF($J253="","",INDEX(LEDGER_ENGINE!$B$2:$B$546,$J253))</f>
        <v/>
      </c>
      <c r="B253" s="149" t="str">
        <f aca="false">IF($J253="","",INDEX(LEDGER_ENGINE!$C$2:$C$546,$J253))</f>
        <v/>
      </c>
      <c r="C253" s="149" t="str">
        <f aca="false">IF($J253="","",INDEX(LEDGER_ENGINE!$D$2:$D$546,$J253))</f>
        <v/>
      </c>
      <c r="D253" s="149" t="str">
        <f aca="false">IF($J253="","",INDEX(LEDGER_ENGINE!$G$2:$G$546,$J253))</f>
        <v/>
      </c>
      <c r="E253" s="149" t="str">
        <f aca="false">IFERROR(IF($J253="","",INDEX(LEDGER_ENGINE!$H$2:$H$546,$J253)),"")</f>
        <v/>
      </c>
      <c r="F253" s="150" t="str">
        <f aca="false">IF($J253="","",INDEX(LEDGER_ENGINE!$I$2:$I$546,$J253))</f>
        <v/>
      </c>
      <c r="G253" s="150" t="str">
        <f aca="false">IF($J253="","",INDEX(LEDGER_ENGINE!$J$2:$J$546,$J253))</f>
        <v/>
      </c>
      <c r="H253" s="150" t="str">
        <f aca="false">IF($J253="","",INDEX(LEDGER_ENGINE!$L$2:$L$546,$J253))</f>
        <v/>
      </c>
      <c r="I253" s="150" t="str">
        <f aca="false">IF(A253="","",I252+H253)</f>
        <v/>
      </c>
      <c r="J253" s="101" t="str">
        <f aca="false">IFERROR(MATCH(LIBRI_I_MADH!$B$4&amp;"|"&amp;ROWS($A$6:A253),LEDGER_ENGINE!$U$2:$U$546,0),"")</f>
        <v/>
      </c>
    </row>
    <row r="254" customFormat="false" ht="15" hidden="false" customHeight="true" outlineLevel="0" collapsed="false">
      <c r="A254" s="148" t="str">
        <f aca="false">IF($J254="","",INDEX(LEDGER_ENGINE!$B$2:$B$546,$J254))</f>
        <v/>
      </c>
      <c r="B254" s="149" t="str">
        <f aca="false">IF($J254="","",INDEX(LEDGER_ENGINE!$C$2:$C$546,$J254))</f>
        <v/>
      </c>
      <c r="C254" s="149" t="str">
        <f aca="false">IF($J254="","",INDEX(LEDGER_ENGINE!$D$2:$D$546,$J254))</f>
        <v/>
      </c>
      <c r="D254" s="149" t="str">
        <f aca="false">IF($J254="","",INDEX(LEDGER_ENGINE!$G$2:$G$546,$J254))</f>
        <v/>
      </c>
      <c r="E254" s="149" t="str">
        <f aca="false">IFERROR(IF($J254="","",INDEX(LEDGER_ENGINE!$H$2:$H$546,$J254)),"")</f>
        <v/>
      </c>
      <c r="F254" s="150" t="str">
        <f aca="false">IF($J254="","",INDEX(LEDGER_ENGINE!$I$2:$I$546,$J254))</f>
        <v/>
      </c>
      <c r="G254" s="150" t="str">
        <f aca="false">IF($J254="","",INDEX(LEDGER_ENGINE!$J$2:$J$546,$J254))</f>
        <v/>
      </c>
      <c r="H254" s="150" t="str">
        <f aca="false">IF($J254="","",INDEX(LEDGER_ENGINE!$L$2:$L$546,$J254))</f>
        <v/>
      </c>
      <c r="I254" s="150" t="str">
        <f aca="false">IF(A254="","",I253+H254)</f>
        <v/>
      </c>
      <c r="J254" s="101" t="str">
        <f aca="false">IFERROR(MATCH(LIBRI_I_MADH!$B$4&amp;"|"&amp;ROWS($A$6:A254),LEDGER_ENGINE!$U$2:$U$546,0),"")</f>
        <v/>
      </c>
    </row>
    <row r="255" customFormat="false" ht="15" hidden="false" customHeight="true" outlineLevel="0" collapsed="false">
      <c r="A255" s="148" t="str">
        <f aca="false">IF($J255="","",INDEX(LEDGER_ENGINE!$B$2:$B$546,$J255))</f>
        <v/>
      </c>
      <c r="B255" s="149" t="str">
        <f aca="false">IF($J255="","",INDEX(LEDGER_ENGINE!$C$2:$C$546,$J255))</f>
        <v/>
      </c>
      <c r="C255" s="149" t="str">
        <f aca="false">IF($J255="","",INDEX(LEDGER_ENGINE!$D$2:$D$546,$J255))</f>
        <v/>
      </c>
      <c r="D255" s="149" t="str">
        <f aca="false">IF($J255="","",INDEX(LEDGER_ENGINE!$G$2:$G$546,$J255))</f>
        <v/>
      </c>
      <c r="E255" s="149" t="str">
        <f aca="false">IFERROR(IF($J255="","",INDEX(LEDGER_ENGINE!$H$2:$H$546,$J255)),"")</f>
        <v/>
      </c>
      <c r="F255" s="150" t="str">
        <f aca="false">IF($J255="","",INDEX(LEDGER_ENGINE!$I$2:$I$546,$J255))</f>
        <v/>
      </c>
      <c r="G255" s="150" t="str">
        <f aca="false">IF($J255="","",INDEX(LEDGER_ENGINE!$J$2:$J$546,$J255))</f>
        <v/>
      </c>
      <c r="H255" s="150" t="str">
        <f aca="false">IF($J255="","",INDEX(LEDGER_ENGINE!$L$2:$L$546,$J255))</f>
        <v/>
      </c>
      <c r="I255" s="150" t="str">
        <f aca="false">IF(A255="","",I254+H255)</f>
        <v/>
      </c>
      <c r="J255" s="101" t="str">
        <f aca="false">IFERROR(MATCH(LIBRI_I_MADH!$B$4&amp;"|"&amp;ROWS($A$6:A255),LEDGER_ENGINE!$U$2:$U$546,0),"")</f>
        <v/>
      </c>
    </row>
    <row r="256" customFormat="false" ht="15" hidden="false" customHeight="true" outlineLevel="0" collapsed="false">
      <c r="A256" s="148" t="str">
        <f aca="false">IF($J256="","",INDEX(LEDGER_ENGINE!$B$2:$B$546,$J256))</f>
        <v/>
      </c>
      <c r="B256" s="149" t="str">
        <f aca="false">IF($J256="","",INDEX(LEDGER_ENGINE!$C$2:$C$546,$J256))</f>
        <v/>
      </c>
      <c r="C256" s="149" t="str">
        <f aca="false">IF($J256="","",INDEX(LEDGER_ENGINE!$D$2:$D$546,$J256))</f>
        <v/>
      </c>
      <c r="D256" s="149" t="str">
        <f aca="false">IF($J256="","",INDEX(LEDGER_ENGINE!$G$2:$G$546,$J256))</f>
        <v/>
      </c>
      <c r="E256" s="149" t="str">
        <f aca="false">IFERROR(IF($J256="","",INDEX(LEDGER_ENGINE!$H$2:$H$546,$J256)),"")</f>
        <v/>
      </c>
      <c r="F256" s="150" t="str">
        <f aca="false">IF($J256="","",INDEX(LEDGER_ENGINE!$I$2:$I$546,$J256))</f>
        <v/>
      </c>
      <c r="G256" s="150" t="str">
        <f aca="false">IF($J256="","",INDEX(LEDGER_ENGINE!$J$2:$J$546,$J256))</f>
        <v/>
      </c>
      <c r="H256" s="150" t="str">
        <f aca="false">IF($J256="","",INDEX(LEDGER_ENGINE!$L$2:$L$546,$J256))</f>
        <v/>
      </c>
      <c r="I256" s="150" t="str">
        <f aca="false">IF(A256="","",I255+H256)</f>
        <v/>
      </c>
      <c r="J256" s="101" t="str">
        <f aca="false">IFERROR(MATCH(LIBRI_I_MADH!$B$4&amp;"|"&amp;ROWS($A$6:A256),LEDGER_ENGINE!$U$2:$U$546,0),"")</f>
        <v/>
      </c>
    </row>
    <row r="257" customFormat="false" ht="15" hidden="false" customHeight="true" outlineLevel="0" collapsed="false">
      <c r="A257" s="148" t="str">
        <f aca="false">IF($J257="","",INDEX(LEDGER_ENGINE!$B$2:$B$546,$J257))</f>
        <v/>
      </c>
      <c r="B257" s="149" t="str">
        <f aca="false">IF($J257="","",INDEX(LEDGER_ENGINE!$C$2:$C$546,$J257))</f>
        <v/>
      </c>
      <c r="C257" s="149" t="str">
        <f aca="false">IF($J257="","",INDEX(LEDGER_ENGINE!$D$2:$D$546,$J257))</f>
        <v/>
      </c>
      <c r="D257" s="149" t="str">
        <f aca="false">IF($J257="","",INDEX(LEDGER_ENGINE!$G$2:$G$546,$J257))</f>
        <v/>
      </c>
      <c r="E257" s="149" t="str">
        <f aca="false">IFERROR(IF($J257="","",INDEX(LEDGER_ENGINE!$H$2:$H$546,$J257)),"")</f>
        <v/>
      </c>
      <c r="F257" s="150" t="str">
        <f aca="false">IF($J257="","",INDEX(LEDGER_ENGINE!$I$2:$I$546,$J257))</f>
        <v/>
      </c>
      <c r="G257" s="150" t="str">
        <f aca="false">IF($J257="","",INDEX(LEDGER_ENGINE!$J$2:$J$546,$J257))</f>
        <v/>
      </c>
      <c r="H257" s="150" t="str">
        <f aca="false">IF($J257="","",INDEX(LEDGER_ENGINE!$L$2:$L$546,$J257))</f>
        <v/>
      </c>
      <c r="I257" s="150" t="str">
        <f aca="false">IF(A257="","",I256+H257)</f>
        <v/>
      </c>
      <c r="J257" s="101" t="str">
        <f aca="false">IFERROR(MATCH(LIBRI_I_MADH!$B$4&amp;"|"&amp;ROWS($A$6:A257),LEDGER_ENGINE!$U$2:$U$546,0),"")</f>
        <v/>
      </c>
    </row>
    <row r="258" customFormat="false" ht="15" hidden="false" customHeight="true" outlineLevel="0" collapsed="false">
      <c r="A258" s="148" t="str">
        <f aca="false">IF($J258="","",INDEX(LEDGER_ENGINE!$B$2:$B$546,$J258))</f>
        <v/>
      </c>
      <c r="B258" s="149" t="str">
        <f aca="false">IF($J258="","",INDEX(LEDGER_ENGINE!$C$2:$C$546,$J258))</f>
        <v/>
      </c>
      <c r="C258" s="149" t="str">
        <f aca="false">IF($J258="","",INDEX(LEDGER_ENGINE!$D$2:$D$546,$J258))</f>
        <v/>
      </c>
      <c r="D258" s="149" t="str">
        <f aca="false">IF($J258="","",INDEX(LEDGER_ENGINE!$G$2:$G$546,$J258))</f>
        <v/>
      </c>
      <c r="E258" s="149" t="str">
        <f aca="false">IFERROR(IF($J258="","",INDEX(LEDGER_ENGINE!$H$2:$H$546,$J258)),"")</f>
        <v/>
      </c>
      <c r="F258" s="150" t="str">
        <f aca="false">IF($J258="","",INDEX(LEDGER_ENGINE!$I$2:$I$546,$J258))</f>
        <v/>
      </c>
      <c r="G258" s="150" t="str">
        <f aca="false">IF($J258="","",INDEX(LEDGER_ENGINE!$J$2:$J$546,$J258))</f>
        <v/>
      </c>
      <c r="H258" s="150" t="str">
        <f aca="false">IF($J258="","",INDEX(LEDGER_ENGINE!$L$2:$L$546,$J258))</f>
        <v/>
      </c>
      <c r="I258" s="150" t="str">
        <f aca="false">IF(A258="","",I257+H258)</f>
        <v/>
      </c>
      <c r="J258" s="101" t="str">
        <f aca="false">IFERROR(MATCH(LIBRI_I_MADH!$B$4&amp;"|"&amp;ROWS($A$6:A258),LEDGER_ENGINE!$U$2:$U$546,0),"")</f>
        <v/>
      </c>
    </row>
    <row r="259" customFormat="false" ht="15" hidden="false" customHeight="true" outlineLevel="0" collapsed="false">
      <c r="A259" s="148" t="str">
        <f aca="false">IF($J259="","",INDEX(LEDGER_ENGINE!$B$2:$B$546,$J259))</f>
        <v/>
      </c>
      <c r="B259" s="149" t="str">
        <f aca="false">IF($J259="","",INDEX(LEDGER_ENGINE!$C$2:$C$546,$J259))</f>
        <v/>
      </c>
      <c r="C259" s="149" t="str">
        <f aca="false">IF($J259="","",INDEX(LEDGER_ENGINE!$D$2:$D$546,$J259))</f>
        <v/>
      </c>
      <c r="D259" s="149" t="str">
        <f aca="false">IF($J259="","",INDEX(LEDGER_ENGINE!$G$2:$G$546,$J259))</f>
        <v/>
      </c>
      <c r="E259" s="149" t="str">
        <f aca="false">IFERROR(IF($J259="","",INDEX(LEDGER_ENGINE!$H$2:$H$546,$J259)),"")</f>
        <v/>
      </c>
      <c r="F259" s="150" t="str">
        <f aca="false">IF($J259="","",INDEX(LEDGER_ENGINE!$I$2:$I$546,$J259))</f>
        <v/>
      </c>
      <c r="G259" s="150" t="str">
        <f aca="false">IF($J259="","",INDEX(LEDGER_ENGINE!$J$2:$J$546,$J259))</f>
        <v/>
      </c>
      <c r="H259" s="150" t="str">
        <f aca="false">IF($J259="","",INDEX(LEDGER_ENGINE!$L$2:$L$546,$J259))</f>
        <v/>
      </c>
      <c r="I259" s="150" t="str">
        <f aca="false">IF(A259="","",I258+H259)</f>
        <v/>
      </c>
      <c r="J259" s="101" t="str">
        <f aca="false">IFERROR(MATCH(LIBRI_I_MADH!$B$4&amp;"|"&amp;ROWS($A$6:A259),LEDGER_ENGINE!$U$2:$U$546,0),"")</f>
        <v/>
      </c>
    </row>
    <row r="260" customFormat="false" ht="15" hidden="false" customHeight="true" outlineLevel="0" collapsed="false">
      <c r="A260" s="148" t="str">
        <f aca="false">IF($J260="","",INDEX(LEDGER_ENGINE!$B$2:$B$546,$J260))</f>
        <v/>
      </c>
      <c r="B260" s="149" t="str">
        <f aca="false">IF($J260="","",INDEX(LEDGER_ENGINE!$C$2:$C$546,$J260))</f>
        <v/>
      </c>
      <c r="C260" s="149" t="str">
        <f aca="false">IF($J260="","",INDEX(LEDGER_ENGINE!$D$2:$D$546,$J260))</f>
        <v/>
      </c>
      <c r="D260" s="149" t="str">
        <f aca="false">IF($J260="","",INDEX(LEDGER_ENGINE!$G$2:$G$546,$J260))</f>
        <v/>
      </c>
      <c r="E260" s="149" t="str">
        <f aca="false">IFERROR(IF($J260="","",INDEX(LEDGER_ENGINE!$H$2:$H$546,$J260)),"")</f>
        <v/>
      </c>
      <c r="F260" s="150" t="str">
        <f aca="false">IF($J260="","",INDEX(LEDGER_ENGINE!$I$2:$I$546,$J260))</f>
        <v/>
      </c>
      <c r="G260" s="150" t="str">
        <f aca="false">IF($J260="","",INDEX(LEDGER_ENGINE!$J$2:$J$546,$J260))</f>
        <v/>
      </c>
      <c r="H260" s="150" t="str">
        <f aca="false">IF($J260="","",INDEX(LEDGER_ENGINE!$L$2:$L$546,$J260))</f>
        <v/>
      </c>
      <c r="I260" s="150" t="str">
        <f aca="false">IF(A260="","",I259+H260)</f>
        <v/>
      </c>
      <c r="J260" s="101" t="str">
        <f aca="false">IFERROR(MATCH(LIBRI_I_MADH!$B$4&amp;"|"&amp;ROWS($A$6:A260),LEDGER_ENGINE!$U$2:$U$546,0),"")</f>
        <v/>
      </c>
    </row>
    <row r="261" customFormat="false" ht="15" hidden="false" customHeight="true" outlineLevel="0" collapsed="false">
      <c r="A261" s="148" t="str">
        <f aca="false">IF($J261="","",INDEX(LEDGER_ENGINE!$B$2:$B$546,$J261))</f>
        <v/>
      </c>
      <c r="B261" s="149" t="str">
        <f aca="false">IF($J261="","",INDEX(LEDGER_ENGINE!$C$2:$C$546,$J261))</f>
        <v/>
      </c>
      <c r="C261" s="149" t="str">
        <f aca="false">IF($J261="","",INDEX(LEDGER_ENGINE!$D$2:$D$546,$J261))</f>
        <v/>
      </c>
      <c r="D261" s="149" t="str">
        <f aca="false">IF($J261="","",INDEX(LEDGER_ENGINE!$G$2:$G$546,$J261))</f>
        <v/>
      </c>
      <c r="E261" s="149" t="str">
        <f aca="false">IFERROR(IF($J261="","",INDEX(LEDGER_ENGINE!$H$2:$H$546,$J261)),"")</f>
        <v/>
      </c>
      <c r="F261" s="150" t="str">
        <f aca="false">IF($J261="","",INDEX(LEDGER_ENGINE!$I$2:$I$546,$J261))</f>
        <v/>
      </c>
      <c r="G261" s="150" t="str">
        <f aca="false">IF($J261="","",INDEX(LEDGER_ENGINE!$J$2:$J$546,$J261))</f>
        <v/>
      </c>
      <c r="H261" s="150" t="str">
        <f aca="false">IF($J261="","",INDEX(LEDGER_ENGINE!$L$2:$L$546,$J261))</f>
        <v/>
      </c>
      <c r="I261" s="150" t="str">
        <f aca="false">IF(A261="","",I260+H261)</f>
        <v/>
      </c>
      <c r="J261" s="101" t="str">
        <f aca="false">IFERROR(MATCH(LIBRI_I_MADH!$B$4&amp;"|"&amp;ROWS($A$6:A261),LEDGER_ENGINE!$U$2:$U$546,0),"")</f>
        <v/>
      </c>
    </row>
    <row r="262" customFormat="false" ht="15" hidden="false" customHeight="true" outlineLevel="0" collapsed="false">
      <c r="A262" s="148" t="str">
        <f aca="false">IF($J262="","",INDEX(LEDGER_ENGINE!$B$2:$B$546,$J262))</f>
        <v/>
      </c>
      <c r="B262" s="149" t="str">
        <f aca="false">IF($J262="","",INDEX(LEDGER_ENGINE!$C$2:$C$546,$J262))</f>
        <v/>
      </c>
      <c r="C262" s="149" t="str">
        <f aca="false">IF($J262="","",INDEX(LEDGER_ENGINE!$D$2:$D$546,$J262))</f>
        <v/>
      </c>
      <c r="D262" s="149" t="str">
        <f aca="false">IF($J262="","",INDEX(LEDGER_ENGINE!$G$2:$G$546,$J262))</f>
        <v/>
      </c>
      <c r="E262" s="149" t="str">
        <f aca="false">IFERROR(IF($J262="","",INDEX(LEDGER_ENGINE!$H$2:$H$546,$J262)),"")</f>
        <v/>
      </c>
      <c r="F262" s="150" t="str">
        <f aca="false">IF($J262="","",INDEX(LEDGER_ENGINE!$I$2:$I$546,$J262))</f>
        <v/>
      </c>
      <c r="G262" s="150" t="str">
        <f aca="false">IF($J262="","",INDEX(LEDGER_ENGINE!$J$2:$J$546,$J262))</f>
        <v/>
      </c>
      <c r="H262" s="150" t="str">
        <f aca="false">IF($J262="","",INDEX(LEDGER_ENGINE!$L$2:$L$546,$J262))</f>
        <v/>
      </c>
      <c r="I262" s="150" t="str">
        <f aca="false">IF(A262="","",I261+H262)</f>
        <v/>
      </c>
      <c r="J262" s="101" t="str">
        <f aca="false">IFERROR(MATCH(LIBRI_I_MADH!$B$4&amp;"|"&amp;ROWS($A$6:A262),LEDGER_ENGINE!$U$2:$U$546,0),"")</f>
        <v/>
      </c>
    </row>
    <row r="263" customFormat="false" ht="15" hidden="false" customHeight="true" outlineLevel="0" collapsed="false">
      <c r="A263" s="148" t="str">
        <f aca="false">IF($J263="","",INDEX(LEDGER_ENGINE!$B$2:$B$546,$J263))</f>
        <v/>
      </c>
      <c r="B263" s="149" t="str">
        <f aca="false">IF($J263="","",INDEX(LEDGER_ENGINE!$C$2:$C$546,$J263))</f>
        <v/>
      </c>
      <c r="C263" s="149" t="str">
        <f aca="false">IF($J263="","",INDEX(LEDGER_ENGINE!$D$2:$D$546,$J263))</f>
        <v/>
      </c>
      <c r="D263" s="149" t="str">
        <f aca="false">IF($J263="","",INDEX(LEDGER_ENGINE!$G$2:$G$546,$J263))</f>
        <v/>
      </c>
      <c r="E263" s="149" t="str">
        <f aca="false">IFERROR(IF($J263="","",INDEX(LEDGER_ENGINE!$H$2:$H$546,$J263)),"")</f>
        <v/>
      </c>
      <c r="F263" s="150" t="str">
        <f aca="false">IF($J263="","",INDEX(LEDGER_ENGINE!$I$2:$I$546,$J263))</f>
        <v/>
      </c>
      <c r="G263" s="150" t="str">
        <f aca="false">IF($J263="","",INDEX(LEDGER_ENGINE!$J$2:$J$546,$J263))</f>
        <v/>
      </c>
      <c r="H263" s="150" t="str">
        <f aca="false">IF($J263="","",INDEX(LEDGER_ENGINE!$L$2:$L$546,$J263))</f>
        <v/>
      </c>
      <c r="I263" s="150" t="str">
        <f aca="false">IF(A263="","",I262+H263)</f>
        <v/>
      </c>
      <c r="J263" s="101" t="str">
        <f aca="false">IFERROR(MATCH(LIBRI_I_MADH!$B$4&amp;"|"&amp;ROWS($A$6:A263),LEDGER_ENGINE!$U$2:$U$546,0),"")</f>
        <v/>
      </c>
    </row>
    <row r="264" customFormat="false" ht="15" hidden="false" customHeight="true" outlineLevel="0" collapsed="false">
      <c r="A264" s="148" t="str">
        <f aca="false">IF($J264="","",INDEX(LEDGER_ENGINE!$B$2:$B$546,$J264))</f>
        <v/>
      </c>
      <c r="B264" s="149" t="str">
        <f aca="false">IF($J264="","",INDEX(LEDGER_ENGINE!$C$2:$C$546,$J264))</f>
        <v/>
      </c>
      <c r="C264" s="149" t="str">
        <f aca="false">IF($J264="","",INDEX(LEDGER_ENGINE!$D$2:$D$546,$J264))</f>
        <v/>
      </c>
      <c r="D264" s="149" t="str">
        <f aca="false">IF($J264="","",INDEX(LEDGER_ENGINE!$G$2:$G$546,$J264))</f>
        <v/>
      </c>
      <c r="E264" s="149" t="str">
        <f aca="false">IFERROR(IF($J264="","",INDEX(LEDGER_ENGINE!$H$2:$H$546,$J264)),"")</f>
        <v/>
      </c>
      <c r="F264" s="150" t="str">
        <f aca="false">IF($J264="","",INDEX(LEDGER_ENGINE!$I$2:$I$546,$J264))</f>
        <v/>
      </c>
      <c r="G264" s="150" t="str">
        <f aca="false">IF($J264="","",INDEX(LEDGER_ENGINE!$J$2:$J$546,$J264))</f>
        <v/>
      </c>
      <c r="H264" s="150" t="str">
        <f aca="false">IF($J264="","",INDEX(LEDGER_ENGINE!$L$2:$L$546,$J264))</f>
        <v/>
      </c>
      <c r="I264" s="150" t="str">
        <f aca="false">IF(A264="","",I263+H264)</f>
        <v/>
      </c>
      <c r="J264" s="101" t="str">
        <f aca="false">IFERROR(MATCH(LIBRI_I_MADH!$B$4&amp;"|"&amp;ROWS($A$6:A264),LEDGER_ENGINE!$U$2:$U$546,0),"")</f>
        <v/>
      </c>
    </row>
    <row r="265" customFormat="false" ht="15" hidden="false" customHeight="true" outlineLevel="0" collapsed="false">
      <c r="A265" s="148" t="str">
        <f aca="false">IF($J265="","",INDEX(LEDGER_ENGINE!$B$2:$B$546,$J265))</f>
        <v/>
      </c>
      <c r="B265" s="149" t="str">
        <f aca="false">IF($J265="","",INDEX(LEDGER_ENGINE!$C$2:$C$546,$J265))</f>
        <v/>
      </c>
      <c r="C265" s="149" t="str">
        <f aca="false">IF($J265="","",INDEX(LEDGER_ENGINE!$D$2:$D$546,$J265))</f>
        <v/>
      </c>
      <c r="D265" s="149" t="str">
        <f aca="false">IF($J265="","",INDEX(LEDGER_ENGINE!$G$2:$G$546,$J265))</f>
        <v/>
      </c>
      <c r="E265" s="149" t="str">
        <f aca="false">IFERROR(IF($J265="","",INDEX(LEDGER_ENGINE!$H$2:$H$546,$J265)),"")</f>
        <v/>
      </c>
      <c r="F265" s="150" t="str">
        <f aca="false">IF($J265="","",INDEX(LEDGER_ENGINE!$I$2:$I$546,$J265))</f>
        <v/>
      </c>
      <c r="G265" s="150" t="str">
        <f aca="false">IF($J265="","",INDEX(LEDGER_ENGINE!$J$2:$J$546,$J265))</f>
        <v/>
      </c>
      <c r="H265" s="150" t="str">
        <f aca="false">IF($J265="","",INDEX(LEDGER_ENGINE!$L$2:$L$546,$J265))</f>
        <v/>
      </c>
      <c r="I265" s="150" t="str">
        <f aca="false">IF(A265="","",I264+H265)</f>
        <v/>
      </c>
      <c r="J265" s="101" t="str">
        <f aca="false">IFERROR(MATCH(LIBRI_I_MADH!$B$4&amp;"|"&amp;ROWS($A$6:A265),LEDGER_ENGINE!$U$2:$U$546,0),"")</f>
        <v/>
      </c>
    </row>
    <row r="266" customFormat="false" ht="15" hidden="false" customHeight="true" outlineLevel="0" collapsed="false">
      <c r="A266" s="148" t="str">
        <f aca="false">IF($J266="","",INDEX(LEDGER_ENGINE!$B$2:$B$546,$J266))</f>
        <v/>
      </c>
      <c r="B266" s="149" t="str">
        <f aca="false">IF($J266="","",INDEX(LEDGER_ENGINE!$C$2:$C$546,$J266))</f>
        <v/>
      </c>
      <c r="C266" s="149" t="str">
        <f aca="false">IF($J266="","",INDEX(LEDGER_ENGINE!$D$2:$D$546,$J266))</f>
        <v/>
      </c>
      <c r="D266" s="149" t="str">
        <f aca="false">IF($J266="","",INDEX(LEDGER_ENGINE!$G$2:$G$546,$J266))</f>
        <v/>
      </c>
      <c r="E266" s="149" t="str">
        <f aca="false">IFERROR(IF($J266="","",INDEX(LEDGER_ENGINE!$H$2:$H$546,$J266)),"")</f>
        <v/>
      </c>
      <c r="F266" s="150" t="str">
        <f aca="false">IF($J266="","",INDEX(LEDGER_ENGINE!$I$2:$I$546,$J266))</f>
        <v/>
      </c>
      <c r="G266" s="150" t="str">
        <f aca="false">IF($J266="","",INDEX(LEDGER_ENGINE!$J$2:$J$546,$J266))</f>
        <v/>
      </c>
      <c r="H266" s="150" t="str">
        <f aca="false">IF($J266="","",INDEX(LEDGER_ENGINE!$L$2:$L$546,$J266))</f>
        <v/>
      </c>
      <c r="I266" s="150" t="str">
        <f aca="false">IF(A266="","",I265+H266)</f>
        <v/>
      </c>
      <c r="J266" s="101" t="str">
        <f aca="false">IFERROR(MATCH(LIBRI_I_MADH!$B$4&amp;"|"&amp;ROWS($A$6:A266),LEDGER_ENGINE!$U$2:$U$546,0),"")</f>
        <v/>
      </c>
    </row>
    <row r="267" customFormat="false" ht="15" hidden="false" customHeight="true" outlineLevel="0" collapsed="false">
      <c r="A267" s="148" t="str">
        <f aca="false">IF($J267="","",INDEX(LEDGER_ENGINE!$B$2:$B$546,$J267))</f>
        <v/>
      </c>
      <c r="B267" s="149" t="str">
        <f aca="false">IF($J267="","",INDEX(LEDGER_ENGINE!$C$2:$C$546,$J267))</f>
        <v/>
      </c>
      <c r="C267" s="149" t="str">
        <f aca="false">IF($J267="","",INDEX(LEDGER_ENGINE!$D$2:$D$546,$J267))</f>
        <v/>
      </c>
      <c r="D267" s="149" t="str">
        <f aca="false">IF($J267="","",INDEX(LEDGER_ENGINE!$G$2:$G$546,$J267))</f>
        <v/>
      </c>
      <c r="E267" s="149" t="str">
        <f aca="false">IFERROR(IF($J267="","",INDEX(LEDGER_ENGINE!$H$2:$H$546,$J267)),"")</f>
        <v/>
      </c>
      <c r="F267" s="150" t="str">
        <f aca="false">IF($J267="","",INDEX(LEDGER_ENGINE!$I$2:$I$546,$J267))</f>
        <v/>
      </c>
      <c r="G267" s="150" t="str">
        <f aca="false">IF($J267="","",INDEX(LEDGER_ENGINE!$J$2:$J$546,$J267))</f>
        <v/>
      </c>
      <c r="H267" s="150" t="str">
        <f aca="false">IF($J267="","",INDEX(LEDGER_ENGINE!$L$2:$L$546,$J267))</f>
        <v/>
      </c>
      <c r="I267" s="150" t="str">
        <f aca="false">IF(A267="","",I266+H267)</f>
        <v/>
      </c>
      <c r="J267" s="101" t="str">
        <f aca="false">IFERROR(MATCH(LIBRI_I_MADH!$B$4&amp;"|"&amp;ROWS($A$6:A267),LEDGER_ENGINE!$U$2:$U$546,0),"")</f>
        <v/>
      </c>
    </row>
    <row r="268" customFormat="false" ht="15" hidden="false" customHeight="true" outlineLevel="0" collapsed="false">
      <c r="A268" s="148" t="str">
        <f aca="false">IF($J268="","",INDEX(LEDGER_ENGINE!$B$2:$B$546,$J268))</f>
        <v/>
      </c>
      <c r="B268" s="149" t="str">
        <f aca="false">IF($J268="","",INDEX(LEDGER_ENGINE!$C$2:$C$546,$J268))</f>
        <v/>
      </c>
      <c r="C268" s="149" t="str">
        <f aca="false">IF($J268="","",INDEX(LEDGER_ENGINE!$D$2:$D$546,$J268))</f>
        <v/>
      </c>
      <c r="D268" s="149" t="str">
        <f aca="false">IF($J268="","",INDEX(LEDGER_ENGINE!$G$2:$G$546,$J268))</f>
        <v/>
      </c>
      <c r="E268" s="149" t="str">
        <f aca="false">IFERROR(IF($J268="","",INDEX(LEDGER_ENGINE!$H$2:$H$546,$J268)),"")</f>
        <v/>
      </c>
      <c r="F268" s="150" t="str">
        <f aca="false">IF($J268="","",INDEX(LEDGER_ENGINE!$I$2:$I$546,$J268))</f>
        <v/>
      </c>
      <c r="G268" s="150" t="str">
        <f aca="false">IF($J268="","",INDEX(LEDGER_ENGINE!$J$2:$J$546,$J268))</f>
        <v/>
      </c>
      <c r="H268" s="150" t="str">
        <f aca="false">IF($J268="","",INDEX(LEDGER_ENGINE!$L$2:$L$546,$J268))</f>
        <v/>
      </c>
      <c r="I268" s="150" t="str">
        <f aca="false">IF(A268="","",I267+H268)</f>
        <v/>
      </c>
      <c r="J268" s="101" t="str">
        <f aca="false">IFERROR(MATCH(LIBRI_I_MADH!$B$4&amp;"|"&amp;ROWS($A$6:A268),LEDGER_ENGINE!$U$2:$U$546,0),"")</f>
        <v/>
      </c>
    </row>
    <row r="269" customFormat="false" ht="15" hidden="false" customHeight="true" outlineLevel="0" collapsed="false">
      <c r="A269" s="148" t="str">
        <f aca="false">IF($J269="","",INDEX(LEDGER_ENGINE!$B$2:$B$546,$J269))</f>
        <v/>
      </c>
      <c r="B269" s="149" t="str">
        <f aca="false">IF($J269="","",INDEX(LEDGER_ENGINE!$C$2:$C$546,$J269))</f>
        <v/>
      </c>
      <c r="C269" s="149" t="str">
        <f aca="false">IF($J269="","",INDEX(LEDGER_ENGINE!$D$2:$D$546,$J269))</f>
        <v/>
      </c>
      <c r="D269" s="149" t="str">
        <f aca="false">IF($J269="","",INDEX(LEDGER_ENGINE!$G$2:$G$546,$J269))</f>
        <v/>
      </c>
      <c r="E269" s="149" t="str">
        <f aca="false">IFERROR(IF($J269="","",INDEX(LEDGER_ENGINE!$H$2:$H$546,$J269)),"")</f>
        <v/>
      </c>
      <c r="F269" s="150" t="str">
        <f aca="false">IF($J269="","",INDEX(LEDGER_ENGINE!$I$2:$I$546,$J269))</f>
        <v/>
      </c>
      <c r="G269" s="150" t="str">
        <f aca="false">IF($J269="","",INDEX(LEDGER_ENGINE!$J$2:$J$546,$J269))</f>
        <v/>
      </c>
      <c r="H269" s="150" t="str">
        <f aca="false">IF($J269="","",INDEX(LEDGER_ENGINE!$L$2:$L$546,$J269))</f>
        <v/>
      </c>
      <c r="I269" s="150" t="str">
        <f aca="false">IF(A269="","",I268+H269)</f>
        <v/>
      </c>
      <c r="J269" s="101" t="str">
        <f aca="false">IFERROR(MATCH(LIBRI_I_MADH!$B$4&amp;"|"&amp;ROWS($A$6:A269),LEDGER_ENGINE!$U$2:$U$546,0),"")</f>
        <v/>
      </c>
    </row>
    <row r="270" customFormat="false" ht="15" hidden="false" customHeight="true" outlineLevel="0" collapsed="false">
      <c r="A270" s="148" t="str">
        <f aca="false">IF($J270="","",INDEX(LEDGER_ENGINE!$B$2:$B$546,$J270))</f>
        <v/>
      </c>
      <c r="B270" s="149" t="str">
        <f aca="false">IF($J270="","",INDEX(LEDGER_ENGINE!$C$2:$C$546,$J270))</f>
        <v/>
      </c>
      <c r="C270" s="149" t="str">
        <f aca="false">IF($J270="","",INDEX(LEDGER_ENGINE!$D$2:$D$546,$J270))</f>
        <v/>
      </c>
      <c r="D270" s="149" t="str">
        <f aca="false">IF($J270="","",INDEX(LEDGER_ENGINE!$G$2:$G$546,$J270))</f>
        <v/>
      </c>
      <c r="E270" s="149" t="str">
        <f aca="false">IFERROR(IF($J270="","",INDEX(LEDGER_ENGINE!$H$2:$H$546,$J270)),"")</f>
        <v/>
      </c>
      <c r="F270" s="150" t="str">
        <f aca="false">IF($J270="","",INDEX(LEDGER_ENGINE!$I$2:$I$546,$J270))</f>
        <v/>
      </c>
      <c r="G270" s="150" t="str">
        <f aca="false">IF($J270="","",INDEX(LEDGER_ENGINE!$J$2:$J$546,$J270))</f>
        <v/>
      </c>
      <c r="H270" s="150" t="str">
        <f aca="false">IF($J270="","",INDEX(LEDGER_ENGINE!$L$2:$L$546,$J270))</f>
        <v/>
      </c>
      <c r="I270" s="150" t="str">
        <f aca="false">IF(A270="","",I269+H270)</f>
        <v/>
      </c>
      <c r="J270" s="101" t="str">
        <f aca="false">IFERROR(MATCH(LIBRI_I_MADH!$B$4&amp;"|"&amp;ROWS($A$6:A270),LEDGER_ENGINE!$U$2:$U$546,0),"")</f>
        <v/>
      </c>
    </row>
    <row r="271" customFormat="false" ht="15" hidden="false" customHeight="true" outlineLevel="0" collapsed="false">
      <c r="A271" s="148" t="str">
        <f aca="false">IF($J271="","",INDEX(LEDGER_ENGINE!$B$2:$B$546,$J271))</f>
        <v/>
      </c>
      <c r="B271" s="149" t="str">
        <f aca="false">IF($J271="","",INDEX(LEDGER_ENGINE!$C$2:$C$546,$J271))</f>
        <v/>
      </c>
      <c r="C271" s="149" t="str">
        <f aca="false">IF($J271="","",INDEX(LEDGER_ENGINE!$D$2:$D$546,$J271))</f>
        <v/>
      </c>
      <c r="D271" s="149" t="str">
        <f aca="false">IF($J271="","",INDEX(LEDGER_ENGINE!$G$2:$G$546,$J271))</f>
        <v/>
      </c>
      <c r="E271" s="149" t="str">
        <f aca="false">IFERROR(IF($J271="","",INDEX(LEDGER_ENGINE!$H$2:$H$546,$J271)),"")</f>
        <v/>
      </c>
      <c r="F271" s="150" t="str">
        <f aca="false">IF($J271="","",INDEX(LEDGER_ENGINE!$I$2:$I$546,$J271))</f>
        <v/>
      </c>
      <c r="G271" s="150" t="str">
        <f aca="false">IF($J271="","",INDEX(LEDGER_ENGINE!$J$2:$J$546,$J271))</f>
        <v/>
      </c>
      <c r="H271" s="150" t="str">
        <f aca="false">IF($J271="","",INDEX(LEDGER_ENGINE!$L$2:$L$546,$J271))</f>
        <v/>
      </c>
      <c r="I271" s="150" t="str">
        <f aca="false">IF(A271="","",I270+H271)</f>
        <v/>
      </c>
      <c r="J271" s="101" t="str">
        <f aca="false">IFERROR(MATCH(LIBRI_I_MADH!$B$4&amp;"|"&amp;ROWS($A$6:A271),LEDGER_ENGINE!$U$2:$U$546,0),"")</f>
        <v/>
      </c>
    </row>
    <row r="272" customFormat="false" ht="15" hidden="false" customHeight="true" outlineLevel="0" collapsed="false">
      <c r="A272" s="148" t="str">
        <f aca="false">IF($J272="","",INDEX(LEDGER_ENGINE!$B$2:$B$546,$J272))</f>
        <v/>
      </c>
      <c r="B272" s="149" t="str">
        <f aca="false">IF($J272="","",INDEX(LEDGER_ENGINE!$C$2:$C$546,$J272))</f>
        <v/>
      </c>
      <c r="C272" s="149" t="str">
        <f aca="false">IF($J272="","",INDEX(LEDGER_ENGINE!$D$2:$D$546,$J272))</f>
        <v/>
      </c>
      <c r="D272" s="149" t="str">
        <f aca="false">IF($J272="","",INDEX(LEDGER_ENGINE!$G$2:$G$546,$J272))</f>
        <v/>
      </c>
      <c r="E272" s="149" t="str">
        <f aca="false">IFERROR(IF($J272="","",INDEX(LEDGER_ENGINE!$H$2:$H$546,$J272)),"")</f>
        <v/>
      </c>
      <c r="F272" s="150" t="str">
        <f aca="false">IF($J272="","",INDEX(LEDGER_ENGINE!$I$2:$I$546,$J272))</f>
        <v/>
      </c>
      <c r="G272" s="150" t="str">
        <f aca="false">IF($J272="","",INDEX(LEDGER_ENGINE!$J$2:$J$546,$J272))</f>
        <v/>
      </c>
      <c r="H272" s="150" t="str">
        <f aca="false">IF($J272="","",INDEX(LEDGER_ENGINE!$L$2:$L$546,$J272))</f>
        <v/>
      </c>
      <c r="I272" s="150" t="str">
        <f aca="false">IF(A272="","",I271+H272)</f>
        <v/>
      </c>
      <c r="J272" s="101" t="str">
        <f aca="false">IFERROR(MATCH(LIBRI_I_MADH!$B$4&amp;"|"&amp;ROWS($A$6:A272),LEDGER_ENGINE!$U$2:$U$546,0),"")</f>
        <v/>
      </c>
    </row>
    <row r="273" customFormat="false" ht="15" hidden="false" customHeight="true" outlineLevel="0" collapsed="false">
      <c r="A273" s="148" t="str">
        <f aca="false">IF($J273="","",INDEX(LEDGER_ENGINE!$B$2:$B$546,$J273))</f>
        <v/>
      </c>
      <c r="B273" s="149" t="str">
        <f aca="false">IF($J273="","",INDEX(LEDGER_ENGINE!$C$2:$C$546,$J273))</f>
        <v/>
      </c>
      <c r="C273" s="149" t="str">
        <f aca="false">IF($J273="","",INDEX(LEDGER_ENGINE!$D$2:$D$546,$J273))</f>
        <v/>
      </c>
      <c r="D273" s="149" t="str">
        <f aca="false">IF($J273="","",INDEX(LEDGER_ENGINE!$G$2:$G$546,$J273))</f>
        <v/>
      </c>
      <c r="E273" s="149" t="str">
        <f aca="false">IFERROR(IF($J273="","",INDEX(LEDGER_ENGINE!$H$2:$H$546,$J273)),"")</f>
        <v/>
      </c>
      <c r="F273" s="150" t="str">
        <f aca="false">IF($J273="","",INDEX(LEDGER_ENGINE!$I$2:$I$546,$J273))</f>
        <v/>
      </c>
      <c r="G273" s="150" t="str">
        <f aca="false">IF($J273="","",INDEX(LEDGER_ENGINE!$J$2:$J$546,$J273))</f>
        <v/>
      </c>
      <c r="H273" s="150" t="str">
        <f aca="false">IF($J273="","",INDEX(LEDGER_ENGINE!$L$2:$L$546,$J273))</f>
        <v/>
      </c>
      <c r="I273" s="150" t="str">
        <f aca="false">IF(A273="","",I272+H273)</f>
        <v/>
      </c>
      <c r="J273" s="101" t="str">
        <f aca="false">IFERROR(MATCH(LIBRI_I_MADH!$B$4&amp;"|"&amp;ROWS($A$6:A273),LEDGER_ENGINE!$U$2:$U$546,0),"")</f>
        <v/>
      </c>
    </row>
    <row r="274" customFormat="false" ht="15" hidden="false" customHeight="true" outlineLevel="0" collapsed="false">
      <c r="A274" s="148" t="str">
        <f aca="false">IF($J274="","",INDEX(LEDGER_ENGINE!$B$2:$B$546,$J274))</f>
        <v/>
      </c>
      <c r="B274" s="149" t="str">
        <f aca="false">IF($J274="","",INDEX(LEDGER_ENGINE!$C$2:$C$546,$J274))</f>
        <v/>
      </c>
      <c r="C274" s="149" t="str">
        <f aca="false">IF($J274="","",INDEX(LEDGER_ENGINE!$D$2:$D$546,$J274))</f>
        <v/>
      </c>
      <c r="D274" s="149" t="str">
        <f aca="false">IF($J274="","",INDEX(LEDGER_ENGINE!$G$2:$G$546,$J274))</f>
        <v/>
      </c>
      <c r="E274" s="149" t="str">
        <f aca="false">IFERROR(IF($J274="","",INDEX(LEDGER_ENGINE!$H$2:$H$546,$J274)),"")</f>
        <v/>
      </c>
      <c r="F274" s="150" t="str">
        <f aca="false">IF($J274="","",INDEX(LEDGER_ENGINE!$I$2:$I$546,$J274))</f>
        <v/>
      </c>
      <c r="G274" s="150" t="str">
        <f aca="false">IF($J274="","",INDEX(LEDGER_ENGINE!$J$2:$J$546,$J274))</f>
        <v/>
      </c>
      <c r="H274" s="150" t="str">
        <f aca="false">IF($J274="","",INDEX(LEDGER_ENGINE!$L$2:$L$546,$J274))</f>
        <v/>
      </c>
      <c r="I274" s="150" t="str">
        <f aca="false">IF(A274="","",I273+H274)</f>
        <v/>
      </c>
      <c r="J274" s="101" t="str">
        <f aca="false">IFERROR(MATCH(LIBRI_I_MADH!$B$4&amp;"|"&amp;ROWS($A$6:A274),LEDGER_ENGINE!$U$2:$U$546,0),"")</f>
        <v/>
      </c>
    </row>
    <row r="275" customFormat="false" ht="15" hidden="false" customHeight="true" outlineLevel="0" collapsed="false">
      <c r="A275" s="148" t="str">
        <f aca="false">IF($J275="","",INDEX(LEDGER_ENGINE!$B$2:$B$546,$J275))</f>
        <v/>
      </c>
      <c r="B275" s="149" t="str">
        <f aca="false">IF($J275="","",INDEX(LEDGER_ENGINE!$C$2:$C$546,$J275))</f>
        <v/>
      </c>
      <c r="C275" s="149" t="str">
        <f aca="false">IF($J275="","",INDEX(LEDGER_ENGINE!$D$2:$D$546,$J275))</f>
        <v/>
      </c>
      <c r="D275" s="149" t="str">
        <f aca="false">IF($J275="","",INDEX(LEDGER_ENGINE!$G$2:$G$546,$J275))</f>
        <v/>
      </c>
      <c r="E275" s="149" t="str">
        <f aca="false">IFERROR(IF($J275="","",INDEX(LEDGER_ENGINE!$H$2:$H$546,$J275)),"")</f>
        <v/>
      </c>
      <c r="F275" s="150" t="str">
        <f aca="false">IF($J275="","",INDEX(LEDGER_ENGINE!$I$2:$I$546,$J275))</f>
        <v/>
      </c>
      <c r="G275" s="150" t="str">
        <f aca="false">IF($J275="","",INDEX(LEDGER_ENGINE!$J$2:$J$546,$J275))</f>
        <v/>
      </c>
      <c r="H275" s="150" t="str">
        <f aca="false">IF($J275="","",INDEX(LEDGER_ENGINE!$L$2:$L$546,$J275))</f>
        <v/>
      </c>
      <c r="I275" s="150" t="str">
        <f aca="false">IF(A275="","",I274+H275)</f>
        <v/>
      </c>
      <c r="J275" s="101" t="str">
        <f aca="false">IFERROR(MATCH(LIBRI_I_MADH!$B$4&amp;"|"&amp;ROWS($A$6:A275),LEDGER_ENGINE!$U$2:$U$546,0),"")</f>
        <v/>
      </c>
    </row>
    <row r="276" customFormat="false" ht="15" hidden="false" customHeight="true" outlineLevel="0" collapsed="false">
      <c r="A276" s="148" t="str">
        <f aca="false">IF($J276="","",INDEX(LEDGER_ENGINE!$B$2:$B$546,$J276))</f>
        <v/>
      </c>
      <c r="B276" s="149" t="str">
        <f aca="false">IF($J276="","",INDEX(LEDGER_ENGINE!$C$2:$C$546,$J276))</f>
        <v/>
      </c>
      <c r="C276" s="149" t="str">
        <f aca="false">IF($J276="","",INDEX(LEDGER_ENGINE!$D$2:$D$546,$J276))</f>
        <v/>
      </c>
      <c r="D276" s="149" t="str">
        <f aca="false">IF($J276="","",INDEX(LEDGER_ENGINE!$G$2:$G$546,$J276))</f>
        <v/>
      </c>
      <c r="E276" s="149" t="str">
        <f aca="false">IFERROR(IF($J276="","",INDEX(LEDGER_ENGINE!$H$2:$H$546,$J276)),"")</f>
        <v/>
      </c>
      <c r="F276" s="150" t="str">
        <f aca="false">IF($J276="","",INDEX(LEDGER_ENGINE!$I$2:$I$546,$J276))</f>
        <v/>
      </c>
      <c r="G276" s="150" t="str">
        <f aca="false">IF($J276="","",INDEX(LEDGER_ENGINE!$J$2:$J$546,$J276))</f>
        <v/>
      </c>
      <c r="H276" s="150" t="str">
        <f aca="false">IF($J276="","",INDEX(LEDGER_ENGINE!$L$2:$L$546,$J276))</f>
        <v/>
      </c>
      <c r="I276" s="150" t="str">
        <f aca="false">IF(A276="","",I275+H276)</f>
        <v/>
      </c>
      <c r="J276" s="101" t="str">
        <f aca="false">IFERROR(MATCH(LIBRI_I_MADH!$B$4&amp;"|"&amp;ROWS($A$6:A276),LEDGER_ENGINE!$U$2:$U$546,0),"")</f>
        <v/>
      </c>
    </row>
    <row r="277" customFormat="false" ht="15" hidden="false" customHeight="true" outlineLevel="0" collapsed="false">
      <c r="A277" s="148" t="str">
        <f aca="false">IF($J277="","",INDEX(LEDGER_ENGINE!$B$2:$B$546,$J277))</f>
        <v/>
      </c>
      <c r="B277" s="149" t="str">
        <f aca="false">IF($J277="","",INDEX(LEDGER_ENGINE!$C$2:$C$546,$J277))</f>
        <v/>
      </c>
      <c r="C277" s="149" t="str">
        <f aca="false">IF($J277="","",INDEX(LEDGER_ENGINE!$D$2:$D$546,$J277))</f>
        <v/>
      </c>
      <c r="D277" s="149" t="str">
        <f aca="false">IF($J277="","",INDEX(LEDGER_ENGINE!$G$2:$G$546,$J277))</f>
        <v/>
      </c>
      <c r="E277" s="149" t="str">
        <f aca="false">IFERROR(IF($J277="","",INDEX(LEDGER_ENGINE!$H$2:$H$546,$J277)),"")</f>
        <v/>
      </c>
      <c r="F277" s="150" t="str">
        <f aca="false">IF($J277="","",INDEX(LEDGER_ENGINE!$I$2:$I$546,$J277))</f>
        <v/>
      </c>
      <c r="G277" s="150" t="str">
        <f aca="false">IF($J277="","",INDEX(LEDGER_ENGINE!$J$2:$J$546,$J277))</f>
        <v/>
      </c>
      <c r="H277" s="150" t="str">
        <f aca="false">IF($J277="","",INDEX(LEDGER_ENGINE!$L$2:$L$546,$J277))</f>
        <v/>
      </c>
      <c r="I277" s="150" t="str">
        <f aca="false">IF(A277="","",I276+H277)</f>
        <v/>
      </c>
      <c r="J277" s="101" t="str">
        <f aca="false">IFERROR(MATCH(LIBRI_I_MADH!$B$4&amp;"|"&amp;ROWS($A$6:A277),LEDGER_ENGINE!$U$2:$U$546,0),"")</f>
        <v/>
      </c>
    </row>
    <row r="278" customFormat="false" ht="15" hidden="false" customHeight="true" outlineLevel="0" collapsed="false">
      <c r="A278" s="148" t="str">
        <f aca="false">IF($J278="","",INDEX(LEDGER_ENGINE!$B$2:$B$546,$J278))</f>
        <v/>
      </c>
      <c r="B278" s="149" t="str">
        <f aca="false">IF($J278="","",INDEX(LEDGER_ENGINE!$C$2:$C$546,$J278))</f>
        <v/>
      </c>
      <c r="C278" s="149" t="str">
        <f aca="false">IF($J278="","",INDEX(LEDGER_ENGINE!$D$2:$D$546,$J278))</f>
        <v/>
      </c>
      <c r="D278" s="149" t="str">
        <f aca="false">IF($J278="","",INDEX(LEDGER_ENGINE!$G$2:$G$546,$J278))</f>
        <v/>
      </c>
      <c r="E278" s="149" t="str">
        <f aca="false">IFERROR(IF($J278="","",INDEX(LEDGER_ENGINE!$H$2:$H$546,$J278)),"")</f>
        <v/>
      </c>
      <c r="F278" s="150" t="str">
        <f aca="false">IF($J278="","",INDEX(LEDGER_ENGINE!$I$2:$I$546,$J278))</f>
        <v/>
      </c>
      <c r="G278" s="150" t="str">
        <f aca="false">IF($J278="","",INDEX(LEDGER_ENGINE!$J$2:$J$546,$J278))</f>
        <v/>
      </c>
      <c r="H278" s="150" t="str">
        <f aca="false">IF($J278="","",INDEX(LEDGER_ENGINE!$L$2:$L$546,$J278))</f>
        <v/>
      </c>
      <c r="I278" s="150" t="str">
        <f aca="false">IF(A278="","",I277+H278)</f>
        <v/>
      </c>
      <c r="J278" s="101" t="str">
        <f aca="false">IFERROR(MATCH(LIBRI_I_MADH!$B$4&amp;"|"&amp;ROWS($A$6:A278),LEDGER_ENGINE!$U$2:$U$546,0),"")</f>
        <v/>
      </c>
    </row>
    <row r="279" customFormat="false" ht="15" hidden="false" customHeight="true" outlineLevel="0" collapsed="false">
      <c r="A279" s="148" t="str">
        <f aca="false">IF($J279="","",INDEX(LEDGER_ENGINE!$B$2:$B$546,$J279))</f>
        <v/>
      </c>
      <c r="B279" s="149" t="str">
        <f aca="false">IF($J279="","",INDEX(LEDGER_ENGINE!$C$2:$C$546,$J279))</f>
        <v/>
      </c>
      <c r="C279" s="149" t="str">
        <f aca="false">IF($J279="","",INDEX(LEDGER_ENGINE!$D$2:$D$546,$J279))</f>
        <v/>
      </c>
      <c r="D279" s="149" t="str">
        <f aca="false">IF($J279="","",INDEX(LEDGER_ENGINE!$G$2:$G$546,$J279))</f>
        <v/>
      </c>
      <c r="E279" s="149" t="str">
        <f aca="false">IFERROR(IF($J279="","",INDEX(LEDGER_ENGINE!$H$2:$H$546,$J279)),"")</f>
        <v/>
      </c>
      <c r="F279" s="150" t="str">
        <f aca="false">IF($J279="","",INDEX(LEDGER_ENGINE!$I$2:$I$546,$J279))</f>
        <v/>
      </c>
      <c r="G279" s="150" t="str">
        <f aca="false">IF($J279="","",INDEX(LEDGER_ENGINE!$J$2:$J$546,$J279))</f>
        <v/>
      </c>
      <c r="H279" s="150" t="str">
        <f aca="false">IF($J279="","",INDEX(LEDGER_ENGINE!$L$2:$L$546,$J279))</f>
        <v/>
      </c>
      <c r="I279" s="150" t="str">
        <f aca="false">IF(A279="","",I278+H279)</f>
        <v/>
      </c>
      <c r="J279" s="101" t="str">
        <f aca="false">IFERROR(MATCH(LIBRI_I_MADH!$B$4&amp;"|"&amp;ROWS($A$6:A279),LEDGER_ENGINE!$U$2:$U$546,0),"")</f>
        <v/>
      </c>
    </row>
    <row r="280" customFormat="false" ht="15" hidden="false" customHeight="true" outlineLevel="0" collapsed="false">
      <c r="A280" s="148" t="str">
        <f aca="false">IF($J280="","",INDEX(LEDGER_ENGINE!$B$2:$B$546,$J280))</f>
        <v/>
      </c>
      <c r="B280" s="149" t="str">
        <f aca="false">IF($J280="","",INDEX(LEDGER_ENGINE!$C$2:$C$546,$J280))</f>
        <v/>
      </c>
      <c r="C280" s="149" t="str">
        <f aca="false">IF($J280="","",INDEX(LEDGER_ENGINE!$D$2:$D$546,$J280))</f>
        <v/>
      </c>
      <c r="D280" s="149" t="str">
        <f aca="false">IF($J280="","",INDEX(LEDGER_ENGINE!$G$2:$G$546,$J280))</f>
        <v/>
      </c>
      <c r="E280" s="149" t="str">
        <f aca="false">IFERROR(IF($J280="","",INDEX(LEDGER_ENGINE!$H$2:$H$546,$J280)),"")</f>
        <v/>
      </c>
      <c r="F280" s="150" t="str">
        <f aca="false">IF($J280="","",INDEX(LEDGER_ENGINE!$I$2:$I$546,$J280))</f>
        <v/>
      </c>
      <c r="G280" s="150" t="str">
        <f aca="false">IF($J280="","",INDEX(LEDGER_ENGINE!$J$2:$J$546,$J280))</f>
        <v/>
      </c>
      <c r="H280" s="150" t="str">
        <f aca="false">IF($J280="","",INDEX(LEDGER_ENGINE!$L$2:$L$546,$J280))</f>
        <v/>
      </c>
      <c r="I280" s="150" t="str">
        <f aca="false">IF(A280="","",I279+H280)</f>
        <v/>
      </c>
      <c r="J280" s="101" t="str">
        <f aca="false">IFERROR(MATCH(LIBRI_I_MADH!$B$4&amp;"|"&amp;ROWS($A$6:A280),LEDGER_ENGINE!$U$2:$U$546,0),"")</f>
        <v/>
      </c>
    </row>
    <row r="281" customFormat="false" ht="15" hidden="false" customHeight="true" outlineLevel="0" collapsed="false">
      <c r="A281" s="148" t="str">
        <f aca="false">IF($J281="","",INDEX(LEDGER_ENGINE!$B$2:$B$546,$J281))</f>
        <v/>
      </c>
      <c r="B281" s="149" t="str">
        <f aca="false">IF($J281="","",INDEX(LEDGER_ENGINE!$C$2:$C$546,$J281))</f>
        <v/>
      </c>
      <c r="C281" s="149" t="str">
        <f aca="false">IF($J281="","",INDEX(LEDGER_ENGINE!$D$2:$D$546,$J281))</f>
        <v/>
      </c>
      <c r="D281" s="149" t="str">
        <f aca="false">IF($J281="","",INDEX(LEDGER_ENGINE!$G$2:$G$546,$J281))</f>
        <v/>
      </c>
      <c r="E281" s="149" t="str">
        <f aca="false">IFERROR(IF($J281="","",INDEX(LEDGER_ENGINE!$H$2:$H$546,$J281)),"")</f>
        <v/>
      </c>
      <c r="F281" s="150" t="str">
        <f aca="false">IF($J281="","",INDEX(LEDGER_ENGINE!$I$2:$I$546,$J281))</f>
        <v/>
      </c>
      <c r="G281" s="150" t="str">
        <f aca="false">IF($J281="","",INDEX(LEDGER_ENGINE!$J$2:$J$546,$J281))</f>
        <v/>
      </c>
      <c r="H281" s="150" t="str">
        <f aca="false">IF($J281="","",INDEX(LEDGER_ENGINE!$L$2:$L$546,$J281))</f>
        <v/>
      </c>
      <c r="I281" s="150" t="str">
        <f aca="false">IF(A281="","",I280+H281)</f>
        <v/>
      </c>
      <c r="J281" s="101" t="str">
        <f aca="false">IFERROR(MATCH(LIBRI_I_MADH!$B$4&amp;"|"&amp;ROWS($A$6:A281),LEDGER_ENGINE!$U$2:$U$546,0),"")</f>
        <v/>
      </c>
    </row>
    <row r="282" customFormat="false" ht="15" hidden="false" customHeight="true" outlineLevel="0" collapsed="false">
      <c r="A282" s="148" t="str">
        <f aca="false">IF($J282="","",INDEX(LEDGER_ENGINE!$B$2:$B$546,$J282))</f>
        <v/>
      </c>
      <c r="B282" s="149" t="str">
        <f aca="false">IF($J282="","",INDEX(LEDGER_ENGINE!$C$2:$C$546,$J282))</f>
        <v/>
      </c>
      <c r="C282" s="149" t="str">
        <f aca="false">IF($J282="","",INDEX(LEDGER_ENGINE!$D$2:$D$546,$J282))</f>
        <v/>
      </c>
      <c r="D282" s="149" t="str">
        <f aca="false">IF($J282="","",INDEX(LEDGER_ENGINE!$G$2:$G$546,$J282))</f>
        <v/>
      </c>
      <c r="E282" s="149" t="str">
        <f aca="false">IFERROR(IF($J282="","",INDEX(LEDGER_ENGINE!$H$2:$H$546,$J282)),"")</f>
        <v/>
      </c>
      <c r="F282" s="150" t="str">
        <f aca="false">IF($J282="","",INDEX(LEDGER_ENGINE!$I$2:$I$546,$J282))</f>
        <v/>
      </c>
      <c r="G282" s="150" t="str">
        <f aca="false">IF($J282="","",INDEX(LEDGER_ENGINE!$J$2:$J$546,$J282))</f>
        <v/>
      </c>
      <c r="H282" s="150" t="str">
        <f aca="false">IF($J282="","",INDEX(LEDGER_ENGINE!$L$2:$L$546,$J282))</f>
        <v/>
      </c>
      <c r="I282" s="150" t="str">
        <f aca="false">IF(A282="","",I281+H282)</f>
        <v/>
      </c>
      <c r="J282" s="101" t="str">
        <f aca="false">IFERROR(MATCH(LIBRI_I_MADH!$B$4&amp;"|"&amp;ROWS($A$6:A282),LEDGER_ENGINE!$U$2:$U$546,0),"")</f>
        <v/>
      </c>
    </row>
    <row r="283" customFormat="false" ht="15" hidden="false" customHeight="true" outlineLevel="0" collapsed="false">
      <c r="A283" s="148" t="str">
        <f aca="false">IF($J283="","",INDEX(LEDGER_ENGINE!$B$2:$B$546,$J283))</f>
        <v/>
      </c>
      <c r="B283" s="149" t="str">
        <f aca="false">IF($J283="","",INDEX(LEDGER_ENGINE!$C$2:$C$546,$J283))</f>
        <v/>
      </c>
      <c r="C283" s="149" t="str">
        <f aca="false">IF($J283="","",INDEX(LEDGER_ENGINE!$D$2:$D$546,$J283))</f>
        <v/>
      </c>
      <c r="D283" s="149" t="str">
        <f aca="false">IF($J283="","",INDEX(LEDGER_ENGINE!$G$2:$G$546,$J283))</f>
        <v/>
      </c>
      <c r="E283" s="149" t="str">
        <f aca="false">IFERROR(IF($J283="","",INDEX(LEDGER_ENGINE!$H$2:$H$546,$J283)),"")</f>
        <v/>
      </c>
      <c r="F283" s="150" t="str">
        <f aca="false">IF($J283="","",INDEX(LEDGER_ENGINE!$I$2:$I$546,$J283))</f>
        <v/>
      </c>
      <c r="G283" s="150" t="str">
        <f aca="false">IF($J283="","",INDEX(LEDGER_ENGINE!$J$2:$J$546,$J283))</f>
        <v/>
      </c>
      <c r="H283" s="150" t="str">
        <f aca="false">IF($J283="","",INDEX(LEDGER_ENGINE!$L$2:$L$546,$J283))</f>
        <v/>
      </c>
      <c r="I283" s="150" t="str">
        <f aca="false">IF(A283="","",I282+H283)</f>
        <v/>
      </c>
      <c r="J283" s="101" t="str">
        <f aca="false">IFERROR(MATCH(LIBRI_I_MADH!$B$4&amp;"|"&amp;ROWS($A$6:A283),LEDGER_ENGINE!$U$2:$U$546,0),"")</f>
        <v/>
      </c>
    </row>
    <row r="284" customFormat="false" ht="15" hidden="false" customHeight="true" outlineLevel="0" collapsed="false">
      <c r="A284" s="148" t="str">
        <f aca="false">IF($J284="","",INDEX(LEDGER_ENGINE!$B$2:$B$546,$J284))</f>
        <v/>
      </c>
      <c r="B284" s="149" t="str">
        <f aca="false">IF($J284="","",INDEX(LEDGER_ENGINE!$C$2:$C$546,$J284))</f>
        <v/>
      </c>
      <c r="C284" s="149" t="str">
        <f aca="false">IF($J284="","",INDEX(LEDGER_ENGINE!$D$2:$D$546,$J284))</f>
        <v/>
      </c>
      <c r="D284" s="149" t="str">
        <f aca="false">IF($J284="","",INDEX(LEDGER_ENGINE!$G$2:$G$546,$J284))</f>
        <v/>
      </c>
      <c r="E284" s="149" t="str">
        <f aca="false">IFERROR(IF($J284="","",INDEX(LEDGER_ENGINE!$H$2:$H$546,$J284)),"")</f>
        <v/>
      </c>
      <c r="F284" s="150" t="str">
        <f aca="false">IF($J284="","",INDEX(LEDGER_ENGINE!$I$2:$I$546,$J284))</f>
        <v/>
      </c>
      <c r="G284" s="150" t="str">
        <f aca="false">IF($J284="","",INDEX(LEDGER_ENGINE!$J$2:$J$546,$J284))</f>
        <v/>
      </c>
      <c r="H284" s="150" t="str">
        <f aca="false">IF($J284="","",INDEX(LEDGER_ENGINE!$L$2:$L$546,$J284))</f>
        <v/>
      </c>
      <c r="I284" s="150" t="str">
        <f aca="false">IF(A284="","",I283+H284)</f>
        <v/>
      </c>
      <c r="J284" s="101" t="str">
        <f aca="false">IFERROR(MATCH(LIBRI_I_MADH!$B$4&amp;"|"&amp;ROWS($A$6:A284),LEDGER_ENGINE!$U$2:$U$546,0),"")</f>
        <v/>
      </c>
    </row>
    <row r="285" customFormat="false" ht="15" hidden="false" customHeight="true" outlineLevel="0" collapsed="false">
      <c r="A285" s="148" t="str">
        <f aca="false">IF($J285="","",INDEX(LEDGER_ENGINE!$B$2:$B$546,$J285))</f>
        <v/>
      </c>
      <c r="B285" s="149" t="str">
        <f aca="false">IF($J285="","",INDEX(LEDGER_ENGINE!$C$2:$C$546,$J285))</f>
        <v/>
      </c>
      <c r="C285" s="149" t="str">
        <f aca="false">IF($J285="","",INDEX(LEDGER_ENGINE!$D$2:$D$546,$J285))</f>
        <v/>
      </c>
      <c r="D285" s="149" t="str">
        <f aca="false">IF($J285="","",INDEX(LEDGER_ENGINE!$G$2:$G$546,$J285))</f>
        <v/>
      </c>
      <c r="E285" s="149" t="str">
        <f aca="false">IFERROR(IF($J285="","",INDEX(LEDGER_ENGINE!$H$2:$H$546,$J285)),"")</f>
        <v/>
      </c>
      <c r="F285" s="150" t="str">
        <f aca="false">IF($J285="","",INDEX(LEDGER_ENGINE!$I$2:$I$546,$J285))</f>
        <v/>
      </c>
      <c r="G285" s="150" t="str">
        <f aca="false">IF($J285="","",INDEX(LEDGER_ENGINE!$J$2:$J$546,$J285))</f>
        <v/>
      </c>
      <c r="H285" s="150" t="str">
        <f aca="false">IF($J285="","",INDEX(LEDGER_ENGINE!$L$2:$L$546,$J285))</f>
        <v/>
      </c>
      <c r="I285" s="150" t="str">
        <f aca="false">IF(A285="","",I284+H285)</f>
        <v/>
      </c>
      <c r="J285" s="101" t="str">
        <f aca="false">IFERROR(MATCH(LIBRI_I_MADH!$B$4&amp;"|"&amp;ROWS($A$6:A285),LEDGER_ENGINE!$U$2:$U$546,0),"")</f>
        <v/>
      </c>
    </row>
    <row r="286" customFormat="false" ht="15" hidden="false" customHeight="true" outlineLevel="0" collapsed="false">
      <c r="A286" s="148" t="str">
        <f aca="false">IF($J286="","",INDEX(LEDGER_ENGINE!$B$2:$B$546,$J286))</f>
        <v/>
      </c>
      <c r="B286" s="149" t="str">
        <f aca="false">IF($J286="","",INDEX(LEDGER_ENGINE!$C$2:$C$546,$J286))</f>
        <v/>
      </c>
      <c r="C286" s="149" t="str">
        <f aca="false">IF($J286="","",INDEX(LEDGER_ENGINE!$D$2:$D$546,$J286))</f>
        <v/>
      </c>
      <c r="D286" s="149" t="str">
        <f aca="false">IF($J286="","",INDEX(LEDGER_ENGINE!$G$2:$G$546,$J286))</f>
        <v/>
      </c>
      <c r="E286" s="149" t="str">
        <f aca="false">IFERROR(IF($J286="","",INDEX(LEDGER_ENGINE!$H$2:$H$546,$J286)),"")</f>
        <v/>
      </c>
      <c r="F286" s="150" t="str">
        <f aca="false">IF($J286="","",INDEX(LEDGER_ENGINE!$I$2:$I$546,$J286))</f>
        <v/>
      </c>
      <c r="G286" s="150" t="str">
        <f aca="false">IF($J286="","",INDEX(LEDGER_ENGINE!$J$2:$J$546,$J286))</f>
        <v/>
      </c>
      <c r="H286" s="150" t="str">
        <f aca="false">IF($J286="","",INDEX(LEDGER_ENGINE!$L$2:$L$546,$J286))</f>
        <v/>
      </c>
      <c r="I286" s="150" t="str">
        <f aca="false">IF(A286="","",I285+H286)</f>
        <v/>
      </c>
      <c r="J286" s="101" t="str">
        <f aca="false">IFERROR(MATCH(LIBRI_I_MADH!$B$4&amp;"|"&amp;ROWS($A$6:A286),LEDGER_ENGINE!$U$2:$U$546,0),"")</f>
        <v/>
      </c>
    </row>
    <row r="287" customFormat="false" ht="15" hidden="false" customHeight="true" outlineLevel="0" collapsed="false">
      <c r="A287" s="148" t="str">
        <f aca="false">IF($J287="","",INDEX(LEDGER_ENGINE!$B$2:$B$546,$J287))</f>
        <v/>
      </c>
      <c r="B287" s="149" t="str">
        <f aca="false">IF($J287="","",INDEX(LEDGER_ENGINE!$C$2:$C$546,$J287))</f>
        <v/>
      </c>
      <c r="C287" s="149" t="str">
        <f aca="false">IF($J287="","",INDEX(LEDGER_ENGINE!$D$2:$D$546,$J287))</f>
        <v/>
      </c>
      <c r="D287" s="149" t="str">
        <f aca="false">IF($J287="","",INDEX(LEDGER_ENGINE!$G$2:$G$546,$J287))</f>
        <v/>
      </c>
      <c r="E287" s="149" t="str">
        <f aca="false">IFERROR(IF($J287="","",INDEX(LEDGER_ENGINE!$H$2:$H$546,$J287)),"")</f>
        <v/>
      </c>
      <c r="F287" s="150" t="str">
        <f aca="false">IF($J287="","",INDEX(LEDGER_ENGINE!$I$2:$I$546,$J287))</f>
        <v/>
      </c>
      <c r="G287" s="150" t="str">
        <f aca="false">IF($J287="","",INDEX(LEDGER_ENGINE!$J$2:$J$546,$J287))</f>
        <v/>
      </c>
      <c r="H287" s="150" t="str">
        <f aca="false">IF($J287="","",INDEX(LEDGER_ENGINE!$L$2:$L$546,$J287))</f>
        <v/>
      </c>
      <c r="I287" s="150" t="str">
        <f aca="false">IF(A287="","",I286+H287)</f>
        <v/>
      </c>
      <c r="J287" s="101" t="str">
        <f aca="false">IFERROR(MATCH(LIBRI_I_MADH!$B$4&amp;"|"&amp;ROWS($A$6:A287),LEDGER_ENGINE!$U$2:$U$546,0),"")</f>
        <v/>
      </c>
    </row>
    <row r="288" customFormat="false" ht="15" hidden="false" customHeight="true" outlineLevel="0" collapsed="false">
      <c r="A288" s="148" t="str">
        <f aca="false">IF($J288="","",INDEX(LEDGER_ENGINE!$B$2:$B$546,$J288))</f>
        <v/>
      </c>
      <c r="B288" s="149" t="str">
        <f aca="false">IF($J288="","",INDEX(LEDGER_ENGINE!$C$2:$C$546,$J288))</f>
        <v/>
      </c>
      <c r="C288" s="149" t="str">
        <f aca="false">IF($J288="","",INDEX(LEDGER_ENGINE!$D$2:$D$546,$J288))</f>
        <v/>
      </c>
      <c r="D288" s="149" t="str">
        <f aca="false">IF($J288="","",INDEX(LEDGER_ENGINE!$G$2:$G$546,$J288))</f>
        <v/>
      </c>
      <c r="E288" s="149" t="str">
        <f aca="false">IFERROR(IF($J288="","",INDEX(LEDGER_ENGINE!$H$2:$H$546,$J288)),"")</f>
        <v/>
      </c>
      <c r="F288" s="150" t="str">
        <f aca="false">IF($J288="","",INDEX(LEDGER_ENGINE!$I$2:$I$546,$J288))</f>
        <v/>
      </c>
      <c r="G288" s="150" t="str">
        <f aca="false">IF($J288="","",INDEX(LEDGER_ENGINE!$J$2:$J$546,$J288))</f>
        <v/>
      </c>
      <c r="H288" s="150" t="str">
        <f aca="false">IF($J288="","",INDEX(LEDGER_ENGINE!$L$2:$L$546,$J288))</f>
        <v/>
      </c>
      <c r="I288" s="150" t="str">
        <f aca="false">IF(A288="","",I287+H288)</f>
        <v/>
      </c>
      <c r="J288" s="101" t="str">
        <f aca="false">IFERROR(MATCH(LIBRI_I_MADH!$B$4&amp;"|"&amp;ROWS($A$6:A288),LEDGER_ENGINE!$U$2:$U$546,0),"")</f>
        <v/>
      </c>
    </row>
    <row r="289" customFormat="false" ht="15" hidden="false" customHeight="true" outlineLevel="0" collapsed="false">
      <c r="A289" s="148" t="str">
        <f aca="false">IF($J289="","",INDEX(LEDGER_ENGINE!$B$2:$B$546,$J289))</f>
        <v/>
      </c>
      <c r="B289" s="149" t="str">
        <f aca="false">IF($J289="","",INDEX(LEDGER_ENGINE!$C$2:$C$546,$J289))</f>
        <v/>
      </c>
      <c r="C289" s="149" t="str">
        <f aca="false">IF($J289="","",INDEX(LEDGER_ENGINE!$D$2:$D$546,$J289))</f>
        <v/>
      </c>
      <c r="D289" s="149" t="str">
        <f aca="false">IF($J289="","",INDEX(LEDGER_ENGINE!$G$2:$G$546,$J289))</f>
        <v/>
      </c>
      <c r="E289" s="149" t="str">
        <f aca="false">IFERROR(IF($J289="","",INDEX(LEDGER_ENGINE!$H$2:$H$546,$J289)),"")</f>
        <v/>
      </c>
      <c r="F289" s="150" t="str">
        <f aca="false">IF($J289="","",INDEX(LEDGER_ENGINE!$I$2:$I$546,$J289))</f>
        <v/>
      </c>
      <c r="G289" s="150" t="str">
        <f aca="false">IF($J289="","",INDEX(LEDGER_ENGINE!$J$2:$J$546,$J289))</f>
        <v/>
      </c>
      <c r="H289" s="150" t="str">
        <f aca="false">IF($J289="","",INDEX(LEDGER_ENGINE!$L$2:$L$546,$J289))</f>
        <v/>
      </c>
      <c r="I289" s="150" t="str">
        <f aca="false">IF(A289="","",I288+H289)</f>
        <v/>
      </c>
      <c r="J289" s="101" t="str">
        <f aca="false">IFERROR(MATCH(LIBRI_I_MADH!$B$4&amp;"|"&amp;ROWS($A$6:A289),LEDGER_ENGINE!$U$2:$U$546,0),"")</f>
        <v/>
      </c>
    </row>
    <row r="290" customFormat="false" ht="15" hidden="false" customHeight="true" outlineLevel="0" collapsed="false">
      <c r="A290" s="148" t="str">
        <f aca="false">IF($J290="","",INDEX(LEDGER_ENGINE!$B$2:$B$546,$J290))</f>
        <v/>
      </c>
      <c r="B290" s="149" t="str">
        <f aca="false">IF($J290="","",INDEX(LEDGER_ENGINE!$C$2:$C$546,$J290))</f>
        <v/>
      </c>
      <c r="C290" s="149" t="str">
        <f aca="false">IF($J290="","",INDEX(LEDGER_ENGINE!$D$2:$D$546,$J290))</f>
        <v/>
      </c>
      <c r="D290" s="149" t="str">
        <f aca="false">IF($J290="","",INDEX(LEDGER_ENGINE!$G$2:$G$546,$J290))</f>
        <v/>
      </c>
      <c r="E290" s="149" t="str">
        <f aca="false">IFERROR(IF($J290="","",INDEX(LEDGER_ENGINE!$H$2:$H$546,$J290)),"")</f>
        <v/>
      </c>
      <c r="F290" s="150" t="str">
        <f aca="false">IF($J290="","",INDEX(LEDGER_ENGINE!$I$2:$I$546,$J290))</f>
        <v/>
      </c>
      <c r="G290" s="150" t="str">
        <f aca="false">IF($J290="","",INDEX(LEDGER_ENGINE!$J$2:$J$546,$J290))</f>
        <v/>
      </c>
      <c r="H290" s="150" t="str">
        <f aca="false">IF($J290="","",INDEX(LEDGER_ENGINE!$L$2:$L$546,$J290))</f>
        <v/>
      </c>
      <c r="I290" s="150" t="str">
        <f aca="false">IF(A290="","",I289+H290)</f>
        <v/>
      </c>
      <c r="J290" s="101" t="str">
        <f aca="false">IFERROR(MATCH(LIBRI_I_MADH!$B$4&amp;"|"&amp;ROWS($A$6:A290),LEDGER_ENGINE!$U$2:$U$546,0),"")</f>
        <v/>
      </c>
    </row>
    <row r="291" customFormat="false" ht="15" hidden="false" customHeight="true" outlineLevel="0" collapsed="false">
      <c r="A291" s="148" t="str">
        <f aca="false">IF($J291="","",INDEX(LEDGER_ENGINE!$B$2:$B$546,$J291))</f>
        <v/>
      </c>
      <c r="B291" s="149" t="str">
        <f aca="false">IF($J291="","",INDEX(LEDGER_ENGINE!$C$2:$C$546,$J291))</f>
        <v/>
      </c>
      <c r="C291" s="149" t="str">
        <f aca="false">IF($J291="","",INDEX(LEDGER_ENGINE!$D$2:$D$546,$J291))</f>
        <v/>
      </c>
      <c r="D291" s="149" t="str">
        <f aca="false">IF($J291="","",INDEX(LEDGER_ENGINE!$G$2:$G$546,$J291))</f>
        <v/>
      </c>
      <c r="E291" s="149" t="str">
        <f aca="false">IFERROR(IF($J291="","",INDEX(LEDGER_ENGINE!$H$2:$H$546,$J291)),"")</f>
        <v/>
      </c>
      <c r="F291" s="150" t="str">
        <f aca="false">IF($J291="","",INDEX(LEDGER_ENGINE!$I$2:$I$546,$J291))</f>
        <v/>
      </c>
      <c r="G291" s="150" t="str">
        <f aca="false">IF($J291="","",INDEX(LEDGER_ENGINE!$J$2:$J$546,$J291))</f>
        <v/>
      </c>
      <c r="H291" s="150" t="str">
        <f aca="false">IF($J291="","",INDEX(LEDGER_ENGINE!$L$2:$L$546,$J291))</f>
        <v/>
      </c>
      <c r="I291" s="150" t="str">
        <f aca="false">IF(A291="","",I290+H291)</f>
        <v/>
      </c>
      <c r="J291" s="101" t="str">
        <f aca="false">IFERROR(MATCH(LIBRI_I_MADH!$B$4&amp;"|"&amp;ROWS($A$6:A291),LEDGER_ENGINE!$U$2:$U$546,0),"")</f>
        <v/>
      </c>
    </row>
    <row r="292" customFormat="false" ht="15" hidden="false" customHeight="true" outlineLevel="0" collapsed="false">
      <c r="A292" s="148" t="str">
        <f aca="false">IF($J292="","",INDEX(LEDGER_ENGINE!$B$2:$B$546,$J292))</f>
        <v/>
      </c>
      <c r="B292" s="149" t="str">
        <f aca="false">IF($J292="","",INDEX(LEDGER_ENGINE!$C$2:$C$546,$J292))</f>
        <v/>
      </c>
      <c r="C292" s="149" t="str">
        <f aca="false">IF($J292="","",INDEX(LEDGER_ENGINE!$D$2:$D$546,$J292))</f>
        <v/>
      </c>
      <c r="D292" s="149" t="str">
        <f aca="false">IF($J292="","",INDEX(LEDGER_ENGINE!$G$2:$G$546,$J292))</f>
        <v/>
      </c>
      <c r="E292" s="149" t="str">
        <f aca="false">IFERROR(IF($J292="","",INDEX(LEDGER_ENGINE!$H$2:$H$546,$J292)),"")</f>
        <v/>
      </c>
      <c r="F292" s="150" t="str">
        <f aca="false">IF($J292="","",INDEX(LEDGER_ENGINE!$I$2:$I$546,$J292))</f>
        <v/>
      </c>
      <c r="G292" s="150" t="str">
        <f aca="false">IF($J292="","",INDEX(LEDGER_ENGINE!$J$2:$J$546,$J292))</f>
        <v/>
      </c>
      <c r="H292" s="150" t="str">
        <f aca="false">IF($J292="","",INDEX(LEDGER_ENGINE!$L$2:$L$546,$J292))</f>
        <v/>
      </c>
      <c r="I292" s="150" t="str">
        <f aca="false">IF(A292="","",I291+H292)</f>
        <v/>
      </c>
      <c r="J292" s="101" t="str">
        <f aca="false">IFERROR(MATCH(LIBRI_I_MADH!$B$4&amp;"|"&amp;ROWS($A$6:A292),LEDGER_ENGINE!$U$2:$U$546,0),"")</f>
        <v/>
      </c>
    </row>
    <row r="293" customFormat="false" ht="15" hidden="false" customHeight="true" outlineLevel="0" collapsed="false">
      <c r="A293" s="148" t="str">
        <f aca="false">IF($J293="","",INDEX(LEDGER_ENGINE!$B$2:$B$546,$J293))</f>
        <v/>
      </c>
      <c r="B293" s="149" t="str">
        <f aca="false">IF($J293="","",INDEX(LEDGER_ENGINE!$C$2:$C$546,$J293))</f>
        <v/>
      </c>
      <c r="C293" s="149" t="str">
        <f aca="false">IF($J293="","",INDEX(LEDGER_ENGINE!$D$2:$D$546,$J293))</f>
        <v/>
      </c>
      <c r="D293" s="149" t="str">
        <f aca="false">IF($J293="","",INDEX(LEDGER_ENGINE!$G$2:$G$546,$J293))</f>
        <v/>
      </c>
      <c r="E293" s="149" t="str">
        <f aca="false">IFERROR(IF($J293="","",INDEX(LEDGER_ENGINE!$H$2:$H$546,$J293)),"")</f>
        <v/>
      </c>
      <c r="F293" s="150" t="str">
        <f aca="false">IF($J293="","",INDEX(LEDGER_ENGINE!$I$2:$I$546,$J293))</f>
        <v/>
      </c>
      <c r="G293" s="150" t="str">
        <f aca="false">IF($J293="","",INDEX(LEDGER_ENGINE!$J$2:$J$546,$J293))</f>
        <v/>
      </c>
      <c r="H293" s="150" t="str">
        <f aca="false">IF($J293="","",INDEX(LEDGER_ENGINE!$L$2:$L$546,$J293))</f>
        <v/>
      </c>
      <c r="I293" s="150" t="str">
        <f aca="false">IF(A293="","",I292+H293)</f>
        <v/>
      </c>
      <c r="J293" s="101" t="str">
        <f aca="false">IFERROR(MATCH(LIBRI_I_MADH!$B$4&amp;"|"&amp;ROWS($A$6:A293),LEDGER_ENGINE!$U$2:$U$546,0),"")</f>
        <v/>
      </c>
    </row>
    <row r="294" customFormat="false" ht="15" hidden="false" customHeight="true" outlineLevel="0" collapsed="false">
      <c r="A294" s="148" t="str">
        <f aca="false">IF($J294="","",INDEX(LEDGER_ENGINE!$B$2:$B$546,$J294))</f>
        <v/>
      </c>
      <c r="B294" s="149" t="str">
        <f aca="false">IF($J294="","",INDEX(LEDGER_ENGINE!$C$2:$C$546,$J294))</f>
        <v/>
      </c>
      <c r="C294" s="149" t="str">
        <f aca="false">IF($J294="","",INDEX(LEDGER_ENGINE!$D$2:$D$546,$J294))</f>
        <v/>
      </c>
      <c r="D294" s="149" t="str">
        <f aca="false">IF($J294="","",INDEX(LEDGER_ENGINE!$G$2:$G$546,$J294))</f>
        <v/>
      </c>
      <c r="E294" s="149" t="str">
        <f aca="false">IFERROR(IF($J294="","",INDEX(LEDGER_ENGINE!$H$2:$H$546,$J294)),"")</f>
        <v/>
      </c>
      <c r="F294" s="150" t="str">
        <f aca="false">IF($J294="","",INDEX(LEDGER_ENGINE!$I$2:$I$546,$J294))</f>
        <v/>
      </c>
      <c r="G294" s="150" t="str">
        <f aca="false">IF($J294="","",INDEX(LEDGER_ENGINE!$J$2:$J$546,$J294))</f>
        <v/>
      </c>
      <c r="H294" s="150" t="str">
        <f aca="false">IF($J294="","",INDEX(LEDGER_ENGINE!$L$2:$L$546,$J294))</f>
        <v/>
      </c>
      <c r="I294" s="150" t="str">
        <f aca="false">IF(A294="","",I293+H294)</f>
        <v/>
      </c>
      <c r="J294" s="101" t="str">
        <f aca="false">IFERROR(MATCH(LIBRI_I_MADH!$B$4&amp;"|"&amp;ROWS($A$6:A294),LEDGER_ENGINE!$U$2:$U$546,0),"")</f>
        <v/>
      </c>
    </row>
    <row r="295" customFormat="false" ht="15" hidden="false" customHeight="true" outlineLevel="0" collapsed="false">
      <c r="A295" s="148" t="str">
        <f aca="false">IF($J295="","",INDEX(LEDGER_ENGINE!$B$2:$B$546,$J295))</f>
        <v/>
      </c>
      <c r="B295" s="149" t="str">
        <f aca="false">IF($J295="","",INDEX(LEDGER_ENGINE!$C$2:$C$546,$J295))</f>
        <v/>
      </c>
      <c r="C295" s="149" t="str">
        <f aca="false">IF($J295="","",INDEX(LEDGER_ENGINE!$D$2:$D$546,$J295))</f>
        <v/>
      </c>
      <c r="D295" s="149" t="str">
        <f aca="false">IF($J295="","",INDEX(LEDGER_ENGINE!$G$2:$G$546,$J295))</f>
        <v/>
      </c>
      <c r="E295" s="149" t="str">
        <f aca="false">IFERROR(IF($J295="","",INDEX(LEDGER_ENGINE!$H$2:$H$546,$J295)),"")</f>
        <v/>
      </c>
      <c r="F295" s="150" t="str">
        <f aca="false">IF($J295="","",INDEX(LEDGER_ENGINE!$I$2:$I$546,$J295))</f>
        <v/>
      </c>
      <c r="G295" s="150" t="str">
        <f aca="false">IF($J295="","",INDEX(LEDGER_ENGINE!$J$2:$J$546,$J295))</f>
        <v/>
      </c>
      <c r="H295" s="150" t="str">
        <f aca="false">IF($J295="","",INDEX(LEDGER_ENGINE!$L$2:$L$546,$J295))</f>
        <v/>
      </c>
      <c r="I295" s="150" t="str">
        <f aca="false">IF(A295="","",I294+H295)</f>
        <v/>
      </c>
      <c r="J295" s="101" t="str">
        <f aca="false">IFERROR(MATCH(LIBRI_I_MADH!$B$4&amp;"|"&amp;ROWS($A$6:A295),LEDGER_ENGINE!$U$2:$U$546,0),"")</f>
        <v/>
      </c>
    </row>
    <row r="296" customFormat="false" ht="15" hidden="false" customHeight="true" outlineLevel="0" collapsed="false">
      <c r="A296" s="148" t="str">
        <f aca="false">IF($J296="","",INDEX(LEDGER_ENGINE!$B$2:$B$546,$J296))</f>
        <v/>
      </c>
      <c r="B296" s="149" t="str">
        <f aca="false">IF($J296="","",INDEX(LEDGER_ENGINE!$C$2:$C$546,$J296))</f>
        <v/>
      </c>
      <c r="C296" s="149" t="str">
        <f aca="false">IF($J296="","",INDEX(LEDGER_ENGINE!$D$2:$D$546,$J296))</f>
        <v/>
      </c>
      <c r="D296" s="149" t="str">
        <f aca="false">IF($J296="","",INDEX(LEDGER_ENGINE!$G$2:$G$546,$J296))</f>
        <v/>
      </c>
      <c r="E296" s="149" t="str">
        <f aca="false">IFERROR(IF($J296="","",INDEX(LEDGER_ENGINE!$H$2:$H$546,$J296)),"")</f>
        <v/>
      </c>
      <c r="F296" s="150" t="str">
        <f aca="false">IF($J296="","",INDEX(LEDGER_ENGINE!$I$2:$I$546,$J296))</f>
        <v/>
      </c>
      <c r="G296" s="150" t="str">
        <f aca="false">IF($J296="","",INDEX(LEDGER_ENGINE!$J$2:$J$546,$J296))</f>
        <v/>
      </c>
      <c r="H296" s="150" t="str">
        <f aca="false">IF($J296="","",INDEX(LEDGER_ENGINE!$L$2:$L$546,$J296))</f>
        <v/>
      </c>
      <c r="I296" s="150" t="str">
        <f aca="false">IF(A296="","",I295+H296)</f>
        <v/>
      </c>
      <c r="J296" s="101" t="str">
        <f aca="false">IFERROR(MATCH(LIBRI_I_MADH!$B$4&amp;"|"&amp;ROWS($A$6:A296),LEDGER_ENGINE!$U$2:$U$546,0),"")</f>
        <v/>
      </c>
    </row>
    <row r="297" customFormat="false" ht="15" hidden="false" customHeight="true" outlineLevel="0" collapsed="false">
      <c r="A297" s="148" t="str">
        <f aca="false">IF($J297="","",INDEX(LEDGER_ENGINE!$B$2:$B$546,$J297))</f>
        <v/>
      </c>
      <c r="B297" s="149" t="str">
        <f aca="false">IF($J297="","",INDEX(LEDGER_ENGINE!$C$2:$C$546,$J297))</f>
        <v/>
      </c>
      <c r="C297" s="149" t="str">
        <f aca="false">IF($J297="","",INDEX(LEDGER_ENGINE!$D$2:$D$546,$J297))</f>
        <v/>
      </c>
      <c r="D297" s="149" t="str">
        <f aca="false">IF($J297="","",INDEX(LEDGER_ENGINE!$G$2:$G$546,$J297))</f>
        <v/>
      </c>
      <c r="E297" s="149" t="str">
        <f aca="false">IFERROR(IF($J297="","",INDEX(LEDGER_ENGINE!$H$2:$H$546,$J297)),"")</f>
        <v/>
      </c>
      <c r="F297" s="150" t="str">
        <f aca="false">IF($J297="","",INDEX(LEDGER_ENGINE!$I$2:$I$546,$J297))</f>
        <v/>
      </c>
      <c r="G297" s="150" t="str">
        <f aca="false">IF($J297="","",INDEX(LEDGER_ENGINE!$J$2:$J$546,$J297))</f>
        <v/>
      </c>
      <c r="H297" s="150" t="str">
        <f aca="false">IF($J297="","",INDEX(LEDGER_ENGINE!$L$2:$L$546,$J297))</f>
        <v/>
      </c>
      <c r="I297" s="150" t="str">
        <f aca="false">IF(A297="","",I296+H297)</f>
        <v/>
      </c>
      <c r="J297" s="101" t="str">
        <f aca="false">IFERROR(MATCH(LIBRI_I_MADH!$B$4&amp;"|"&amp;ROWS($A$6:A297),LEDGER_ENGINE!$U$2:$U$546,0),"")</f>
        <v/>
      </c>
    </row>
    <row r="298" customFormat="false" ht="15" hidden="false" customHeight="true" outlineLevel="0" collapsed="false">
      <c r="A298" s="148" t="str">
        <f aca="false">IF($J298="","",INDEX(LEDGER_ENGINE!$B$2:$B$546,$J298))</f>
        <v/>
      </c>
      <c r="B298" s="149" t="str">
        <f aca="false">IF($J298="","",INDEX(LEDGER_ENGINE!$C$2:$C$546,$J298))</f>
        <v/>
      </c>
      <c r="C298" s="149" t="str">
        <f aca="false">IF($J298="","",INDEX(LEDGER_ENGINE!$D$2:$D$546,$J298))</f>
        <v/>
      </c>
      <c r="D298" s="149" t="str">
        <f aca="false">IF($J298="","",INDEX(LEDGER_ENGINE!$G$2:$G$546,$J298))</f>
        <v/>
      </c>
      <c r="E298" s="149" t="str">
        <f aca="false">IFERROR(IF($J298="","",INDEX(LEDGER_ENGINE!$H$2:$H$546,$J298)),"")</f>
        <v/>
      </c>
      <c r="F298" s="150" t="str">
        <f aca="false">IF($J298="","",INDEX(LEDGER_ENGINE!$I$2:$I$546,$J298))</f>
        <v/>
      </c>
      <c r="G298" s="150" t="str">
        <f aca="false">IF($J298="","",INDEX(LEDGER_ENGINE!$J$2:$J$546,$J298))</f>
        <v/>
      </c>
      <c r="H298" s="150" t="str">
        <f aca="false">IF($J298="","",INDEX(LEDGER_ENGINE!$L$2:$L$546,$J298))</f>
        <v/>
      </c>
      <c r="I298" s="150" t="str">
        <f aca="false">IF(A298="","",I297+H298)</f>
        <v/>
      </c>
      <c r="J298" s="101" t="str">
        <f aca="false">IFERROR(MATCH(LIBRI_I_MADH!$B$4&amp;"|"&amp;ROWS($A$6:A298),LEDGER_ENGINE!$U$2:$U$546,0),"")</f>
        <v/>
      </c>
    </row>
    <row r="299" customFormat="false" ht="15" hidden="false" customHeight="true" outlineLevel="0" collapsed="false">
      <c r="A299" s="148" t="str">
        <f aca="false">IF($J299="","",INDEX(LEDGER_ENGINE!$B$2:$B$546,$J299))</f>
        <v/>
      </c>
      <c r="B299" s="149" t="str">
        <f aca="false">IF($J299="","",INDEX(LEDGER_ENGINE!$C$2:$C$546,$J299))</f>
        <v/>
      </c>
      <c r="C299" s="149" t="str">
        <f aca="false">IF($J299="","",INDEX(LEDGER_ENGINE!$D$2:$D$546,$J299))</f>
        <v/>
      </c>
      <c r="D299" s="149" t="str">
        <f aca="false">IF($J299="","",INDEX(LEDGER_ENGINE!$G$2:$G$546,$J299))</f>
        <v/>
      </c>
      <c r="E299" s="149" t="str">
        <f aca="false">IFERROR(IF($J299="","",INDEX(LEDGER_ENGINE!$H$2:$H$546,$J299)),"")</f>
        <v/>
      </c>
      <c r="F299" s="150" t="str">
        <f aca="false">IF($J299="","",INDEX(LEDGER_ENGINE!$I$2:$I$546,$J299))</f>
        <v/>
      </c>
      <c r="G299" s="150" t="str">
        <f aca="false">IF($J299="","",INDEX(LEDGER_ENGINE!$J$2:$J$546,$J299))</f>
        <v/>
      </c>
      <c r="H299" s="150" t="str">
        <f aca="false">IF($J299="","",INDEX(LEDGER_ENGINE!$L$2:$L$546,$J299))</f>
        <v/>
      </c>
      <c r="I299" s="150" t="str">
        <f aca="false">IF(A299="","",I298+H299)</f>
        <v/>
      </c>
      <c r="J299" s="101" t="str">
        <f aca="false">IFERROR(MATCH(LIBRI_I_MADH!$B$4&amp;"|"&amp;ROWS($A$6:A299),LEDGER_ENGINE!$U$2:$U$546,0),"")</f>
        <v/>
      </c>
    </row>
    <row r="300" customFormat="false" ht="15" hidden="false" customHeight="true" outlineLevel="0" collapsed="false">
      <c r="A300" s="148" t="str">
        <f aca="false">IF($J300="","",INDEX(LEDGER_ENGINE!$B$2:$B$546,$J300))</f>
        <v/>
      </c>
      <c r="B300" s="149" t="str">
        <f aca="false">IF($J300="","",INDEX(LEDGER_ENGINE!$C$2:$C$546,$J300))</f>
        <v/>
      </c>
      <c r="C300" s="149" t="str">
        <f aca="false">IF($J300="","",INDEX(LEDGER_ENGINE!$D$2:$D$546,$J300))</f>
        <v/>
      </c>
      <c r="D300" s="149" t="str">
        <f aca="false">IF($J300="","",INDEX(LEDGER_ENGINE!$G$2:$G$546,$J300))</f>
        <v/>
      </c>
      <c r="E300" s="149" t="str">
        <f aca="false">IFERROR(IF($J300="","",INDEX(LEDGER_ENGINE!$H$2:$H$546,$J300)),"")</f>
        <v/>
      </c>
      <c r="F300" s="150" t="str">
        <f aca="false">IF($J300="","",INDEX(LEDGER_ENGINE!$I$2:$I$546,$J300))</f>
        <v/>
      </c>
      <c r="G300" s="150" t="str">
        <f aca="false">IF($J300="","",INDEX(LEDGER_ENGINE!$J$2:$J$546,$J300))</f>
        <v/>
      </c>
      <c r="H300" s="150" t="str">
        <f aca="false">IF($J300="","",INDEX(LEDGER_ENGINE!$L$2:$L$546,$J300))</f>
        <v/>
      </c>
      <c r="I300" s="150" t="str">
        <f aca="false">IF(A300="","",I299+H300)</f>
        <v/>
      </c>
      <c r="J300" s="101" t="str">
        <f aca="false">IFERROR(MATCH(LIBRI_I_MADH!$B$4&amp;"|"&amp;ROWS($A$6:A300),LEDGER_ENGINE!$U$2:$U$546,0),"")</f>
        <v/>
      </c>
    </row>
    <row r="301" customFormat="false" ht="15" hidden="false" customHeight="true" outlineLevel="0" collapsed="false">
      <c r="A301" s="148" t="str">
        <f aca="false">IF($J301="","",INDEX(LEDGER_ENGINE!$B$2:$B$546,$J301))</f>
        <v/>
      </c>
      <c r="B301" s="149" t="str">
        <f aca="false">IF($J301="","",INDEX(LEDGER_ENGINE!$C$2:$C$546,$J301))</f>
        <v/>
      </c>
      <c r="C301" s="149" t="str">
        <f aca="false">IF($J301="","",INDEX(LEDGER_ENGINE!$D$2:$D$546,$J301))</f>
        <v/>
      </c>
      <c r="D301" s="149" t="str">
        <f aca="false">IF($J301="","",INDEX(LEDGER_ENGINE!$G$2:$G$546,$J301))</f>
        <v/>
      </c>
      <c r="E301" s="149" t="str">
        <f aca="false">IFERROR(IF($J301="","",INDEX(LEDGER_ENGINE!$H$2:$H$546,$J301)),"")</f>
        <v/>
      </c>
      <c r="F301" s="150" t="str">
        <f aca="false">IF($J301="","",INDEX(LEDGER_ENGINE!$I$2:$I$546,$J301))</f>
        <v/>
      </c>
      <c r="G301" s="150" t="str">
        <f aca="false">IF($J301="","",INDEX(LEDGER_ENGINE!$J$2:$J$546,$J301))</f>
        <v/>
      </c>
      <c r="H301" s="150" t="str">
        <f aca="false">IF($J301="","",INDEX(LEDGER_ENGINE!$L$2:$L$546,$J301))</f>
        <v/>
      </c>
      <c r="I301" s="150" t="str">
        <f aca="false">IF(A301="","",I300+H301)</f>
        <v/>
      </c>
      <c r="J301" s="101" t="str">
        <f aca="false">IFERROR(MATCH(LIBRI_I_MADH!$B$4&amp;"|"&amp;ROWS($A$6:A301),LEDGER_ENGINE!$U$2:$U$546,0),"")</f>
        <v/>
      </c>
    </row>
    <row r="302" customFormat="false" ht="15" hidden="false" customHeight="true" outlineLevel="0" collapsed="false">
      <c r="A302" s="148" t="str">
        <f aca="false">IF($J302="","",INDEX(LEDGER_ENGINE!$B$2:$B$546,$J302))</f>
        <v/>
      </c>
      <c r="B302" s="149" t="str">
        <f aca="false">IF($J302="","",INDEX(LEDGER_ENGINE!$C$2:$C$546,$J302))</f>
        <v/>
      </c>
      <c r="C302" s="149" t="str">
        <f aca="false">IF($J302="","",INDEX(LEDGER_ENGINE!$D$2:$D$546,$J302))</f>
        <v/>
      </c>
      <c r="D302" s="149" t="str">
        <f aca="false">IF($J302="","",INDEX(LEDGER_ENGINE!$G$2:$G$546,$J302))</f>
        <v/>
      </c>
      <c r="E302" s="149" t="str">
        <f aca="false">IFERROR(IF($J302="","",INDEX(LEDGER_ENGINE!$H$2:$H$546,$J302)),"")</f>
        <v/>
      </c>
      <c r="F302" s="150" t="str">
        <f aca="false">IF($J302="","",INDEX(LEDGER_ENGINE!$I$2:$I$546,$J302))</f>
        <v/>
      </c>
      <c r="G302" s="150" t="str">
        <f aca="false">IF($J302="","",INDEX(LEDGER_ENGINE!$J$2:$J$546,$J302))</f>
        <v/>
      </c>
      <c r="H302" s="150" t="str">
        <f aca="false">IF($J302="","",INDEX(LEDGER_ENGINE!$L$2:$L$546,$J302))</f>
        <v/>
      </c>
      <c r="I302" s="150" t="str">
        <f aca="false">IF(A302="","",I301+H302)</f>
        <v/>
      </c>
      <c r="J302" s="101" t="str">
        <f aca="false">IFERROR(MATCH(LIBRI_I_MADH!$B$4&amp;"|"&amp;ROWS($A$6:A302),LEDGER_ENGINE!$U$2:$U$546,0),"")</f>
        <v/>
      </c>
    </row>
    <row r="303" customFormat="false" ht="15" hidden="false" customHeight="true" outlineLevel="0" collapsed="false">
      <c r="A303" s="148" t="str">
        <f aca="false">IF($J303="","",INDEX(LEDGER_ENGINE!$B$2:$B$546,$J303))</f>
        <v/>
      </c>
      <c r="B303" s="149" t="str">
        <f aca="false">IF($J303="","",INDEX(LEDGER_ENGINE!$C$2:$C$546,$J303))</f>
        <v/>
      </c>
      <c r="C303" s="149" t="str">
        <f aca="false">IF($J303="","",INDEX(LEDGER_ENGINE!$D$2:$D$546,$J303))</f>
        <v/>
      </c>
      <c r="D303" s="149" t="str">
        <f aca="false">IF($J303="","",INDEX(LEDGER_ENGINE!$G$2:$G$546,$J303))</f>
        <v/>
      </c>
      <c r="E303" s="149" t="str">
        <f aca="false">IFERROR(IF($J303="","",INDEX(LEDGER_ENGINE!$H$2:$H$546,$J303)),"")</f>
        <v/>
      </c>
      <c r="F303" s="150" t="str">
        <f aca="false">IF($J303="","",INDEX(LEDGER_ENGINE!$I$2:$I$546,$J303))</f>
        <v/>
      </c>
      <c r="G303" s="150" t="str">
        <f aca="false">IF($J303="","",INDEX(LEDGER_ENGINE!$J$2:$J$546,$J303))</f>
        <v/>
      </c>
      <c r="H303" s="150" t="str">
        <f aca="false">IF($J303="","",INDEX(LEDGER_ENGINE!$L$2:$L$546,$J303))</f>
        <v/>
      </c>
      <c r="I303" s="150" t="str">
        <f aca="false">IF(A303="","",I302+H303)</f>
        <v/>
      </c>
      <c r="J303" s="101" t="str">
        <f aca="false">IFERROR(MATCH(LIBRI_I_MADH!$B$4&amp;"|"&amp;ROWS($A$6:A303),LEDGER_ENGINE!$U$2:$U$546,0),"")</f>
        <v/>
      </c>
    </row>
    <row r="304" customFormat="false" ht="15" hidden="false" customHeight="true" outlineLevel="0" collapsed="false">
      <c r="A304" s="148" t="str">
        <f aca="false">IF($J304="","",INDEX(LEDGER_ENGINE!$B$2:$B$546,$J304))</f>
        <v/>
      </c>
      <c r="B304" s="149" t="str">
        <f aca="false">IF($J304="","",INDEX(LEDGER_ENGINE!$C$2:$C$546,$J304))</f>
        <v/>
      </c>
      <c r="C304" s="149" t="str">
        <f aca="false">IF($J304="","",INDEX(LEDGER_ENGINE!$D$2:$D$546,$J304))</f>
        <v/>
      </c>
      <c r="D304" s="149" t="str">
        <f aca="false">IF($J304="","",INDEX(LEDGER_ENGINE!$G$2:$G$546,$J304))</f>
        <v/>
      </c>
      <c r="E304" s="149" t="str">
        <f aca="false">IFERROR(IF($J304="","",INDEX(LEDGER_ENGINE!$H$2:$H$546,$J304)),"")</f>
        <v/>
      </c>
      <c r="F304" s="150" t="str">
        <f aca="false">IF($J304="","",INDEX(LEDGER_ENGINE!$I$2:$I$546,$J304))</f>
        <v/>
      </c>
      <c r="G304" s="150" t="str">
        <f aca="false">IF($J304="","",INDEX(LEDGER_ENGINE!$J$2:$J$546,$J304))</f>
        <v/>
      </c>
      <c r="H304" s="150" t="str">
        <f aca="false">IF($J304="","",INDEX(LEDGER_ENGINE!$L$2:$L$546,$J304))</f>
        <v/>
      </c>
      <c r="I304" s="150" t="str">
        <f aca="false">IF(A304="","",I303+H304)</f>
        <v/>
      </c>
      <c r="J304" s="101" t="str">
        <f aca="false">IFERROR(MATCH(LIBRI_I_MADH!$B$4&amp;"|"&amp;ROWS($A$6:A304),LEDGER_ENGINE!$U$2:$U$546,0),"")</f>
        <v/>
      </c>
    </row>
    <row r="305" customFormat="false" ht="15" hidden="false" customHeight="true" outlineLevel="0" collapsed="false">
      <c r="A305" s="148" t="str">
        <f aca="false">IF($J305="","",INDEX(LEDGER_ENGINE!$B$2:$B$546,$J305))</f>
        <v/>
      </c>
      <c r="B305" s="149" t="str">
        <f aca="false">IF($J305="","",INDEX(LEDGER_ENGINE!$C$2:$C$546,$J305))</f>
        <v/>
      </c>
      <c r="C305" s="149" t="str">
        <f aca="false">IF($J305="","",INDEX(LEDGER_ENGINE!$D$2:$D$546,$J305))</f>
        <v/>
      </c>
      <c r="D305" s="149" t="str">
        <f aca="false">IF($J305="","",INDEX(LEDGER_ENGINE!$G$2:$G$546,$J305))</f>
        <v/>
      </c>
      <c r="E305" s="149" t="str">
        <f aca="false">IFERROR(IF($J305="","",INDEX(LEDGER_ENGINE!$H$2:$H$546,$J305)),"")</f>
        <v/>
      </c>
      <c r="F305" s="150" t="str">
        <f aca="false">IF($J305="","",INDEX(LEDGER_ENGINE!$I$2:$I$546,$J305))</f>
        <v/>
      </c>
      <c r="G305" s="150" t="str">
        <f aca="false">IF($J305="","",INDEX(LEDGER_ENGINE!$J$2:$J$546,$J305))</f>
        <v/>
      </c>
      <c r="H305" s="150" t="str">
        <f aca="false">IF($J305="","",INDEX(LEDGER_ENGINE!$L$2:$L$546,$J305))</f>
        <v/>
      </c>
      <c r="I305" s="150" t="str">
        <f aca="false">IF(A305="","",I304+H305)</f>
        <v/>
      </c>
      <c r="J305" s="101" t="str">
        <f aca="false">IFERROR(MATCH(LIBRI_I_MADH!$B$4&amp;"|"&amp;ROWS($A$6:A305),LEDGER_ENGINE!$U$2:$U$546,0),"")</f>
        <v/>
      </c>
    </row>
    <row r="306" customFormat="false" ht="15" hidden="false" customHeight="true" outlineLevel="0" collapsed="false">
      <c r="A306" s="148" t="str">
        <f aca="false">IF($J306="","",INDEX(LEDGER_ENGINE!$B$2:$B$546,$J306))</f>
        <v/>
      </c>
      <c r="B306" s="149" t="str">
        <f aca="false">IF($J306="","",INDEX(LEDGER_ENGINE!$C$2:$C$546,$J306))</f>
        <v/>
      </c>
      <c r="C306" s="149" t="str">
        <f aca="false">IF($J306="","",INDEX(LEDGER_ENGINE!$D$2:$D$546,$J306))</f>
        <v/>
      </c>
      <c r="D306" s="149" t="str">
        <f aca="false">IF($J306="","",INDEX(LEDGER_ENGINE!$G$2:$G$546,$J306))</f>
        <v/>
      </c>
      <c r="E306" s="149" t="str">
        <f aca="false">IFERROR(IF($J306="","",INDEX(LEDGER_ENGINE!$H$2:$H$546,$J306)),"")</f>
        <v/>
      </c>
      <c r="F306" s="150" t="str">
        <f aca="false">IF($J306="","",INDEX(LEDGER_ENGINE!$I$2:$I$546,$J306))</f>
        <v/>
      </c>
      <c r="G306" s="150" t="str">
        <f aca="false">IF($J306="","",INDEX(LEDGER_ENGINE!$J$2:$J$546,$J306))</f>
        <v/>
      </c>
      <c r="H306" s="150" t="str">
        <f aca="false">IF($J306="","",INDEX(LEDGER_ENGINE!$L$2:$L$546,$J306))</f>
        <v/>
      </c>
      <c r="I306" s="150" t="str">
        <f aca="false">IF(A306="","",I305+H306)</f>
        <v/>
      </c>
      <c r="J306" s="101" t="str">
        <f aca="false">IFERROR(MATCH(LIBRI_I_MADH!$B$4&amp;"|"&amp;ROWS($A$6:A306),LEDGER_ENGINE!$U$2:$U$546,0),"")</f>
        <v/>
      </c>
    </row>
    <row r="307" customFormat="false" ht="15" hidden="false" customHeight="true" outlineLevel="0" collapsed="false">
      <c r="A307" s="148" t="str">
        <f aca="false">IF($J307="","",INDEX(LEDGER_ENGINE!$B$2:$B$546,$J307))</f>
        <v/>
      </c>
      <c r="B307" s="149" t="str">
        <f aca="false">IF($J307="","",INDEX(LEDGER_ENGINE!$C$2:$C$546,$J307))</f>
        <v/>
      </c>
      <c r="C307" s="149" t="str">
        <f aca="false">IF($J307="","",INDEX(LEDGER_ENGINE!$D$2:$D$546,$J307))</f>
        <v/>
      </c>
      <c r="D307" s="149" t="str">
        <f aca="false">IF($J307="","",INDEX(LEDGER_ENGINE!$G$2:$G$546,$J307))</f>
        <v/>
      </c>
      <c r="E307" s="149" t="str">
        <f aca="false">IFERROR(IF($J307="","",INDEX(LEDGER_ENGINE!$H$2:$H$546,$J307)),"")</f>
        <v/>
      </c>
      <c r="F307" s="150" t="str">
        <f aca="false">IF($J307="","",INDEX(LEDGER_ENGINE!$I$2:$I$546,$J307))</f>
        <v/>
      </c>
      <c r="G307" s="150" t="str">
        <f aca="false">IF($J307="","",INDEX(LEDGER_ENGINE!$J$2:$J$546,$J307))</f>
        <v/>
      </c>
      <c r="H307" s="150" t="str">
        <f aca="false">IF($J307="","",INDEX(LEDGER_ENGINE!$L$2:$L$546,$J307))</f>
        <v/>
      </c>
      <c r="I307" s="150" t="str">
        <f aca="false">IF(A307="","",I306+H307)</f>
        <v/>
      </c>
      <c r="J307" s="101" t="str">
        <f aca="false">IFERROR(MATCH(LIBRI_I_MADH!$B$4&amp;"|"&amp;ROWS($A$6:A307),LEDGER_ENGINE!$U$2:$U$546,0),"")</f>
        <v/>
      </c>
    </row>
    <row r="308" customFormat="false" ht="15" hidden="false" customHeight="true" outlineLevel="0" collapsed="false">
      <c r="A308" s="148" t="str">
        <f aca="false">IF($J308="","",INDEX(LEDGER_ENGINE!$B$2:$B$546,$J308))</f>
        <v/>
      </c>
      <c r="B308" s="149" t="str">
        <f aca="false">IF($J308="","",INDEX(LEDGER_ENGINE!$C$2:$C$546,$J308))</f>
        <v/>
      </c>
      <c r="C308" s="149" t="str">
        <f aca="false">IF($J308="","",INDEX(LEDGER_ENGINE!$D$2:$D$546,$J308))</f>
        <v/>
      </c>
      <c r="D308" s="149" t="str">
        <f aca="false">IF($J308="","",INDEX(LEDGER_ENGINE!$G$2:$G$546,$J308))</f>
        <v/>
      </c>
      <c r="E308" s="149" t="str">
        <f aca="false">IFERROR(IF($J308="","",INDEX(LEDGER_ENGINE!$H$2:$H$546,$J308)),"")</f>
        <v/>
      </c>
      <c r="F308" s="150" t="str">
        <f aca="false">IF($J308="","",INDEX(LEDGER_ENGINE!$I$2:$I$546,$J308))</f>
        <v/>
      </c>
      <c r="G308" s="150" t="str">
        <f aca="false">IF($J308="","",INDEX(LEDGER_ENGINE!$J$2:$J$546,$J308))</f>
        <v/>
      </c>
      <c r="H308" s="150" t="str">
        <f aca="false">IF($J308="","",INDEX(LEDGER_ENGINE!$L$2:$L$546,$J308))</f>
        <v/>
      </c>
      <c r="I308" s="150" t="str">
        <f aca="false">IF(A308="","",I307+H308)</f>
        <v/>
      </c>
      <c r="J308" s="101" t="str">
        <f aca="false">IFERROR(MATCH(LIBRI_I_MADH!$B$4&amp;"|"&amp;ROWS($A$6:A308),LEDGER_ENGINE!$U$2:$U$546,0),"")</f>
        <v/>
      </c>
    </row>
    <row r="309" customFormat="false" ht="15" hidden="false" customHeight="true" outlineLevel="0" collapsed="false">
      <c r="A309" s="148" t="str">
        <f aca="false">IF($J309="","",INDEX(LEDGER_ENGINE!$B$2:$B$546,$J309))</f>
        <v/>
      </c>
      <c r="B309" s="149" t="str">
        <f aca="false">IF($J309="","",INDEX(LEDGER_ENGINE!$C$2:$C$546,$J309))</f>
        <v/>
      </c>
      <c r="C309" s="149" t="str">
        <f aca="false">IF($J309="","",INDEX(LEDGER_ENGINE!$D$2:$D$546,$J309))</f>
        <v/>
      </c>
      <c r="D309" s="149" t="str">
        <f aca="false">IF($J309="","",INDEX(LEDGER_ENGINE!$G$2:$G$546,$J309))</f>
        <v/>
      </c>
      <c r="E309" s="149" t="str">
        <f aca="false">IFERROR(IF($J309="","",INDEX(LEDGER_ENGINE!$H$2:$H$546,$J309)),"")</f>
        <v/>
      </c>
      <c r="F309" s="150" t="str">
        <f aca="false">IF($J309="","",INDEX(LEDGER_ENGINE!$I$2:$I$546,$J309))</f>
        <v/>
      </c>
      <c r="G309" s="150" t="str">
        <f aca="false">IF($J309="","",INDEX(LEDGER_ENGINE!$J$2:$J$546,$J309))</f>
        <v/>
      </c>
      <c r="H309" s="150" t="str">
        <f aca="false">IF($J309="","",INDEX(LEDGER_ENGINE!$L$2:$L$546,$J309))</f>
        <v/>
      </c>
      <c r="I309" s="150" t="str">
        <f aca="false">IF(A309="","",I308+H309)</f>
        <v/>
      </c>
      <c r="J309" s="101" t="str">
        <f aca="false">IFERROR(MATCH(LIBRI_I_MADH!$B$4&amp;"|"&amp;ROWS($A$6:A309),LEDGER_ENGINE!$U$2:$U$546,0),"")</f>
        <v/>
      </c>
    </row>
    <row r="310" customFormat="false" ht="15" hidden="false" customHeight="true" outlineLevel="0" collapsed="false">
      <c r="A310" s="148" t="str">
        <f aca="false">IF($J310="","",INDEX(LEDGER_ENGINE!$B$2:$B$546,$J310))</f>
        <v/>
      </c>
      <c r="B310" s="149" t="str">
        <f aca="false">IF($J310="","",INDEX(LEDGER_ENGINE!$C$2:$C$546,$J310))</f>
        <v/>
      </c>
      <c r="C310" s="149" t="str">
        <f aca="false">IF($J310="","",INDEX(LEDGER_ENGINE!$D$2:$D$546,$J310))</f>
        <v/>
      </c>
      <c r="D310" s="149" t="str">
        <f aca="false">IF($J310="","",INDEX(LEDGER_ENGINE!$G$2:$G$546,$J310))</f>
        <v/>
      </c>
      <c r="E310" s="149" t="str">
        <f aca="false">IFERROR(IF($J310="","",INDEX(LEDGER_ENGINE!$H$2:$H$546,$J310)),"")</f>
        <v/>
      </c>
      <c r="F310" s="150" t="str">
        <f aca="false">IF($J310="","",INDEX(LEDGER_ENGINE!$I$2:$I$546,$J310))</f>
        <v/>
      </c>
      <c r="G310" s="150" t="str">
        <f aca="false">IF($J310="","",INDEX(LEDGER_ENGINE!$J$2:$J$546,$J310))</f>
        <v/>
      </c>
      <c r="H310" s="150" t="str">
        <f aca="false">IF($J310="","",INDEX(LEDGER_ENGINE!$L$2:$L$546,$J310))</f>
        <v/>
      </c>
      <c r="I310" s="150" t="str">
        <f aca="false">IF(A310="","",I309+H310)</f>
        <v/>
      </c>
      <c r="J310" s="101" t="str">
        <f aca="false">IFERROR(MATCH(LIBRI_I_MADH!$B$4&amp;"|"&amp;ROWS($A$6:A310),LEDGER_ENGINE!$U$2:$U$546,0),"")</f>
        <v/>
      </c>
    </row>
    <row r="311" customFormat="false" ht="15" hidden="false" customHeight="true" outlineLevel="0" collapsed="false">
      <c r="A311" s="148" t="str">
        <f aca="false">IF($J311="","",INDEX(LEDGER_ENGINE!$B$2:$B$546,$J311))</f>
        <v/>
      </c>
      <c r="B311" s="149" t="str">
        <f aca="false">IF($J311="","",INDEX(LEDGER_ENGINE!$C$2:$C$546,$J311))</f>
        <v/>
      </c>
      <c r="C311" s="149" t="str">
        <f aca="false">IF($J311="","",INDEX(LEDGER_ENGINE!$D$2:$D$546,$J311))</f>
        <v/>
      </c>
      <c r="D311" s="149" t="str">
        <f aca="false">IF($J311="","",INDEX(LEDGER_ENGINE!$G$2:$G$546,$J311))</f>
        <v/>
      </c>
      <c r="E311" s="149" t="str">
        <f aca="false">IFERROR(IF($J311="","",INDEX(LEDGER_ENGINE!$H$2:$H$546,$J311)),"")</f>
        <v/>
      </c>
      <c r="F311" s="150" t="str">
        <f aca="false">IF($J311="","",INDEX(LEDGER_ENGINE!$I$2:$I$546,$J311))</f>
        <v/>
      </c>
      <c r="G311" s="150" t="str">
        <f aca="false">IF($J311="","",INDEX(LEDGER_ENGINE!$J$2:$J$546,$J311))</f>
        <v/>
      </c>
      <c r="H311" s="150" t="str">
        <f aca="false">IF($J311="","",INDEX(LEDGER_ENGINE!$L$2:$L$546,$J311))</f>
        <v/>
      </c>
      <c r="I311" s="150" t="str">
        <f aca="false">IF(A311="","",I310+H311)</f>
        <v/>
      </c>
      <c r="J311" s="101" t="str">
        <f aca="false">IFERROR(MATCH(LIBRI_I_MADH!$B$4&amp;"|"&amp;ROWS($A$6:A311),LEDGER_ENGINE!$U$2:$U$546,0),"")</f>
        <v/>
      </c>
    </row>
    <row r="312" customFormat="false" ht="15" hidden="false" customHeight="true" outlineLevel="0" collapsed="false">
      <c r="A312" s="148" t="str">
        <f aca="false">IF($J312="","",INDEX(LEDGER_ENGINE!$B$2:$B$546,$J312))</f>
        <v/>
      </c>
      <c r="B312" s="149" t="str">
        <f aca="false">IF($J312="","",INDEX(LEDGER_ENGINE!$C$2:$C$546,$J312))</f>
        <v/>
      </c>
      <c r="C312" s="149" t="str">
        <f aca="false">IF($J312="","",INDEX(LEDGER_ENGINE!$D$2:$D$546,$J312))</f>
        <v/>
      </c>
      <c r="D312" s="149" t="str">
        <f aca="false">IF($J312="","",INDEX(LEDGER_ENGINE!$G$2:$G$546,$J312))</f>
        <v/>
      </c>
      <c r="E312" s="149" t="str">
        <f aca="false">IFERROR(IF($J312="","",INDEX(LEDGER_ENGINE!$H$2:$H$546,$J312)),"")</f>
        <v/>
      </c>
      <c r="F312" s="150" t="str">
        <f aca="false">IF($J312="","",INDEX(LEDGER_ENGINE!$I$2:$I$546,$J312))</f>
        <v/>
      </c>
      <c r="G312" s="150" t="str">
        <f aca="false">IF($J312="","",INDEX(LEDGER_ENGINE!$J$2:$J$546,$J312))</f>
        <v/>
      </c>
      <c r="H312" s="150" t="str">
        <f aca="false">IF($J312="","",INDEX(LEDGER_ENGINE!$L$2:$L$546,$J312))</f>
        <v/>
      </c>
      <c r="I312" s="150" t="str">
        <f aca="false">IF(A312="","",I311+H312)</f>
        <v/>
      </c>
      <c r="J312" s="101" t="str">
        <f aca="false">IFERROR(MATCH(LIBRI_I_MADH!$B$4&amp;"|"&amp;ROWS($A$6:A312),LEDGER_ENGINE!$U$2:$U$546,0),"")</f>
        <v/>
      </c>
    </row>
    <row r="313" customFormat="false" ht="15" hidden="false" customHeight="true" outlineLevel="0" collapsed="false">
      <c r="A313" s="148" t="str">
        <f aca="false">IF($J313="","",INDEX(LEDGER_ENGINE!$B$2:$B$546,$J313))</f>
        <v/>
      </c>
      <c r="B313" s="149" t="str">
        <f aca="false">IF($J313="","",INDEX(LEDGER_ENGINE!$C$2:$C$546,$J313))</f>
        <v/>
      </c>
      <c r="C313" s="149" t="str">
        <f aca="false">IF($J313="","",INDEX(LEDGER_ENGINE!$D$2:$D$546,$J313))</f>
        <v/>
      </c>
      <c r="D313" s="149" t="str">
        <f aca="false">IF($J313="","",INDEX(LEDGER_ENGINE!$G$2:$G$546,$J313))</f>
        <v/>
      </c>
      <c r="E313" s="149" t="str">
        <f aca="false">IFERROR(IF($J313="","",INDEX(LEDGER_ENGINE!$H$2:$H$546,$J313)),"")</f>
        <v/>
      </c>
      <c r="F313" s="150" t="str">
        <f aca="false">IF($J313="","",INDEX(LEDGER_ENGINE!$I$2:$I$546,$J313))</f>
        <v/>
      </c>
      <c r="G313" s="150" t="str">
        <f aca="false">IF($J313="","",INDEX(LEDGER_ENGINE!$J$2:$J$546,$J313))</f>
        <v/>
      </c>
      <c r="H313" s="150" t="str">
        <f aca="false">IF($J313="","",INDEX(LEDGER_ENGINE!$L$2:$L$546,$J313))</f>
        <v/>
      </c>
      <c r="I313" s="150" t="str">
        <f aca="false">IF(A313="","",I312+H313)</f>
        <v/>
      </c>
      <c r="J313" s="101" t="str">
        <f aca="false">IFERROR(MATCH(LIBRI_I_MADH!$B$4&amp;"|"&amp;ROWS($A$6:A313),LEDGER_ENGINE!$U$2:$U$546,0),"")</f>
        <v/>
      </c>
    </row>
    <row r="314" customFormat="false" ht="15" hidden="false" customHeight="true" outlineLevel="0" collapsed="false">
      <c r="A314" s="148" t="str">
        <f aca="false">IF($J314="","",INDEX(LEDGER_ENGINE!$B$2:$B$546,$J314))</f>
        <v/>
      </c>
      <c r="B314" s="149" t="str">
        <f aca="false">IF($J314="","",INDEX(LEDGER_ENGINE!$C$2:$C$546,$J314))</f>
        <v/>
      </c>
      <c r="C314" s="149" t="str">
        <f aca="false">IF($J314="","",INDEX(LEDGER_ENGINE!$D$2:$D$546,$J314))</f>
        <v/>
      </c>
      <c r="D314" s="149" t="str">
        <f aca="false">IF($J314="","",INDEX(LEDGER_ENGINE!$G$2:$G$546,$J314))</f>
        <v/>
      </c>
      <c r="E314" s="149" t="str">
        <f aca="false">IFERROR(IF($J314="","",INDEX(LEDGER_ENGINE!$H$2:$H$546,$J314)),"")</f>
        <v/>
      </c>
      <c r="F314" s="150" t="str">
        <f aca="false">IF($J314="","",INDEX(LEDGER_ENGINE!$I$2:$I$546,$J314))</f>
        <v/>
      </c>
      <c r="G314" s="150" t="str">
        <f aca="false">IF($J314="","",INDEX(LEDGER_ENGINE!$J$2:$J$546,$J314))</f>
        <v/>
      </c>
      <c r="H314" s="150" t="str">
        <f aca="false">IF($J314="","",INDEX(LEDGER_ENGINE!$L$2:$L$546,$J314))</f>
        <v/>
      </c>
      <c r="I314" s="150" t="str">
        <f aca="false">IF(A314="","",I313+H314)</f>
        <v/>
      </c>
      <c r="J314" s="101" t="str">
        <f aca="false">IFERROR(MATCH(LIBRI_I_MADH!$B$4&amp;"|"&amp;ROWS($A$6:A314),LEDGER_ENGINE!$U$2:$U$546,0),"")</f>
        <v/>
      </c>
    </row>
    <row r="315" customFormat="false" ht="15" hidden="false" customHeight="true" outlineLevel="0" collapsed="false">
      <c r="A315" s="148" t="str">
        <f aca="false">IF($J315="","",INDEX(LEDGER_ENGINE!$B$2:$B$546,$J315))</f>
        <v/>
      </c>
      <c r="B315" s="149" t="str">
        <f aca="false">IF($J315="","",INDEX(LEDGER_ENGINE!$C$2:$C$546,$J315))</f>
        <v/>
      </c>
      <c r="C315" s="149" t="str">
        <f aca="false">IF($J315="","",INDEX(LEDGER_ENGINE!$D$2:$D$546,$J315))</f>
        <v/>
      </c>
      <c r="D315" s="149" t="str">
        <f aca="false">IF($J315="","",INDEX(LEDGER_ENGINE!$G$2:$G$546,$J315))</f>
        <v/>
      </c>
      <c r="E315" s="149" t="str">
        <f aca="false">IFERROR(IF($J315="","",INDEX(LEDGER_ENGINE!$H$2:$H$546,$J315)),"")</f>
        <v/>
      </c>
      <c r="F315" s="150" t="str">
        <f aca="false">IF($J315="","",INDEX(LEDGER_ENGINE!$I$2:$I$546,$J315))</f>
        <v/>
      </c>
      <c r="G315" s="150" t="str">
        <f aca="false">IF($J315="","",INDEX(LEDGER_ENGINE!$J$2:$J$546,$J315))</f>
        <v/>
      </c>
      <c r="H315" s="150" t="str">
        <f aca="false">IF($J315="","",INDEX(LEDGER_ENGINE!$L$2:$L$546,$J315))</f>
        <v/>
      </c>
      <c r="I315" s="150" t="str">
        <f aca="false">IF(A315="","",I314+H315)</f>
        <v/>
      </c>
      <c r="J315" s="101" t="str">
        <f aca="false">IFERROR(MATCH(LIBRI_I_MADH!$B$4&amp;"|"&amp;ROWS($A$6:A315),LEDGER_ENGINE!$U$2:$U$546,0),"")</f>
        <v/>
      </c>
    </row>
    <row r="316" customFormat="false" ht="15" hidden="false" customHeight="true" outlineLevel="0" collapsed="false">
      <c r="A316" s="148" t="str">
        <f aca="false">IF($J316="","",INDEX(LEDGER_ENGINE!$B$2:$B$546,$J316))</f>
        <v/>
      </c>
      <c r="B316" s="149" t="str">
        <f aca="false">IF($J316="","",INDEX(LEDGER_ENGINE!$C$2:$C$546,$J316))</f>
        <v/>
      </c>
      <c r="C316" s="149" t="str">
        <f aca="false">IF($J316="","",INDEX(LEDGER_ENGINE!$D$2:$D$546,$J316))</f>
        <v/>
      </c>
      <c r="D316" s="149" t="str">
        <f aca="false">IF($J316="","",INDEX(LEDGER_ENGINE!$G$2:$G$546,$J316))</f>
        <v/>
      </c>
      <c r="E316" s="149" t="str">
        <f aca="false">IFERROR(IF($J316="","",INDEX(LEDGER_ENGINE!$H$2:$H$546,$J316)),"")</f>
        <v/>
      </c>
      <c r="F316" s="150" t="str">
        <f aca="false">IF($J316="","",INDEX(LEDGER_ENGINE!$I$2:$I$546,$J316))</f>
        <v/>
      </c>
      <c r="G316" s="150" t="str">
        <f aca="false">IF($J316="","",INDEX(LEDGER_ENGINE!$J$2:$J$546,$J316))</f>
        <v/>
      </c>
      <c r="H316" s="150" t="str">
        <f aca="false">IF($J316="","",INDEX(LEDGER_ENGINE!$L$2:$L$546,$J316))</f>
        <v/>
      </c>
      <c r="I316" s="150" t="str">
        <f aca="false">IF(A316="","",I315+H316)</f>
        <v/>
      </c>
      <c r="J316" s="101" t="str">
        <f aca="false">IFERROR(MATCH(LIBRI_I_MADH!$B$4&amp;"|"&amp;ROWS($A$6:A316),LEDGER_ENGINE!$U$2:$U$546,0),"")</f>
        <v/>
      </c>
    </row>
    <row r="317" customFormat="false" ht="15" hidden="false" customHeight="true" outlineLevel="0" collapsed="false">
      <c r="A317" s="148" t="str">
        <f aca="false">IF($J317="","",INDEX(LEDGER_ENGINE!$B$2:$B$546,$J317))</f>
        <v/>
      </c>
      <c r="B317" s="149" t="str">
        <f aca="false">IF($J317="","",INDEX(LEDGER_ENGINE!$C$2:$C$546,$J317))</f>
        <v/>
      </c>
      <c r="C317" s="149" t="str">
        <f aca="false">IF($J317="","",INDEX(LEDGER_ENGINE!$D$2:$D$546,$J317))</f>
        <v/>
      </c>
      <c r="D317" s="149" t="str">
        <f aca="false">IF($J317="","",INDEX(LEDGER_ENGINE!$G$2:$G$546,$J317))</f>
        <v/>
      </c>
      <c r="E317" s="149" t="str">
        <f aca="false">IFERROR(IF($J317="","",INDEX(LEDGER_ENGINE!$H$2:$H$546,$J317)),"")</f>
        <v/>
      </c>
      <c r="F317" s="150" t="str">
        <f aca="false">IF($J317="","",INDEX(LEDGER_ENGINE!$I$2:$I$546,$J317))</f>
        <v/>
      </c>
      <c r="G317" s="150" t="str">
        <f aca="false">IF($J317="","",INDEX(LEDGER_ENGINE!$J$2:$J$546,$J317))</f>
        <v/>
      </c>
      <c r="H317" s="150" t="str">
        <f aca="false">IF($J317="","",INDEX(LEDGER_ENGINE!$L$2:$L$546,$J317))</f>
        <v/>
      </c>
      <c r="I317" s="150" t="str">
        <f aca="false">IF(A317="","",I316+H317)</f>
        <v/>
      </c>
      <c r="J317" s="101" t="str">
        <f aca="false">IFERROR(MATCH(LIBRI_I_MADH!$B$4&amp;"|"&amp;ROWS($A$6:A317),LEDGER_ENGINE!$U$2:$U$546,0),"")</f>
        <v/>
      </c>
    </row>
    <row r="318" customFormat="false" ht="15" hidden="false" customHeight="true" outlineLevel="0" collapsed="false">
      <c r="A318" s="148" t="str">
        <f aca="false">IF($J318="","",INDEX(LEDGER_ENGINE!$B$2:$B$546,$J318))</f>
        <v/>
      </c>
      <c r="B318" s="149" t="str">
        <f aca="false">IF($J318="","",INDEX(LEDGER_ENGINE!$C$2:$C$546,$J318))</f>
        <v/>
      </c>
      <c r="C318" s="149" t="str">
        <f aca="false">IF($J318="","",INDEX(LEDGER_ENGINE!$D$2:$D$546,$J318))</f>
        <v/>
      </c>
      <c r="D318" s="149" t="str">
        <f aca="false">IF($J318="","",INDEX(LEDGER_ENGINE!$G$2:$G$546,$J318))</f>
        <v/>
      </c>
      <c r="E318" s="149" t="str">
        <f aca="false">IFERROR(IF($J318="","",INDEX(LEDGER_ENGINE!$H$2:$H$546,$J318)),"")</f>
        <v/>
      </c>
      <c r="F318" s="150" t="str">
        <f aca="false">IF($J318="","",INDEX(LEDGER_ENGINE!$I$2:$I$546,$J318))</f>
        <v/>
      </c>
      <c r="G318" s="150" t="str">
        <f aca="false">IF($J318="","",INDEX(LEDGER_ENGINE!$J$2:$J$546,$J318))</f>
        <v/>
      </c>
      <c r="H318" s="150" t="str">
        <f aca="false">IF($J318="","",INDEX(LEDGER_ENGINE!$L$2:$L$546,$J318))</f>
        <v/>
      </c>
      <c r="I318" s="150" t="str">
        <f aca="false">IF(A318="","",I317+H318)</f>
        <v/>
      </c>
      <c r="J318" s="101" t="str">
        <f aca="false">IFERROR(MATCH(LIBRI_I_MADH!$B$4&amp;"|"&amp;ROWS($A$6:A318),LEDGER_ENGINE!$U$2:$U$546,0),"")</f>
        <v/>
      </c>
    </row>
    <row r="319" customFormat="false" ht="15" hidden="false" customHeight="true" outlineLevel="0" collapsed="false">
      <c r="A319" s="148" t="str">
        <f aca="false">IF($J319="","",INDEX(LEDGER_ENGINE!$B$2:$B$546,$J319))</f>
        <v/>
      </c>
      <c r="B319" s="149" t="str">
        <f aca="false">IF($J319="","",INDEX(LEDGER_ENGINE!$C$2:$C$546,$J319))</f>
        <v/>
      </c>
      <c r="C319" s="149" t="str">
        <f aca="false">IF($J319="","",INDEX(LEDGER_ENGINE!$D$2:$D$546,$J319))</f>
        <v/>
      </c>
      <c r="D319" s="149" t="str">
        <f aca="false">IF($J319="","",INDEX(LEDGER_ENGINE!$G$2:$G$546,$J319))</f>
        <v/>
      </c>
      <c r="E319" s="149" t="str">
        <f aca="false">IFERROR(IF($J319="","",INDEX(LEDGER_ENGINE!$H$2:$H$546,$J319)),"")</f>
        <v/>
      </c>
      <c r="F319" s="150" t="str">
        <f aca="false">IF($J319="","",INDEX(LEDGER_ENGINE!$I$2:$I$546,$J319))</f>
        <v/>
      </c>
      <c r="G319" s="150" t="str">
        <f aca="false">IF($J319="","",INDEX(LEDGER_ENGINE!$J$2:$J$546,$J319))</f>
        <v/>
      </c>
      <c r="H319" s="150" t="str">
        <f aca="false">IF($J319="","",INDEX(LEDGER_ENGINE!$L$2:$L$546,$J319))</f>
        <v/>
      </c>
      <c r="I319" s="150" t="str">
        <f aca="false">IF(A319="","",I318+H319)</f>
        <v/>
      </c>
      <c r="J319" s="101" t="str">
        <f aca="false">IFERROR(MATCH(LIBRI_I_MADH!$B$4&amp;"|"&amp;ROWS($A$6:A319),LEDGER_ENGINE!$U$2:$U$546,0),"")</f>
        <v/>
      </c>
    </row>
    <row r="320" customFormat="false" ht="15" hidden="false" customHeight="true" outlineLevel="0" collapsed="false">
      <c r="A320" s="148" t="str">
        <f aca="false">IF($J320="","",INDEX(LEDGER_ENGINE!$B$2:$B$546,$J320))</f>
        <v/>
      </c>
      <c r="B320" s="149" t="str">
        <f aca="false">IF($J320="","",INDEX(LEDGER_ENGINE!$C$2:$C$546,$J320))</f>
        <v/>
      </c>
      <c r="C320" s="149" t="str">
        <f aca="false">IF($J320="","",INDEX(LEDGER_ENGINE!$D$2:$D$546,$J320))</f>
        <v/>
      </c>
      <c r="D320" s="149" t="str">
        <f aca="false">IF($J320="","",INDEX(LEDGER_ENGINE!$G$2:$G$546,$J320))</f>
        <v/>
      </c>
      <c r="E320" s="149" t="str">
        <f aca="false">IFERROR(IF($J320="","",INDEX(LEDGER_ENGINE!$H$2:$H$546,$J320)),"")</f>
        <v/>
      </c>
      <c r="F320" s="150" t="str">
        <f aca="false">IF($J320="","",INDEX(LEDGER_ENGINE!$I$2:$I$546,$J320))</f>
        <v/>
      </c>
      <c r="G320" s="150" t="str">
        <f aca="false">IF($J320="","",INDEX(LEDGER_ENGINE!$J$2:$J$546,$J320))</f>
        <v/>
      </c>
      <c r="H320" s="150" t="str">
        <f aca="false">IF($J320="","",INDEX(LEDGER_ENGINE!$L$2:$L$546,$J320))</f>
        <v/>
      </c>
      <c r="I320" s="150" t="str">
        <f aca="false">IF(A320="","",I319+H320)</f>
        <v/>
      </c>
      <c r="J320" s="101" t="str">
        <f aca="false">IFERROR(MATCH(LIBRI_I_MADH!$B$4&amp;"|"&amp;ROWS($A$6:A320),LEDGER_ENGINE!$U$2:$U$546,0),"")</f>
        <v/>
      </c>
    </row>
    <row r="321" customFormat="false" ht="15" hidden="false" customHeight="true" outlineLevel="0" collapsed="false">
      <c r="A321" s="148" t="str">
        <f aca="false">IF($J321="","",INDEX(LEDGER_ENGINE!$B$2:$B$546,$J321))</f>
        <v/>
      </c>
      <c r="B321" s="149" t="str">
        <f aca="false">IF($J321="","",INDEX(LEDGER_ENGINE!$C$2:$C$546,$J321))</f>
        <v/>
      </c>
      <c r="C321" s="149" t="str">
        <f aca="false">IF($J321="","",INDEX(LEDGER_ENGINE!$D$2:$D$546,$J321))</f>
        <v/>
      </c>
      <c r="D321" s="149" t="str">
        <f aca="false">IF($J321="","",INDEX(LEDGER_ENGINE!$G$2:$G$546,$J321))</f>
        <v/>
      </c>
      <c r="E321" s="149" t="str">
        <f aca="false">IFERROR(IF($J321="","",INDEX(LEDGER_ENGINE!$H$2:$H$546,$J321)),"")</f>
        <v/>
      </c>
      <c r="F321" s="150" t="str">
        <f aca="false">IF($J321="","",INDEX(LEDGER_ENGINE!$I$2:$I$546,$J321))</f>
        <v/>
      </c>
      <c r="G321" s="150" t="str">
        <f aca="false">IF($J321="","",INDEX(LEDGER_ENGINE!$J$2:$J$546,$J321))</f>
        <v/>
      </c>
      <c r="H321" s="150" t="str">
        <f aca="false">IF($J321="","",INDEX(LEDGER_ENGINE!$L$2:$L$546,$J321))</f>
        <v/>
      </c>
      <c r="I321" s="150" t="str">
        <f aca="false">IF(A321="","",I320+H321)</f>
        <v/>
      </c>
      <c r="J321" s="101" t="str">
        <f aca="false">IFERROR(MATCH(LIBRI_I_MADH!$B$4&amp;"|"&amp;ROWS($A$6:A321),LEDGER_ENGINE!$U$2:$U$546,0),"")</f>
        <v/>
      </c>
    </row>
    <row r="322" customFormat="false" ht="15" hidden="false" customHeight="true" outlineLevel="0" collapsed="false">
      <c r="A322" s="148" t="str">
        <f aca="false">IF($J322="","",INDEX(LEDGER_ENGINE!$B$2:$B$546,$J322))</f>
        <v/>
      </c>
      <c r="B322" s="149" t="str">
        <f aca="false">IF($J322="","",INDEX(LEDGER_ENGINE!$C$2:$C$546,$J322))</f>
        <v/>
      </c>
      <c r="C322" s="149" t="str">
        <f aca="false">IF($J322="","",INDEX(LEDGER_ENGINE!$D$2:$D$546,$J322))</f>
        <v/>
      </c>
      <c r="D322" s="149" t="str">
        <f aca="false">IF($J322="","",INDEX(LEDGER_ENGINE!$G$2:$G$546,$J322))</f>
        <v/>
      </c>
      <c r="E322" s="149" t="str">
        <f aca="false">IFERROR(IF($J322="","",INDEX(LEDGER_ENGINE!$H$2:$H$546,$J322)),"")</f>
        <v/>
      </c>
      <c r="F322" s="150" t="str">
        <f aca="false">IF($J322="","",INDEX(LEDGER_ENGINE!$I$2:$I$546,$J322))</f>
        <v/>
      </c>
      <c r="G322" s="150" t="str">
        <f aca="false">IF($J322="","",INDEX(LEDGER_ENGINE!$J$2:$J$546,$J322))</f>
        <v/>
      </c>
      <c r="H322" s="150" t="str">
        <f aca="false">IF($J322="","",INDEX(LEDGER_ENGINE!$L$2:$L$546,$J322))</f>
        <v/>
      </c>
      <c r="I322" s="150" t="str">
        <f aca="false">IF(A322="","",I321+H322)</f>
        <v/>
      </c>
      <c r="J322" s="101" t="str">
        <f aca="false">IFERROR(MATCH(LIBRI_I_MADH!$B$4&amp;"|"&amp;ROWS($A$6:A322),LEDGER_ENGINE!$U$2:$U$546,0),"")</f>
        <v/>
      </c>
    </row>
    <row r="323" customFormat="false" ht="15" hidden="false" customHeight="true" outlineLevel="0" collapsed="false">
      <c r="A323" s="148" t="str">
        <f aca="false">IF($J323="","",INDEX(LEDGER_ENGINE!$B$2:$B$546,$J323))</f>
        <v/>
      </c>
      <c r="B323" s="149" t="str">
        <f aca="false">IF($J323="","",INDEX(LEDGER_ENGINE!$C$2:$C$546,$J323))</f>
        <v/>
      </c>
      <c r="C323" s="149" t="str">
        <f aca="false">IF($J323="","",INDEX(LEDGER_ENGINE!$D$2:$D$546,$J323))</f>
        <v/>
      </c>
      <c r="D323" s="149" t="str">
        <f aca="false">IF($J323="","",INDEX(LEDGER_ENGINE!$G$2:$G$546,$J323))</f>
        <v/>
      </c>
      <c r="E323" s="149" t="str">
        <f aca="false">IFERROR(IF($J323="","",INDEX(LEDGER_ENGINE!$H$2:$H$546,$J323)),"")</f>
        <v/>
      </c>
      <c r="F323" s="150" t="str">
        <f aca="false">IF($J323="","",INDEX(LEDGER_ENGINE!$I$2:$I$546,$J323))</f>
        <v/>
      </c>
      <c r="G323" s="150" t="str">
        <f aca="false">IF($J323="","",INDEX(LEDGER_ENGINE!$J$2:$J$546,$J323))</f>
        <v/>
      </c>
      <c r="H323" s="150" t="str">
        <f aca="false">IF($J323="","",INDEX(LEDGER_ENGINE!$L$2:$L$546,$J323))</f>
        <v/>
      </c>
      <c r="I323" s="150" t="str">
        <f aca="false">IF(A323="","",I322+H323)</f>
        <v/>
      </c>
      <c r="J323" s="101" t="str">
        <f aca="false">IFERROR(MATCH(LIBRI_I_MADH!$B$4&amp;"|"&amp;ROWS($A$6:A323),LEDGER_ENGINE!$U$2:$U$546,0),"")</f>
        <v/>
      </c>
    </row>
    <row r="324" customFormat="false" ht="15" hidden="false" customHeight="true" outlineLevel="0" collapsed="false">
      <c r="A324" s="148" t="str">
        <f aca="false">IF($J324="","",INDEX(LEDGER_ENGINE!$B$2:$B$546,$J324))</f>
        <v/>
      </c>
      <c r="B324" s="149" t="str">
        <f aca="false">IF($J324="","",INDEX(LEDGER_ENGINE!$C$2:$C$546,$J324))</f>
        <v/>
      </c>
      <c r="C324" s="149" t="str">
        <f aca="false">IF($J324="","",INDEX(LEDGER_ENGINE!$D$2:$D$546,$J324))</f>
        <v/>
      </c>
      <c r="D324" s="149" t="str">
        <f aca="false">IF($J324="","",INDEX(LEDGER_ENGINE!$G$2:$G$546,$J324))</f>
        <v/>
      </c>
      <c r="E324" s="149" t="str">
        <f aca="false">IFERROR(IF($J324="","",INDEX(LEDGER_ENGINE!$H$2:$H$546,$J324)),"")</f>
        <v/>
      </c>
      <c r="F324" s="150" t="str">
        <f aca="false">IF($J324="","",INDEX(LEDGER_ENGINE!$I$2:$I$546,$J324))</f>
        <v/>
      </c>
      <c r="G324" s="150" t="str">
        <f aca="false">IF($J324="","",INDEX(LEDGER_ENGINE!$J$2:$J$546,$J324))</f>
        <v/>
      </c>
      <c r="H324" s="150" t="str">
        <f aca="false">IF($J324="","",INDEX(LEDGER_ENGINE!$L$2:$L$546,$J324))</f>
        <v/>
      </c>
      <c r="I324" s="150" t="str">
        <f aca="false">IF(A324="","",I323+H324)</f>
        <v/>
      </c>
      <c r="J324" s="101" t="str">
        <f aca="false">IFERROR(MATCH(LIBRI_I_MADH!$B$4&amp;"|"&amp;ROWS($A$6:A324),LEDGER_ENGINE!$U$2:$U$546,0),"")</f>
        <v/>
      </c>
    </row>
    <row r="325" customFormat="false" ht="15" hidden="false" customHeight="true" outlineLevel="0" collapsed="false">
      <c r="A325" s="148" t="str">
        <f aca="false">IF($J325="","",INDEX(LEDGER_ENGINE!$B$2:$B$546,$J325))</f>
        <v/>
      </c>
      <c r="B325" s="149" t="str">
        <f aca="false">IF($J325="","",INDEX(LEDGER_ENGINE!$C$2:$C$546,$J325))</f>
        <v/>
      </c>
      <c r="C325" s="149" t="str">
        <f aca="false">IF($J325="","",INDEX(LEDGER_ENGINE!$D$2:$D$546,$J325))</f>
        <v/>
      </c>
      <c r="D325" s="149" t="str">
        <f aca="false">IF($J325="","",INDEX(LEDGER_ENGINE!$G$2:$G$546,$J325))</f>
        <v/>
      </c>
      <c r="E325" s="149" t="str">
        <f aca="false">IFERROR(IF($J325="","",INDEX(LEDGER_ENGINE!$H$2:$H$546,$J325)),"")</f>
        <v/>
      </c>
      <c r="F325" s="150" t="str">
        <f aca="false">IF($J325="","",INDEX(LEDGER_ENGINE!$I$2:$I$546,$J325))</f>
        <v/>
      </c>
      <c r="G325" s="150" t="str">
        <f aca="false">IF($J325="","",INDEX(LEDGER_ENGINE!$J$2:$J$546,$J325))</f>
        <v/>
      </c>
      <c r="H325" s="150" t="str">
        <f aca="false">IF($J325="","",INDEX(LEDGER_ENGINE!$L$2:$L$546,$J325))</f>
        <v/>
      </c>
      <c r="I325" s="150" t="str">
        <f aca="false">IF(A325="","",I324+H325)</f>
        <v/>
      </c>
      <c r="J325" s="101" t="str">
        <f aca="false">IFERROR(MATCH(LIBRI_I_MADH!$B$4&amp;"|"&amp;ROWS($A$6:A325),LEDGER_ENGINE!$U$2:$U$546,0),"")</f>
        <v/>
      </c>
    </row>
    <row r="326" customFormat="false" ht="15" hidden="false" customHeight="true" outlineLevel="0" collapsed="false">
      <c r="A326" s="148" t="str">
        <f aca="false">IF($J326="","",INDEX(LEDGER_ENGINE!$B$2:$B$546,$J326))</f>
        <v/>
      </c>
      <c r="B326" s="149" t="str">
        <f aca="false">IF($J326="","",INDEX(LEDGER_ENGINE!$C$2:$C$546,$J326))</f>
        <v/>
      </c>
      <c r="C326" s="149" t="str">
        <f aca="false">IF($J326="","",INDEX(LEDGER_ENGINE!$D$2:$D$546,$J326))</f>
        <v/>
      </c>
      <c r="D326" s="149" t="str">
        <f aca="false">IF($J326="","",INDEX(LEDGER_ENGINE!$G$2:$G$546,$J326))</f>
        <v/>
      </c>
      <c r="E326" s="149" t="str">
        <f aca="false">IFERROR(IF($J326="","",INDEX(LEDGER_ENGINE!$H$2:$H$546,$J326)),"")</f>
        <v/>
      </c>
      <c r="F326" s="150" t="str">
        <f aca="false">IF($J326="","",INDEX(LEDGER_ENGINE!$I$2:$I$546,$J326))</f>
        <v/>
      </c>
      <c r="G326" s="150" t="str">
        <f aca="false">IF($J326="","",INDEX(LEDGER_ENGINE!$J$2:$J$546,$J326))</f>
        <v/>
      </c>
      <c r="H326" s="150" t="str">
        <f aca="false">IF($J326="","",INDEX(LEDGER_ENGINE!$L$2:$L$546,$J326))</f>
        <v/>
      </c>
      <c r="I326" s="150" t="str">
        <f aca="false">IF(A326="","",I325+H326)</f>
        <v/>
      </c>
      <c r="J326" s="101" t="str">
        <f aca="false">IFERROR(MATCH(LIBRI_I_MADH!$B$4&amp;"|"&amp;ROWS($A$6:A326),LEDGER_ENGINE!$U$2:$U$546,0),"")</f>
        <v/>
      </c>
    </row>
    <row r="327" customFormat="false" ht="15" hidden="false" customHeight="true" outlineLevel="0" collapsed="false">
      <c r="A327" s="148" t="str">
        <f aca="false">IF($J327="","",INDEX(LEDGER_ENGINE!$B$2:$B$546,$J327))</f>
        <v/>
      </c>
      <c r="B327" s="149" t="str">
        <f aca="false">IF($J327="","",INDEX(LEDGER_ENGINE!$C$2:$C$546,$J327))</f>
        <v/>
      </c>
      <c r="C327" s="149" t="str">
        <f aca="false">IF($J327="","",INDEX(LEDGER_ENGINE!$D$2:$D$546,$J327))</f>
        <v/>
      </c>
      <c r="D327" s="149" t="str">
        <f aca="false">IF($J327="","",INDEX(LEDGER_ENGINE!$G$2:$G$546,$J327))</f>
        <v/>
      </c>
      <c r="E327" s="149" t="str">
        <f aca="false">IFERROR(IF($J327="","",INDEX(LEDGER_ENGINE!$H$2:$H$546,$J327)),"")</f>
        <v/>
      </c>
      <c r="F327" s="150" t="str">
        <f aca="false">IF($J327="","",INDEX(LEDGER_ENGINE!$I$2:$I$546,$J327))</f>
        <v/>
      </c>
      <c r="G327" s="150" t="str">
        <f aca="false">IF($J327="","",INDEX(LEDGER_ENGINE!$J$2:$J$546,$J327))</f>
        <v/>
      </c>
      <c r="H327" s="150" t="str">
        <f aca="false">IF($J327="","",INDEX(LEDGER_ENGINE!$L$2:$L$546,$J327))</f>
        <v/>
      </c>
      <c r="I327" s="150" t="str">
        <f aca="false">IF(A327="","",I326+H327)</f>
        <v/>
      </c>
      <c r="J327" s="101" t="str">
        <f aca="false">IFERROR(MATCH(LIBRI_I_MADH!$B$4&amp;"|"&amp;ROWS($A$6:A327),LEDGER_ENGINE!$U$2:$U$546,0),"")</f>
        <v/>
      </c>
    </row>
    <row r="328" customFormat="false" ht="15" hidden="false" customHeight="true" outlineLevel="0" collapsed="false">
      <c r="A328" s="148" t="str">
        <f aca="false">IF($J328="","",INDEX(LEDGER_ENGINE!$B$2:$B$546,$J328))</f>
        <v/>
      </c>
      <c r="B328" s="149" t="str">
        <f aca="false">IF($J328="","",INDEX(LEDGER_ENGINE!$C$2:$C$546,$J328))</f>
        <v/>
      </c>
      <c r="C328" s="149" t="str">
        <f aca="false">IF($J328="","",INDEX(LEDGER_ENGINE!$D$2:$D$546,$J328))</f>
        <v/>
      </c>
      <c r="D328" s="149" t="str">
        <f aca="false">IF($J328="","",INDEX(LEDGER_ENGINE!$G$2:$G$546,$J328))</f>
        <v/>
      </c>
      <c r="E328" s="149" t="str">
        <f aca="false">IFERROR(IF($J328="","",INDEX(LEDGER_ENGINE!$H$2:$H$546,$J328)),"")</f>
        <v/>
      </c>
      <c r="F328" s="150" t="str">
        <f aca="false">IF($J328="","",INDEX(LEDGER_ENGINE!$I$2:$I$546,$J328))</f>
        <v/>
      </c>
      <c r="G328" s="150" t="str">
        <f aca="false">IF($J328="","",INDEX(LEDGER_ENGINE!$J$2:$J$546,$J328))</f>
        <v/>
      </c>
      <c r="H328" s="150" t="str">
        <f aca="false">IF($J328="","",INDEX(LEDGER_ENGINE!$L$2:$L$546,$J328))</f>
        <v/>
      </c>
      <c r="I328" s="150" t="str">
        <f aca="false">IF(A328="","",I327+H328)</f>
        <v/>
      </c>
      <c r="J328" s="101" t="str">
        <f aca="false">IFERROR(MATCH(LIBRI_I_MADH!$B$4&amp;"|"&amp;ROWS($A$6:A328),LEDGER_ENGINE!$U$2:$U$546,0),"")</f>
        <v/>
      </c>
    </row>
    <row r="329" customFormat="false" ht="15" hidden="false" customHeight="true" outlineLevel="0" collapsed="false">
      <c r="A329" s="148" t="str">
        <f aca="false">IF($J329="","",INDEX(LEDGER_ENGINE!$B$2:$B$546,$J329))</f>
        <v/>
      </c>
      <c r="B329" s="149" t="str">
        <f aca="false">IF($J329="","",INDEX(LEDGER_ENGINE!$C$2:$C$546,$J329))</f>
        <v/>
      </c>
      <c r="C329" s="149" t="str">
        <f aca="false">IF($J329="","",INDEX(LEDGER_ENGINE!$D$2:$D$546,$J329))</f>
        <v/>
      </c>
      <c r="D329" s="149" t="str">
        <f aca="false">IF($J329="","",INDEX(LEDGER_ENGINE!$G$2:$G$546,$J329))</f>
        <v/>
      </c>
      <c r="E329" s="149" t="str">
        <f aca="false">IFERROR(IF($J329="","",INDEX(LEDGER_ENGINE!$H$2:$H$546,$J329)),"")</f>
        <v/>
      </c>
      <c r="F329" s="150" t="str">
        <f aca="false">IF($J329="","",INDEX(LEDGER_ENGINE!$I$2:$I$546,$J329))</f>
        <v/>
      </c>
      <c r="G329" s="150" t="str">
        <f aca="false">IF($J329="","",INDEX(LEDGER_ENGINE!$J$2:$J$546,$J329))</f>
        <v/>
      </c>
      <c r="H329" s="150" t="str">
        <f aca="false">IF($J329="","",INDEX(LEDGER_ENGINE!$L$2:$L$546,$J329))</f>
        <v/>
      </c>
      <c r="I329" s="150" t="str">
        <f aca="false">IF(A329="","",I328+H329)</f>
        <v/>
      </c>
      <c r="J329" s="101" t="str">
        <f aca="false">IFERROR(MATCH(LIBRI_I_MADH!$B$4&amp;"|"&amp;ROWS($A$6:A329),LEDGER_ENGINE!$U$2:$U$546,0),"")</f>
        <v/>
      </c>
    </row>
    <row r="330" customFormat="false" ht="15" hidden="false" customHeight="true" outlineLevel="0" collapsed="false">
      <c r="A330" s="148" t="str">
        <f aca="false">IF($J330="","",INDEX(LEDGER_ENGINE!$B$2:$B$546,$J330))</f>
        <v/>
      </c>
      <c r="B330" s="149" t="str">
        <f aca="false">IF($J330="","",INDEX(LEDGER_ENGINE!$C$2:$C$546,$J330))</f>
        <v/>
      </c>
      <c r="C330" s="149" t="str">
        <f aca="false">IF($J330="","",INDEX(LEDGER_ENGINE!$D$2:$D$546,$J330))</f>
        <v/>
      </c>
      <c r="D330" s="149" t="str">
        <f aca="false">IF($J330="","",INDEX(LEDGER_ENGINE!$G$2:$G$546,$J330))</f>
        <v/>
      </c>
      <c r="E330" s="149" t="str">
        <f aca="false">IFERROR(IF($J330="","",INDEX(LEDGER_ENGINE!$H$2:$H$546,$J330)),"")</f>
        <v/>
      </c>
      <c r="F330" s="150" t="str">
        <f aca="false">IF($J330="","",INDEX(LEDGER_ENGINE!$I$2:$I$546,$J330))</f>
        <v/>
      </c>
      <c r="G330" s="150" t="str">
        <f aca="false">IF($J330="","",INDEX(LEDGER_ENGINE!$J$2:$J$546,$J330))</f>
        <v/>
      </c>
      <c r="H330" s="150" t="str">
        <f aca="false">IF($J330="","",INDEX(LEDGER_ENGINE!$L$2:$L$546,$J330))</f>
        <v/>
      </c>
      <c r="I330" s="150" t="str">
        <f aca="false">IF(A330="","",I329+H330)</f>
        <v/>
      </c>
      <c r="J330" s="101" t="str">
        <f aca="false">IFERROR(MATCH(LIBRI_I_MADH!$B$4&amp;"|"&amp;ROWS($A$6:A330),LEDGER_ENGINE!$U$2:$U$546,0),"")</f>
        <v/>
      </c>
    </row>
    <row r="331" customFormat="false" ht="15" hidden="false" customHeight="true" outlineLevel="0" collapsed="false">
      <c r="A331" s="148" t="str">
        <f aca="false">IF($J331="","",INDEX(LEDGER_ENGINE!$B$2:$B$546,$J331))</f>
        <v/>
      </c>
      <c r="B331" s="149" t="str">
        <f aca="false">IF($J331="","",INDEX(LEDGER_ENGINE!$C$2:$C$546,$J331))</f>
        <v/>
      </c>
      <c r="C331" s="149" t="str">
        <f aca="false">IF($J331="","",INDEX(LEDGER_ENGINE!$D$2:$D$546,$J331))</f>
        <v/>
      </c>
      <c r="D331" s="149" t="str">
        <f aca="false">IF($J331="","",INDEX(LEDGER_ENGINE!$G$2:$G$546,$J331))</f>
        <v/>
      </c>
      <c r="E331" s="149" t="str">
        <f aca="false">IFERROR(IF($J331="","",INDEX(LEDGER_ENGINE!$H$2:$H$546,$J331)),"")</f>
        <v/>
      </c>
      <c r="F331" s="150" t="str">
        <f aca="false">IF($J331="","",INDEX(LEDGER_ENGINE!$I$2:$I$546,$J331))</f>
        <v/>
      </c>
      <c r="G331" s="150" t="str">
        <f aca="false">IF($J331="","",INDEX(LEDGER_ENGINE!$J$2:$J$546,$J331))</f>
        <v/>
      </c>
      <c r="H331" s="150" t="str">
        <f aca="false">IF($J331="","",INDEX(LEDGER_ENGINE!$L$2:$L$546,$J331))</f>
        <v/>
      </c>
      <c r="I331" s="150" t="str">
        <f aca="false">IF(A331="","",I330+H331)</f>
        <v/>
      </c>
      <c r="J331" s="101" t="str">
        <f aca="false">IFERROR(MATCH(LIBRI_I_MADH!$B$4&amp;"|"&amp;ROWS($A$6:A331),LEDGER_ENGINE!$U$2:$U$546,0),"")</f>
        <v/>
      </c>
    </row>
    <row r="332" customFormat="false" ht="15" hidden="false" customHeight="true" outlineLevel="0" collapsed="false">
      <c r="A332" s="148" t="str">
        <f aca="false">IF($J332="","",INDEX(LEDGER_ENGINE!$B$2:$B$546,$J332))</f>
        <v/>
      </c>
      <c r="B332" s="149" t="str">
        <f aca="false">IF($J332="","",INDEX(LEDGER_ENGINE!$C$2:$C$546,$J332))</f>
        <v/>
      </c>
      <c r="C332" s="149" t="str">
        <f aca="false">IF($J332="","",INDEX(LEDGER_ENGINE!$D$2:$D$546,$J332))</f>
        <v/>
      </c>
      <c r="D332" s="149" t="str">
        <f aca="false">IF($J332="","",INDEX(LEDGER_ENGINE!$G$2:$G$546,$J332))</f>
        <v/>
      </c>
      <c r="E332" s="149" t="str">
        <f aca="false">IFERROR(IF($J332="","",INDEX(LEDGER_ENGINE!$H$2:$H$546,$J332)),"")</f>
        <v/>
      </c>
      <c r="F332" s="150" t="str">
        <f aca="false">IF($J332="","",INDEX(LEDGER_ENGINE!$I$2:$I$546,$J332))</f>
        <v/>
      </c>
      <c r="G332" s="150" t="str">
        <f aca="false">IF($J332="","",INDEX(LEDGER_ENGINE!$J$2:$J$546,$J332))</f>
        <v/>
      </c>
      <c r="H332" s="150" t="str">
        <f aca="false">IF($J332="","",INDEX(LEDGER_ENGINE!$L$2:$L$546,$J332))</f>
        <v/>
      </c>
      <c r="I332" s="150" t="str">
        <f aca="false">IF(A332="","",I331+H332)</f>
        <v/>
      </c>
      <c r="J332" s="101" t="str">
        <f aca="false">IFERROR(MATCH(LIBRI_I_MADH!$B$4&amp;"|"&amp;ROWS($A$6:A332),LEDGER_ENGINE!$U$2:$U$546,0),"")</f>
        <v/>
      </c>
    </row>
    <row r="333" customFormat="false" ht="15" hidden="false" customHeight="true" outlineLevel="0" collapsed="false">
      <c r="A333" s="148" t="str">
        <f aca="false">IF($J333="","",INDEX(LEDGER_ENGINE!$B$2:$B$546,$J333))</f>
        <v/>
      </c>
      <c r="B333" s="149" t="str">
        <f aca="false">IF($J333="","",INDEX(LEDGER_ENGINE!$C$2:$C$546,$J333))</f>
        <v/>
      </c>
      <c r="C333" s="149" t="str">
        <f aca="false">IF($J333="","",INDEX(LEDGER_ENGINE!$D$2:$D$546,$J333))</f>
        <v/>
      </c>
      <c r="D333" s="149" t="str">
        <f aca="false">IF($J333="","",INDEX(LEDGER_ENGINE!$G$2:$G$546,$J333))</f>
        <v/>
      </c>
      <c r="E333" s="149" t="str">
        <f aca="false">IFERROR(IF($J333="","",INDEX(LEDGER_ENGINE!$H$2:$H$546,$J333)),"")</f>
        <v/>
      </c>
      <c r="F333" s="150" t="str">
        <f aca="false">IF($J333="","",INDEX(LEDGER_ENGINE!$I$2:$I$546,$J333))</f>
        <v/>
      </c>
      <c r="G333" s="150" t="str">
        <f aca="false">IF($J333="","",INDEX(LEDGER_ENGINE!$J$2:$J$546,$J333))</f>
        <v/>
      </c>
      <c r="H333" s="150" t="str">
        <f aca="false">IF($J333="","",INDEX(LEDGER_ENGINE!$L$2:$L$546,$J333))</f>
        <v/>
      </c>
      <c r="I333" s="150" t="str">
        <f aca="false">IF(A333="","",I332+H333)</f>
        <v/>
      </c>
      <c r="J333" s="101" t="str">
        <f aca="false">IFERROR(MATCH(LIBRI_I_MADH!$B$4&amp;"|"&amp;ROWS($A$6:A333),LEDGER_ENGINE!$U$2:$U$546,0),"")</f>
        <v/>
      </c>
    </row>
    <row r="334" customFormat="false" ht="15" hidden="false" customHeight="true" outlineLevel="0" collapsed="false">
      <c r="A334" s="148" t="str">
        <f aca="false">IF($J334="","",INDEX(LEDGER_ENGINE!$B$2:$B$546,$J334))</f>
        <v/>
      </c>
      <c r="B334" s="149" t="str">
        <f aca="false">IF($J334="","",INDEX(LEDGER_ENGINE!$C$2:$C$546,$J334))</f>
        <v/>
      </c>
      <c r="C334" s="149" t="str">
        <f aca="false">IF($J334="","",INDEX(LEDGER_ENGINE!$D$2:$D$546,$J334))</f>
        <v/>
      </c>
      <c r="D334" s="149" t="str">
        <f aca="false">IF($J334="","",INDEX(LEDGER_ENGINE!$G$2:$G$546,$J334))</f>
        <v/>
      </c>
      <c r="E334" s="149" t="str">
        <f aca="false">IFERROR(IF($J334="","",INDEX(LEDGER_ENGINE!$H$2:$H$546,$J334)),"")</f>
        <v/>
      </c>
      <c r="F334" s="150" t="str">
        <f aca="false">IF($J334="","",INDEX(LEDGER_ENGINE!$I$2:$I$546,$J334))</f>
        <v/>
      </c>
      <c r="G334" s="150" t="str">
        <f aca="false">IF($J334="","",INDEX(LEDGER_ENGINE!$J$2:$J$546,$J334))</f>
        <v/>
      </c>
      <c r="H334" s="150" t="str">
        <f aca="false">IF($J334="","",INDEX(LEDGER_ENGINE!$L$2:$L$546,$J334))</f>
        <v/>
      </c>
      <c r="I334" s="150" t="str">
        <f aca="false">IF(A334="","",I333+H334)</f>
        <v/>
      </c>
      <c r="J334" s="101" t="str">
        <f aca="false">IFERROR(MATCH(LIBRI_I_MADH!$B$4&amp;"|"&amp;ROWS($A$6:A334),LEDGER_ENGINE!$U$2:$U$546,0),"")</f>
        <v/>
      </c>
    </row>
    <row r="335" customFormat="false" ht="15" hidden="false" customHeight="true" outlineLevel="0" collapsed="false">
      <c r="A335" s="148" t="str">
        <f aca="false">IF($J335="","",INDEX(LEDGER_ENGINE!$B$2:$B$546,$J335))</f>
        <v/>
      </c>
      <c r="B335" s="149" t="str">
        <f aca="false">IF($J335="","",INDEX(LEDGER_ENGINE!$C$2:$C$546,$J335))</f>
        <v/>
      </c>
      <c r="C335" s="149" t="str">
        <f aca="false">IF($J335="","",INDEX(LEDGER_ENGINE!$D$2:$D$546,$J335))</f>
        <v/>
      </c>
      <c r="D335" s="149" t="str">
        <f aca="false">IF($J335="","",INDEX(LEDGER_ENGINE!$G$2:$G$546,$J335))</f>
        <v/>
      </c>
      <c r="E335" s="149" t="str">
        <f aca="false">IFERROR(IF($J335="","",INDEX(LEDGER_ENGINE!$H$2:$H$546,$J335)),"")</f>
        <v/>
      </c>
      <c r="F335" s="150" t="str">
        <f aca="false">IF($J335="","",INDEX(LEDGER_ENGINE!$I$2:$I$546,$J335))</f>
        <v/>
      </c>
      <c r="G335" s="150" t="str">
        <f aca="false">IF($J335="","",INDEX(LEDGER_ENGINE!$J$2:$J$546,$J335))</f>
        <v/>
      </c>
      <c r="H335" s="150" t="str">
        <f aca="false">IF($J335="","",INDEX(LEDGER_ENGINE!$L$2:$L$546,$J335))</f>
        <v/>
      </c>
      <c r="I335" s="150" t="str">
        <f aca="false">IF(A335="","",I334+H335)</f>
        <v/>
      </c>
      <c r="J335" s="101" t="str">
        <f aca="false">IFERROR(MATCH(LIBRI_I_MADH!$B$4&amp;"|"&amp;ROWS($A$6:A335),LEDGER_ENGINE!$U$2:$U$546,0),"")</f>
        <v/>
      </c>
    </row>
    <row r="336" customFormat="false" ht="15" hidden="false" customHeight="true" outlineLevel="0" collapsed="false">
      <c r="A336" s="148" t="str">
        <f aca="false">IF($J336="","",INDEX(LEDGER_ENGINE!$B$2:$B$546,$J336))</f>
        <v/>
      </c>
      <c r="B336" s="149" t="str">
        <f aca="false">IF($J336="","",INDEX(LEDGER_ENGINE!$C$2:$C$546,$J336))</f>
        <v/>
      </c>
      <c r="C336" s="149" t="str">
        <f aca="false">IF($J336="","",INDEX(LEDGER_ENGINE!$D$2:$D$546,$J336))</f>
        <v/>
      </c>
      <c r="D336" s="149" t="str">
        <f aca="false">IF($J336="","",INDEX(LEDGER_ENGINE!$G$2:$G$546,$J336))</f>
        <v/>
      </c>
      <c r="E336" s="149" t="str">
        <f aca="false">IFERROR(IF($J336="","",INDEX(LEDGER_ENGINE!$H$2:$H$546,$J336)),"")</f>
        <v/>
      </c>
      <c r="F336" s="150" t="str">
        <f aca="false">IF($J336="","",INDEX(LEDGER_ENGINE!$I$2:$I$546,$J336))</f>
        <v/>
      </c>
      <c r="G336" s="150" t="str">
        <f aca="false">IF($J336="","",INDEX(LEDGER_ENGINE!$J$2:$J$546,$J336))</f>
        <v/>
      </c>
      <c r="H336" s="150" t="str">
        <f aca="false">IF($J336="","",INDEX(LEDGER_ENGINE!$L$2:$L$546,$J336))</f>
        <v/>
      </c>
      <c r="I336" s="150" t="str">
        <f aca="false">IF(A336="","",I335+H336)</f>
        <v/>
      </c>
      <c r="J336" s="101" t="str">
        <f aca="false">IFERROR(MATCH(LIBRI_I_MADH!$B$4&amp;"|"&amp;ROWS($A$6:A336),LEDGER_ENGINE!$U$2:$U$546,0),"")</f>
        <v/>
      </c>
    </row>
    <row r="337" customFormat="false" ht="15" hidden="false" customHeight="true" outlineLevel="0" collapsed="false">
      <c r="A337" s="148" t="str">
        <f aca="false">IF($J337="","",INDEX(LEDGER_ENGINE!$B$2:$B$546,$J337))</f>
        <v/>
      </c>
      <c r="B337" s="149" t="str">
        <f aca="false">IF($J337="","",INDEX(LEDGER_ENGINE!$C$2:$C$546,$J337))</f>
        <v/>
      </c>
      <c r="C337" s="149" t="str">
        <f aca="false">IF($J337="","",INDEX(LEDGER_ENGINE!$D$2:$D$546,$J337))</f>
        <v/>
      </c>
      <c r="D337" s="149" t="str">
        <f aca="false">IF($J337="","",INDEX(LEDGER_ENGINE!$G$2:$G$546,$J337))</f>
        <v/>
      </c>
      <c r="E337" s="149" t="str">
        <f aca="false">IFERROR(IF($J337="","",INDEX(LEDGER_ENGINE!$H$2:$H$546,$J337)),"")</f>
        <v/>
      </c>
      <c r="F337" s="150" t="str">
        <f aca="false">IF($J337="","",INDEX(LEDGER_ENGINE!$I$2:$I$546,$J337))</f>
        <v/>
      </c>
      <c r="G337" s="150" t="str">
        <f aca="false">IF($J337="","",INDEX(LEDGER_ENGINE!$J$2:$J$546,$J337))</f>
        <v/>
      </c>
      <c r="H337" s="150" t="str">
        <f aca="false">IF($J337="","",INDEX(LEDGER_ENGINE!$L$2:$L$546,$J337))</f>
        <v/>
      </c>
      <c r="I337" s="150" t="str">
        <f aca="false">IF(A337="","",I336+H337)</f>
        <v/>
      </c>
      <c r="J337" s="101" t="str">
        <f aca="false">IFERROR(MATCH(LIBRI_I_MADH!$B$4&amp;"|"&amp;ROWS($A$6:A337),LEDGER_ENGINE!$U$2:$U$546,0),"")</f>
        <v/>
      </c>
    </row>
    <row r="338" customFormat="false" ht="15" hidden="false" customHeight="true" outlineLevel="0" collapsed="false">
      <c r="A338" s="148" t="str">
        <f aca="false">IF($J338="","",INDEX(LEDGER_ENGINE!$B$2:$B$546,$J338))</f>
        <v/>
      </c>
      <c r="B338" s="149" t="str">
        <f aca="false">IF($J338="","",INDEX(LEDGER_ENGINE!$C$2:$C$546,$J338))</f>
        <v/>
      </c>
      <c r="C338" s="149" t="str">
        <f aca="false">IF($J338="","",INDEX(LEDGER_ENGINE!$D$2:$D$546,$J338))</f>
        <v/>
      </c>
      <c r="D338" s="149" t="str">
        <f aca="false">IF($J338="","",INDEX(LEDGER_ENGINE!$G$2:$G$546,$J338))</f>
        <v/>
      </c>
      <c r="E338" s="149" t="str">
        <f aca="false">IFERROR(IF($J338="","",INDEX(LEDGER_ENGINE!$H$2:$H$546,$J338)),"")</f>
        <v/>
      </c>
      <c r="F338" s="150" t="str">
        <f aca="false">IF($J338="","",INDEX(LEDGER_ENGINE!$I$2:$I$546,$J338))</f>
        <v/>
      </c>
      <c r="G338" s="150" t="str">
        <f aca="false">IF($J338="","",INDEX(LEDGER_ENGINE!$J$2:$J$546,$J338))</f>
        <v/>
      </c>
      <c r="H338" s="150" t="str">
        <f aca="false">IF($J338="","",INDEX(LEDGER_ENGINE!$L$2:$L$546,$J338))</f>
        <v/>
      </c>
      <c r="I338" s="150" t="str">
        <f aca="false">IF(A338="","",I337+H338)</f>
        <v/>
      </c>
      <c r="J338" s="101" t="str">
        <f aca="false">IFERROR(MATCH(LIBRI_I_MADH!$B$4&amp;"|"&amp;ROWS($A$6:A338),LEDGER_ENGINE!$U$2:$U$546,0),"")</f>
        <v/>
      </c>
    </row>
    <row r="339" customFormat="false" ht="15" hidden="false" customHeight="true" outlineLevel="0" collapsed="false">
      <c r="A339" s="148" t="str">
        <f aca="false">IF($J339="","",INDEX(LEDGER_ENGINE!$B$2:$B$546,$J339))</f>
        <v/>
      </c>
      <c r="B339" s="149" t="str">
        <f aca="false">IF($J339="","",INDEX(LEDGER_ENGINE!$C$2:$C$546,$J339))</f>
        <v/>
      </c>
      <c r="C339" s="149" t="str">
        <f aca="false">IF($J339="","",INDEX(LEDGER_ENGINE!$D$2:$D$546,$J339))</f>
        <v/>
      </c>
      <c r="D339" s="149" t="str">
        <f aca="false">IF($J339="","",INDEX(LEDGER_ENGINE!$G$2:$G$546,$J339))</f>
        <v/>
      </c>
      <c r="E339" s="149" t="str">
        <f aca="false">IFERROR(IF($J339="","",INDEX(LEDGER_ENGINE!$H$2:$H$546,$J339)),"")</f>
        <v/>
      </c>
      <c r="F339" s="150" t="str">
        <f aca="false">IF($J339="","",INDEX(LEDGER_ENGINE!$I$2:$I$546,$J339))</f>
        <v/>
      </c>
      <c r="G339" s="150" t="str">
        <f aca="false">IF($J339="","",INDEX(LEDGER_ENGINE!$J$2:$J$546,$J339))</f>
        <v/>
      </c>
      <c r="H339" s="150" t="str">
        <f aca="false">IF($J339="","",INDEX(LEDGER_ENGINE!$L$2:$L$546,$J339))</f>
        <v/>
      </c>
      <c r="I339" s="150" t="str">
        <f aca="false">IF(A339="","",I338+H339)</f>
        <v/>
      </c>
      <c r="J339" s="101" t="str">
        <f aca="false">IFERROR(MATCH(LIBRI_I_MADH!$B$4&amp;"|"&amp;ROWS($A$6:A339),LEDGER_ENGINE!$U$2:$U$546,0),"")</f>
        <v/>
      </c>
    </row>
    <row r="340" customFormat="false" ht="15" hidden="false" customHeight="true" outlineLevel="0" collapsed="false">
      <c r="A340" s="148" t="str">
        <f aca="false">IF($J340="","",INDEX(LEDGER_ENGINE!$B$2:$B$546,$J340))</f>
        <v/>
      </c>
      <c r="B340" s="149" t="str">
        <f aca="false">IF($J340="","",INDEX(LEDGER_ENGINE!$C$2:$C$546,$J340))</f>
        <v/>
      </c>
      <c r="C340" s="149" t="str">
        <f aca="false">IF($J340="","",INDEX(LEDGER_ENGINE!$D$2:$D$546,$J340))</f>
        <v/>
      </c>
      <c r="D340" s="149" t="str">
        <f aca="false">IF($J340="","",INDEX(LEDGER_ENGINE!$G$2:$G$546,$J340))</f>
        <v/>
      </c>
      <c r="E340" s="149" t="str">
        <f aca="false">IFERROR(IF($J340="","",INDEX(LEDGER_ENGINE!$H$2:$H$546,$J340)),"")</f>
        <v/>
      </c>
      <c r="F340" s="150" t="str">
        <f aca="false">IF($J340="","",INDEX(LEDGER_ENGINE!$I$2:$I$546,$J340))</f>
        <v/>
      </c>
      <c r="G340" s="150" t="str">
        <f aca="false">IF($J340="","",INDEX(LEDGER_ENGINE!$J$2:$J$546,$J340))</f>
        <v/>
      </c>
      <c r="H340" s="150" t="str">
        <f aca="false">IF($J340="","",INDEX(LEDGER_ENGINE!$L$2:$L$546,$J340))</f>
        <v/>
      </c>
      <c r="I340" s="150" t="str">
        <f aca="false">IF(A340="","",I339+H340)</f>
        <v/>
      </c>
      <c r="J340" s="101" t="str">
        <f aca="false">IFERROR(MATCH(LIBRI_I_MADH!$B$4&amp;"|"&amp;ROWS($A$6:A340),LEDGER_ENGINE!$U$2:$U$546,0),"")</f>
        <v/>
      </c>
    </row>
    <row r="341" customFormat="false" ht="15" hidden="false" customHeight="true" outlineLevel="0" collapsed="false">
      <c r="A341" s="148" t="str">
        <f aca="false">IF($J341="","",INDEX(LEDGER_ENGINE!$B$2:$B$546,$J341))</f>
        <v/>
      </c>
      <c r="B341" s="149" t="str">
        <f aca="false">IF($J341="","",INDEX(LEDGER_ENGINE!$C$2:$C$546,$J341))</f>
        <v/>
      </c>
      <c r="C341" s="149" t="str">
        <f aca="false">IF($J341="","",INDEX(LEDGER_ENGINE!$D$2:$D$546,$J341))</f>
        <v/>
      </c>
      <c r="D341" s="149" t="str">
        <f aca="false">IF($J341="","",INDEX(LEDGER_ENGINE!$G$2:$G$546,$J341))</f>
        <v/>
      </c>
      <c r="E341" s="149" t="str">
        <f aca="false">IFERROR(IF($J341="","",INDEX(LEDGER_ENGINE!$H$2:$H$546,$J341)),"")</f>
        <v/>
      </c>
      <c r="F341" s="150" t="str">
        <f aca="false">IF($J341="","",INDEX(LEDGER_ENGINE!$I$2:$I$546,$J341))</f>
        <v/>
      </c>
      <c r="G341" s="150" t="str">
        <f aca="false">IF($J341="","",INDEX(LEDGER_ENGINE!$J$2:$J$546,$J341))</f>
        <v/>
      </c>
      <c r="H341" s="150" t="str">
        <f aca="false">IF($J341="","",INDEX(LEDGER_ENGINE!$L$2:$L$546,$J341))</f>
        <v/>
      </c>
      <c r="I341" s="150" t="str">
        <f aca="false">IF(A341="","",I340+H341)</f>
        <v/>
      </c>
      <c r="J341" s="101" t="str">
        <f aca="false">IFERROR(MATCH(LIBRI_I_MADH!$B$4&amp;"|"&amp;ROWS($A$6:A341),LEDGER_ENGINE!$U$2:$U$546,0),"")</f>
        <v/>
      </c>
    </row>
    <row r="342" customFormat="false" ht="15" hidden="false" customHeight="true" outlineLevel="0" collapsed="false">
      <c r="A342" s="148" t="str">
        <f aca="false">IF($J342="","",INDEX(LEDGER_ENGINE!$B$2:$B$546,$J342))</f>
        <v/>
      </c>
      <c r="B342" s="149" t="str">
        <f aca="false">IF($J342="","",INDEX(LEDGER_ENGINE!$C$2:$C$546,$J342))</f>
        <v/>
      </c>
      <c r="C342" s="149" t="str">
        <f aca="false">IF($J342="","",INDEX(LEDGER_ENGINE!$D$2:$D$546,$J342))</f>
        <v/>
      </c>
      <c r="D342" s="149" t="str">
        <f aca="false">IF($J342="","",INDEX(LEDGER_ENGINE!$G$2:$G$546,$J342))</f>
        <v/>
      </c>
      <c r="E342" s="149" t="str">
        <f aca="false">IFERROR(IF($J342="","",INDEX(LEDGER_ENGINE!$H$2:$H$546,$J342)),"")</f>
        <v/>
      </c>
      <c r="F342" s="150" t="str">
        <f aca="false">IF($J342="","",INDEX(LEDGER_ENGINE!$I$2:$I$546,$J342))</f>
        <v/>
      </c>
      <c r="G342" s="150" t="str">
        <f aca="false">IF($J342="","",INDEX(LEDGER_ENGINE!$J$2:$J$546,$J342))</f>
        <v/>
      </c>
      <c r="H342" s="150" t="str">
        <f aca="false">IF($J342="","",INDEX(LEDGER_ENGINE!$L$2:$L$546,$J342))</f>
        <v/>
      </c>
      <c r="I342" s="150" t="str">
        <f aca="false">IF(A342="","",I341+H342)</f>
        <v/>
      </c>
      <c r="J342" s="101" t="str">
        <f aca="false">IFERROR(MATCH(LIBRI_I_MADH!$B$4&amp;"|"&amp;ROWS($A$6:A342),LEDGER_ENGINE!$U$2:$U$546,0),"")</f>
        <v/>
      </c>
    </row>
    <row r="343" customFormat="false" ht="15" hidden="false" customHeight="true" outlineLevel="0" collapsed="false">
      <c r="A343" s="148" t="str">
        <f aca="false">IF($J343="","",INDEX(LEDGER_ENGINE!$B$2:$B$546,$J343))</f>
        <v/>
      </c>
      <c r="B343" s="149" t="str">
        <f aca="false">IF($J343="","",INDEX(LEDGER_ENGINE!$C$2:$C$546,$J343))</f>
        <v/>
      </c>
      <c r="C343" s="149" t="str">
        <f aca="false">IF($J343="","",INDEX(LEDGER_ENGINE!$D$2:$D$546,$J343))</f>
        <v/>
      </c>
      <c r="D343" s="149" t="str">
        <f aca="false">IF($J343="","",INDEX(LEDGER_ENGINE!$G$2:$G$546,$J343))</f>
        <v/>
      </c>
      <c r="E343" s="149" t="str">
        <f aca="false">IFERROR(IF($J343="","",INDEX(LEDGER_ENGINE!$H$2:$H$546,$J343)),"")</f>
        <v/>
      </c>
      <c r="F343" s="150" t="str">
        <f aca="false">IF($J343="","",INDEX(LEDGER_ENGINE!$I$2:$I$546,$J343))</f>
        <v/>
      </c>
      <c r="G343" s="150" t="str">
        <f aca="false">IF($J343="","",INDEX(LEDGER_ENGINE!$J$2:$J$546,$J343))</f>
        <v/>
      </c>
      <c r="H343" s="150" t="str">
        <f aca="false">IF($J343="","",INDEX(LEDGER_ENGINE!$L$2:$L$546,$J343))</f>
        <v/>
      </c>
      <c r="I343" s="150" t="str">
        <f aca="false">IF(A343="","",I342+H343)</f>
        <v/>
      </c>
      <c r="J343" s="101" t="str">
        <f aca="false">IFERROR(MATCH(LIBRI_I_MADH!$B$4&amp;"|"&amp;ROWS($A$6:A343),LEDGER_ENGINE!$U$2:$U$546,0),"")</f>
        <v/>
      </c>
    </row>
    <row r="344" customFormat="false" ht="15" hidden="false" customHeight="true" outlineLevel="0" collapsed="false">
      <c r="A344" s="148" t="str">
        <f aca="false">IF($J344="","",INDEX(LEDGER_ENGINE!$B$2:$B$546,$J344))</f>
        <v/>
      </c>
      <c r="B344" s="149" t="str">
        <f aca="false">IF($J344="","",INDEX(LEDGER_ENGINE!$C$2:$C$546,$J344))</f>
        <v/>
      </c>
      <c r="C344" s="149" t="str">
        <f aca="false">IF($J344="","",INDEX(LEDGER_ENGINE!$D$2:$D$546,$J344))</f>
        <v/>
      </c>
      <c r="D344" s="149" t="str">
        <f aca="false">IF($J344="","",INDEX(LEDGER_ENGINE!$G$2:$G$546,$J344))</f>
        <v/>
      </c>
      <c r="E344" s="149" t="str">
        <f aca="false">IFERROR(IF($J344="","",INDEX(LEDGER_ENGINE!$H$2:$H$546,$J344)),"")</f>
        <v/>
      </c>
      <c r="F344" s="150" t="str">
        <f aca="false">IF($J344="","",INDEX(LEDGER_ENGINE!$I$2:$I$546,$J344))</f>
        <v/>
      </c>
      <c r="G344" s="150" t="str">
        <f aca="false">IF($J344="","",INDEX(LEDGER_ENGINE!$J$2:$J$546,$J344))</f>
        <v/>
      </c>
      <c r="H344" s="150" t="str">
        <f aca="false">IF($J344="","",INDEX(LEDGER_ENGINE!$L$2:$L$546,$J344))</f>
        <v/>
      </c>
      <c r="I344" s="150" t="str">
        <f aca="false">IF(A344="","",I343+H344)</f>
        <v/>
      </c>
      <c r="J344" s="101" t="str">
        <f aca="false">IFERROR(MATCH(LIBRI_I_MADH!$B$4&amp;"|"&amp;ROWS($A$6:A344),LEDGER_ENGINE!$U$2:$U$546,0),"")</f>
        <v/>
      </c>
    </row>
    <row r="345" customFormat="false" ht="15" hidden="false" customHeight="true" outlineLevel="0" collapsed="false">
      <c r="A345" s="148" t="str">
        <f aca="false">IF($J345="","",INDEX(LEDGER_ENGINE!$B$2:$B$546,$J345))</f>
        <v/>
      </c>
      <c r="B345" s="149" t="str">
        <f aca="false">IF($J345="","",INDEX(LEDGER_ENGINE!$C$2:$C$546,$J345))</f>
        <v/>
      </c>
      <c r="C345" s="149" t="str">
        <f aca="false">IF($J345="","",INDEX(LEDGER_ENGINE!$D$2:$D$546,$J345))</f>
        <v/>
      </c>
      <c r="D345" s="149" t="str">
        <f aca="false">IF($J345="","",INDEX(LEDGER_ENGINE!$G$2:$G$546,$J345))</f>
        <v/>
      </c>
      <c r="E345" s="149" t="str">
        <f aca="false">IFERROR(IF($J345="","",INDEX(LEDGER_ENGINE!$H$2:$H$546,$J345)),"")</f>
        <v/>
      </c>
      <c r="F345" s="150" t="str">
        <f aca="false">IF($J345="","",INDEX(LEDGER_ENGINE!$I$2:$I$546,$J345))</f>
        <v/>
      </c>
      <c r="G345" s="150" t="str">
        <f aca="false">IF($J345="","",INDEX(LEDGER_ENGINE!$J$2:$J$546,$J345))</f>
        <v/>
      </c>
      <c r="H345" s="150" t="str">
        <f aca="false">IF($J345="","",INDEX(LEDGER_ENGINE!$L$2:$L$546,$J345))</f>
        <v/>
      </c>
      <c r="I345" s="150" t="str">
        <f aca="false">IF(A345="","",I344+H345)</f>
        <v/>
      </c>
      <c r="J345" s="101" t="str">
        <f aca="false">IFERROR(MATCH(LIBRI_I_MADH!$B$4&amp;"|"&amp;ROWS($A$6:A345),LEDGER_ENGINE!$U$2:$U$546,0),"")</f>
        <v/>
      </c>
    </row>
    <row r="346" customFormat="false" ht="15" hidden="false" customHeight="true" outlineLevel="0" collapsed="false">
      <c r="A346" s="148" t="str">
        <f aca="false">IF($J346="","",INDEX(LEDGER_ENGINE!$B$2:$B$546,$J346))</f>
        <v/>
      </c>
      <c r="B346" s="149" t="str">
        <f aca="false">IF($J346="","",INDEX(LEDGER_ENGINE!$C$2:$C$546,$J346))</f>
        <v/>
      </c>
      <c r="C346" s="149" t="str">
        <f aca="false">IF($J346="","",INDEX(LEDGER_ENGINE!$D$2:$D$546,$J346))</f>
        <v/>
      </c>
      <c r="D346" s="149" t="str">
        <f aca="false">IF($J346="","",INDEX(LEDGER_ENGINE!$G$2:$G$546,$J346))</f>
        <v/>
      </c>
      <c r="E346" s="149" t="str">
        <f aca="false">IFERROR(IF($J346="","",INDEX(LEDGER_ENGINE!$H$2:$H$546,$J346)),"")</f>
        <v/>
      </c>
      <c r="F346" s="150" t="str">
        <f aca="false">IF($J346="","",INDEX(LEDGER_ENGINE!$I$2:$I$546,$J346))</f>
        <v/>
      </c>
      <c r="G346" s="150" t="str">
        <f aca="false">IF($J346="","",INDEX(LEDGER_ENGINE!$J$2:$J$546,$J346))</f>
        <v/>
      </c>
      <c r="H346" s="150" t="str">
        <f aca="false">IF($J346="","",INDEX(LEDGER_ENGINE!$L$2:$L$546,$J346))</f>
        <v/>
      </c>
      <c r="I346" s="150" t="str">
        <f aca="false">IF(A346="","",I345+H346)</f>
        <v/>
      </c>
      <c r="J346" s="101" t="str">
        <f aca="false">IFERROR(MATCH(LIBRI_I_MADH!$B$4&amp;"|"&amp;ROWS($A$6:A346),LEDGER_ENGINE!$U$2:$U$546,0),"")</f>
        <v/>
      </c>
    </row>
    <row r="347" customFormat="false" ht="15" hidden="false" customHeight="true" outlineLevel="0" collapsed="false">
      <c r="A347" s="148" t="str">
        <f aca="false">IF($J347="","",INDEX(LEDGER_ENGINE!$B$2:$B$546,$J347))</f>
        <v/>
      </c>
      <c r="B347" s="149" t="str">
        <f aca="false">IF($J347="","",INDEX(LEDGER_ENGINE!$C$2:$C$546,$J347))</f>
        <v/>
      </c>
      <c r="C347" s="149" t="str">
        <f aca="false">IF($J347="","",INDEX(LEDGER_ENGINE!$D$2:$D$546,$J347))</f>
        <v/>
      </c>
      <c r="D347" s="149" t="str">
        <f aca="false">IF($J347="","",INDEX(LEDGER_ENGINE!$G$2:$G$546,$J347))</f>
        <v/>
      </c>
      <c r="E347" s="149" t="str">
        <f aca="false">IFERROR(IF($J347="","",INDEX(LEDGER_ENGINE!$H$2:$H$546,$J347)),"")</f>
        <v/>
      </c>
      <c r="F347" s="150" t="str">
        <f aca="false">IF($J347="","",INDEX(LEDGER_ENGINE!$I$2:$I$546,$J347))</f>
        <v/>
      </c>
      <c r="G347" s="150" t="str">
        <f aca="false">IF($J347="","",INDEX(LEDGER_ENGINE!$J$2:$J$546,$J347))</f>
        <v/>
      </c>
      <c r="H347" s="150" t="str">
        <f aca="false">IF($J347="","",INDEX(LEDGER_ENGINE!$L$2:$L$546,$J347))</f>
        <v/>
      </c>
      <c r="I347" s="150" t="str">
        <f aca="false">IF(A347="","",I346+H347)</f>
        <v/>
      </c>
      <c r="J347" s="101" t="str">
        <f aca="false">IFERROR(MATCH(LIBRI_I_MADH!$B$4&amp;"|"&amp;ROWS($A$6:A347),LEDGER_ENGINE!$U$2:$U$546,0),"")</f>
        <v/>
      </c>
    </row>
    <row r="348" customFormat="false" ht="15" hidden="false" customHeight="true" outlineLevel="0" collapsed="false">
      <c r="A348" s="148" t="str">
        <f aca="false">IF($J348="","",INDEX(LEDGER_ENGINE!$B$2:$B$546,$J348))</f>
        <v/>
      </c>
      <c r="B348" s="149" t="str">
        <f aca="false">IF($J348="","",INDEX(LEDGER_ENGINE!$C$2:$C$546,$J348))</f>
        <v/>
      </c>
      <c r="C348" s="149" t="str">
        <f aca="false">IF($J348="","",INDEX(LEDGER_ENGINE!$D$2:$D$546,$J348))</f>
        <v/>
      </c>
      <c r="D348" s="149" t="str">
        <f aca="false">IF($J348="","",INDEX(LEDGER_ENGINE!$G$2:$G$546,$J348))</f>
        <v/>
      </c>
      <c r="E348" s="149" t="str">
        <f aca="false">IFERROR(IF($J348="","",INDEX(LEDGER_ENGINE!$H$2:$H$546,$J348)),"")</f>
        <v/>
      </c>
      <c r="F348" s="150" t="str">
        <f aca="false">IF($J348="","",INDEX(LEDGER_ENGINE!$I$2:$I$546,$J348))</f>
        <v/>
      </c>
      <c r="G348" s="150" t="str">
        <f aca="false">IF($J348="","",INDEX(LEDGER_ENGINE!$J$2:$J$546,$J348))</f>
        <v/>
      </c>
      <c r="H348" s="150" t="str">
        <f aca="false">IF($J348="","",INDEX(LEDGER_ENGINE!$L$2:$L$546,$J348))</f>
        <v/>
      </c>
      <c r="I348" s="150" t="str">
        <f aca="false">IF(A348="","",I347+H348)</f>
        <v/>
      </c>
      <c r="J348" s="101" t="str">
        <f aca="false">IFERROR(MATCH(LIBRI_I_MADH!$B$4&amp;"|"&amp;ROWS($A$6:A348),LEDGER_ENGINE!$U$2:$U$546,0),"")</f>
        <v/>
      </c>
    </row>
    <row r="349" customFormat="false" ht="15" hidden="false" customHeight="true" outlineLevel="0" collapsed="false">
      <c r="A349" s="148" t="str">
        <f aca="false">IF($J349="","",INDEX(LEDGER_ENGINE!$B$2:$B$546,$J349))</f>
        <v/>
      </c>
      <c r="B349" s="149" t="str">
        <f aca="false">IF($J349="","",INDEX(LEDGER_ENGINE!$C$2:$C$546,$J349))</f>
        <v/>
      </c>
      <c r="C349" s="149" t="str">
        <f aca="false">IF($J349="","",INDEX(LEDGER_ENGINE!$D$2:$D$546,$J349))</f>
        <v/>
      </c>
      <c r="D349" s="149" t="str">
        <f aca="false">IF($J349="","",INDEX(LEDGER_ENGINE!$G$2:$G$546,$J349))</f>
        <v/>
      </c>
      <c r="E349" s="149" t="str">
        <f aca="false">IFERROR(IF($J349="","",INDEX(LEDGER_ENGINE!$H$2:$H$546,$J349)),"")</f>
        <v/>
      </c>
      <c r="F349" s="150" t="str">
        <f aca="false">IF($J349="","",INDEX(LEDGER_ENGINE!$I$2:$I$546,$J349))</f>
        <v/>
      </c>
      <c r="G349" s="150" t="str">
        <f aca="false">IF($J349="","",INDEX(LEDGER_ENGINE!$J$2:$J$546,$J349))</f>
        <v/>
      </c>
      <c r="H349" s="150" t="str">
        <f aca="false">IF($J349="","",INDEX(LEDGER_ENGINE!$L$2:$L$546,$J349))</f>
        <v/>
      </c>
      <c r="I349" s="150" t="str">
        <f aca="false">IF(A349="","",I348+H349)</f>
        <v/>
      </c>
      <c r="J349" s="101" t="str">
        <f aca="false">IFERROR(MATCH(LIBRI_I_MADH!$B$4&amp;"|"&amp;ROWS($A$6:A349),LEDGER_ENGINE!$U$2:$U$546,0),"")</f>
        <v/>
      </c>
    </row>
    <row r="350" customFormat="false" ht="15" hidden="false" customHeight="true" outlineLevel="0" collapsed="false">
      <c r="A350" s="148" t="str">
        <f aca="false">IF($J350="","",INDEX(LEDGER_ENGINE!$B$2:$B$546,$J350))</f>
        <v/>
      </c>
      <c r="B350" s="149" t="str">
        <f aca="false">IF($J350="","",INDEX(LEDGER_ENGINE!$C$2:$C$546,$J350))</f>
        <v/>
      </c>
      <c r="C350" s="149" t="str">
        <f aca="false">IF($J350="","",INDEX(LEDGER_ENGINE!$D$2:$D$546,$J350))</f>
        <v/>
      </c>
      <c r="D350" s="149" t="str">
        <f aca="false">IF($J350="","",INDEX(LEDGER_ENGINE!$G$2:$G$546,$J350))</f>
        <v/>
      </c>
      <c r="E350" s="149" t="str">
        <f aca="false">IFERROR(IF($J350="","",INDEX(LEDGER_ENGINE!$H$2:$H$546,$J350)),"")</f>
        <v/>
      </c>
      <c r="F350" s="150" t="str">
        <f aca="false">IF($J350="","",INDEX(LEDGER_ENGINE!$I$2:$I$546,$J350))</f>
        <v/>
      </c>
      <c r="G350" s="150" t="str">
        <f aca="false">IF($J350="","",INDEX(LEDGER_ENGINE!$J$2:$J$546,$J350))</f>
        <v/>
      </c>
      <c r="H350" s="150" t="str">
        <f aca="false">IF($J350="","",INDEX(LEDGER_ENGINE!$L$2:$L$546,$J350))</f>
        <v/>
      </c>
      <c r="I350" s="150" t="str">
        <f aca="false">IF(A350="","",I349+H350)</f>
        <v/>
      </c>
      <c r="J350" s="101" t="str">
        <f aca="false">IFERROR(MATCH(LIBRI_I_MADH!$B$4&amp;"|"&amp;ROWS($A$6:A350),LEDGER_ENGINE!$U$2:$U$546,0),"")</f>
        <v/>
      </c>
    </row>
    <row r="351" customFormat="false" ht="15" hidden="false" customHeight="true" outlineLevel="0" collapsed="false">
      <c r="A351" s="148" t="str">
        <f aca="false">IF($J351="","",INDEX(LEDGER_ENGINE!$B$2:$B$546,$J351))</f>
        <v/>
      </c>
      <c r="B351" s="149" t="str">
        <f aca="false">IF($J351="","",INDEX(LEDGER_ENGINE!$C$2:$C$546,$J351))</f>
        <v/>
      </c>
      <c r="C351" s="149" t="str">
        <f aca="false">IF($J351="","",INDEX(LEDGER_ENGINE!$D$2:$D$546,$J351))</f>
        <v/>
      </c>
      <c r="D351" s="149" t="str">
        <f aca="false">IF($J351="","",INDEX(LEDGER_ENGINE!$G$2:$G$546,$J351))</f>
        <v/>
      </c>
      <c r="E351" s="149" t="str">
        <f aca="false">IFERROR(IF($J351="","",INDEX(LEDGER_ENGINE!$H$2:$H$546,$J351)),"")</f>
        <v/>
      </c>
      <c r="F351" s="150" t="str">
        <f aca="false">IF($J351="","",INDEX(LEDGER_ENGINE!$I$2:$I$546,$J351))</f>
        <v/>
      </c>
      <c r="G351" s="150" t="str">
        <f aca="false">IF($J351="","",INDEX(LEDGER_ENGINE!$J$2:$J$546,$J351))</f>
        <v/>
      </c>
      <c r="H351" s="150" t="str">
        <f aca="false">IF($J351="","",INDEX(LEDGER_ENGINE!$L$2:$L$546,$J351))</f>
        <v/>
      </c>
      <c r="I351" s="150" t="str">
        <f aca="false">IF(A351="","",I350+H351)</f>
        <v/>
      </c>
      <c r="J351" s="101" t="str">
        <f aca="false">IFERROR(MATCH(LIBRI_I_MADH!$B$4&amp;"|"&amp;ROWS($A$6:A351),LEDGER_ENGINE!$U$2:$U$546,0),"")</f>
        <v/>
      </c>
    </row>
    <row r="352" customFormat="false" ht="15" hidden="false" customHeight="true" outlineLevel="0" collapsed="false">
      <c r="A352" s="148" t="str">
        <f aca="false">IF($J352="","",INDEX(LEDGER_ENGINE!$B$2:$B$546,$J352))</f>
        <v/>
      </c>
      <c r="B352" s="149" t="str">
        <f aca="false">IF($J352="","",INDEX(LEDGER_ENGINE!$C$2:$C$546,$J352))</f>
        <v/>
      </c>
      <c r="C352" s="149" t="str">
        <f aca="false">IF($J352="","",INDEX(LEDGER_ENGINE!$D$2:$D$546,$J352))</f>
        <v/>
      </c>
      <c r="D352" s="149" t="str">
        <f aca="false">IF($J352="","",INDEX(LEDGER_ENGINE!$G$2:$G$546,$J352))</f>
        <v/>
      </c>
      <c r="E352" s="149" t="str">
        <f aca="false">IFERROR(IF($J352="","",INDEX(LEDGER_ENGINE!$H$2:$H$546,$J352)),"")</f>
        <v/>
      </c>
      <c r="F352" s="150" t="str">
        <f aca="false">IF($J352="","",INDEX(LEDGER_ENGINE!$I$2:$I$546,$J352))</f>
        <v/>
      </c>
      <c r="G352" s="150" t="str">
        <f aca="false">IF($J352="","",INDEX(LEDGER_ENGINE!$J$2:$J$546,$J352))</f>
        <v/>
      </c>
      <c r="H352" s="150" t="str">
        <f aca="false">IF($J352="","",INDEX(LEDGER_ENGINE!$L$2:$L$546,$J352))</f>
        <v/>
      </c>
      <c r="I352" s="150" t="str">
        <f aca="false">IF(A352="","",I351+H352)</f>
        <v/>
      </c>
      <c r="J352" s="101" t="str">
        <f aca="false">IFERROR(MATCH(LIBRI_I_MADH!$B$4&amp;"|"&amp;ROWS($A$6:A352),LEDGER_ENGINE!$U$2:$U$546,0),"")</f>
        <v/>
      </c>
    </row>
    <row r="353" customFormat="false" ht="15" hidden="false" customHeight="true" outlineLevel="0" collapsed="false">
      <c r="A353" s="148" t="str">
        <f aca="false">IF($J353="","",INDEX(LEDGER_ENGINE!$B$2:$B$546,$J353))</f>
        <v/>
      </c>
      <c r="B353" s="149" t="str">
        <f aca="false">IF($J353="","",INDEX(LEDGER_ENGINE!$C$2:$C$546,$J353))</f>
        <v/>
      </c>
      <c r="C353" s="149" t="str">
        <f aca="false">IF($J353="","",INDEX(LEDGER_ENGINE!$D$2:$D$546,$J353))</f>
        <v/>
      </c>
      <c r="D353" s="149" t="str">
        <f aca="false">IF($J353="","",INDEX(LEDGER_ENGINE!$G$2:$G$546,$J353))</f>
        <v/>
      </c>
      <c r="E353" s="149" t="str">
        <f aca="false">IFERROR(IF($J353="","",INDEX(LEDGER_ENGINE!$H$2:$H$546,$J353)),"")</f>
        <v/>
      </c>
      <c r="F353" s="150" t="str">
        <f aca="false">IF($J353="","",INDEX(LEDGER_ENGINE!$I$2:$I$546,$J353))</f>
        <v/>
      </c>
      <c r="G353" s="150" t="str">
        <f aca="false">IF($J353="","",INDEX(LEDGER_ENGINE!$J$2:$J$546,$J353))</f>
        <v/>
      </c>
      <c r="H353" s="150" t="str">
        <f aca="false">IF($J353="","",INDEX(LEDGER_ENGINE!$L$2:$L$546,$J353))</f>
        <v/>
      </c>
      <c r="I353" s="150" t="str">
        <f aca="false">IF(A353="","",I352+H353)</f>
        <v/>
      </c>
      <c r="J353" s="101" t="str">
        <f aca="false">IFERROR(MATCH(LIBRI_I_MADH!$B$4&amp;"|"&amp;ROWS($A$6:A353),LEDGER_ENGINE!$U$2:$U$546,0),"")</f>
        <v/>
      </c>
    </row>
    <row r="354" customFormat="false" ht="15" hidden="false" customHeight="true" outlineLevel="0" collapsed="false">
      <c r="A354" s="148" t="str">
        <f aca="false">IF($J354="","",INDEX(LEDGER_ENGINE!$B$2:$B$546,$J354))</f>
        <v/>
      </c>
      <c r="B354" s="149" t="str">
        <f aca="false">IF($J354="","",INDEX(LEDGER_ENGINE!$C$2:$C$546,$J354))</f>
        <v/>
      </c>
      <c r="C354" s="149" t="str">
        <f aca="false">IF($J354="","",INDEX(LEDGER_ENGINE!$D$2:$D$546,$J354))</f>
        <v/>
      </c>
      <c r="D354" s="149" t="str">
        <f aca="false">IF($J354="","",INDEX(LEDGER_ENGINE!$G$2:$G$546,$J354))</f>
        <v/>
      </c>
      <c r="E354" s="149" t="str">
        <f aca="false">IFERROR(IF($J354="","",INDEX(LEDGER_ENGINE!$H$2:$H$546,$J354)),"")</f>
        <v/>
      </c>
      <c r="F354" s="150" t="str">
        <f aca="false">IF($J354="","",INDEX(LEDGER_ENGINE!$I$2:$I$546,$J354))</f>
        <v/>
      </c>
      <c r="G354" s="150" t="str">
        <f aca="false">IF($J354="","",INDEX(LEDGER_ENGINE!$J$2:$J$546,$J354))</f>
        <v/>
      </c>
      <c r="H354" s="150" t="str">
        <f aca="false">IF($J354="","",INDEX(LEDGER_ENGINE!$L$2:$L$546,$J354))</f>
        <v/>
      </c>
      <c r="I354" s="150" t="str">
        <f aca="false">IF(A354="","",I353+H354)</f>
        <v/>
      </c>
      <c r="J354" s="101" t="str">
        <f aca="false">IFERROR(MATCH(LIBRI_I_MADH!$B$4&amp;"|"&amp;ROWS($A$6:A354),LEDGER_ENGINE!$U$2:$U$546,0),"")</f>
        <v/>
      </c>
    </row>
    <row r="355" customFormat="false" ht="15" hidden="false" customHeight="true" outlineLevel="0" collapsed="false">
      <c r="A355" s="148" t="str">
        <f aca="false">IF($J355="","",INDEX(LEDGER_ENGINE!$B$2:$B$546,$J355))</f>
        <v/>
      </c>
      <c r="B355" s="149" t="str">
        <f aca="false">IF($J355="","",INDEX(LEDGER_ENGINE!$C$2:$C$546,$J355))</f>
        <v/>
      </c>
      <c r="C355" s="149" t="str">
        <f aca="false">IF($J355="","",INDEX(LEDGER_ENGINE!$D$2:$D$546,$J355))</f>
        <v/>
      </c>
      <c r="D355" s="149" t="str">
        <f aca="false">IF($J355="","",INDEX(LEDGER_ENGINE!$G$2:$G$546,$J355))</f>
        <v/>
      </c>
      <c r="E355" s="149" t="str">
        <f aca="false">IFERROR(IF($J355="","",INDEX(LEDGER_ENGINE!$H$2:$H$546,$J355)),"")</f>
        <v/>
      </c>
      <c r="F355" s="150" t="str">
        <f aca="false">IF($J355="","",INDEX(LEDGER_ENGINE!$I$2:$I$546,$J355))</f>
        <v/>
      </c>
      <c r="G355" s="150" t="str">
        <f aca="false">IF($J355="","",INDEX(LEDGER_ENGINE!$J$2:$J$546,$J355))</f>
        <v/>
      </c>
      <c r="H355" s="150" t="str">
        <f aca="false">IF($J355="","",INDEX(LEDGER_ENGINE!$L$2:$L$546,$J355))</f>
        <v/>
      </c>
      <c r="I355" s="150" t="str">
        <f aca="false">IF(A355="","",I354+H355)</f>
        <v/>
      </c>
      <c r="J355" s="101" t="str">
        <f aca="false">IFERROR(MATCH(LIBRI_I_MADH!$B$4&amp;"|"&amp;ROWS($A$6:A355),LEDGER_ENGINE!$U$2:$U$546,0),"")</f>
        <v/>
      </c>
    </row>
    <row r="356" customFormat="false" ht="15" hidden="false" customHeight="true" outlineLevel="0" collapsed="false">
      <c r="A356" s="148" t="str">
        <f aca="false">IF($J356="","",INDEX(LEDGER_ENGINE!$B$2:$B$546,$J356))</f>
        <v/>
      </c>
      <c r="B356" s="149" t="str">
        <f aca="false">IF($J356="","",INDEX(LEDGER_ENGINE!$C$2:$C$546,$J356))</f>
        <v/>
      </c>
      <c r="C356" s="149" t="str">
        <f aca="false">IF($J356="","",INDEX(LEDGER_ENGINE!$D$2:$D$546,$J356))</f>
        <v/>
      </c>
      <c r="D356" s="149" t="str">
        <f aca="false">IF($J356="","",INDEX(LEDGER_ENGINE!$G$2:$G$546,$J356))</f>
        <v/>
      </c>
      <c r="E356" s="149" t="str">
        <f aca="false">IFERROR(IF($J356="","",INDEX(LEDGER_ENGINE!$H$2:$H$546,$J356)),"")</f>
        <v/>
      </c>
      <c r="F356" s="150" t="str">
        <f aca="false">IF($J356="","",INDEX(LEDGER_ENGINE!$I$2:$I$546,$J356))</f>
        <v/>
      </c>
      <c r="G356" s="150" t="str">
        <f aca="false">IF($J356="","",INDEX(LEDGER_ENGINE!$J$2:$J$546,$J356))</f>
        <v/>
      </c>
      <c r="H356" s="150" t="str">
        <f aca="false">IF($J356="","",INDEX(LEDGER_ENGINE!$L$2:$L$546,$J356))</f>
        <v/>
      </c>
      <c r="I356" s="150" t="str">
        <f aca="false">IF(A356="","",I355+H356)</f>
        <v/>
      </c>
      <c r="J356" s="101" t="str">
        <f aca="false">IFERROR(MATCH(LIBRI_I_MADH!$B$4&amp;"|"&amp;ROWS($A$6:A356),LEDGER_ENGINE!$U$2:$U$546,0),"")</f>
        <v/>
      </c>
    </row>
    <row r="357" customFormat="false" ht="15" hidden="false" customHeight="true" outlineLevel="0" collapsed="false">
      <c r="A357" s="148" t="str">
        <f aca="false">IF($J357="","",INDEX(LEDGER_ENGINE!$B$2:$B$546,$J357))</f>
        <v/>
      </c>
      <c r="B357" s="149" t="str">
        <f aca="false">IF($J357="","",INDEX(LEDGER_ENGINE!$C$2:$C$546,$J357))</f>
        <v/>
      </c>
      <c r="C357" s="149" t="str">
        <f aca="false">IF($J357="","",INDEX(LEDGER_ENGINE!$D$2:$D$546,$J357))</f>
        <v/>
      </c>
      <c r="D357" s="149" t="str">
        <f aca="false">IF($J357="","",INDEX(LEDGER_ENGINE!$G$2:$G$546,$J357))</f>
        <v/>
      </c>
      <c r="E357" s="149" t="str">
        <f aca="false">IFERROR(IF($J357="","",INDEX(LEDGER_ENGINE!$H$2:$H$546,$J357)),"")</f>
        <v/>
      </c>
      <c r="F357" s="150" t="str">
        <f aca="false">IF($J357="","",INDEX(LEDGER_ENGINE!$I$2:$I$546,$J357))</f>
        <v/>
      </c>
      <c r="G357" s="150" t="str">
        <f aca="false">IF($J357="","",INDEX(LEDGER_ENGINE!$J$2:$J$546,$J357))</f>
        <v/>
      </c>
      <c r="H357" s="150" t="str">
        <f aca="false">IF($J357="","",INDEX(LEDGER_ENGINE!$L$2:$L$546,$J357))</f>
        <v/>
      </c>
      <c r="I357" s="150" t="str">
        <f aca="false">IF(A357="","",I356+H357)</f>
        <v/>
      </c>
      <c r="J357" s="101" t="str">
        <f aca="false">IFERROR(MATCH(LIBRI_I_MADH!$B$4&amp;"|"&amp;ROWS($A$6:A357),LEDGER_ENGINE!$U$2:$U$546,0),"")</f>
        <v/>
      </c>
    </row>
    <row r="358" customFormat="false" ht="15" hidden="false" customHeight="true" outlineLevel="0" collapsed="false">
      <c r="A358" s="148" t="str">
        <f aca="false">IF($J358="","",INDEX(LEDGER_ENGINE!$B$2:$B$546,$J358))</f>
        <v/>
      </c>
      <c r="B358" s="149" t="str">
        <f aca="false">IF($J358="","",INDEX(LEDGER_ENGINE!$C$2:$C$546,$J358))</f>
        <v/>
      </c>
      <c r="C358" s="149" t="str">
        <f aca="false">IF($J358="","",INDEX(LEDGER_ENGINE!$D$2:$D$546,$J358))</f>
        <v/>
      </c>
      <c r="D358" s="149" t="str">
        <f aca="false">IF($J358="","",INDEX(LEDGER_ENGINE!$G$2:$G$546,$J358))</f>
        <v/>
      </c>
      <c r="E358" s="149" t="str">
        <f aca="false">IFERROR(IF($J358="","",INDEX(LEDGER_ENGINE!$H$2:$H$546,$J358)),"")</f>
        <v/>
      </c>
      <c r="F358" s="150" t="str">
        <f aca="false">IF($J358="","",INDEX(LEDGER_ENGINE!$I$2:$I$546,$J358))</f>
        <v/>
      </c>
      <c r="G358" s="150" t="str">
        <f aca="false">IF($J358="","",INDEX(LEDGER_ENGINE!$J$2:$J$546,$J358))</f>
        <v/>
      </c>
      <c r="H358" s="150" t="str">
        <f aca="false">IF($J358="","",INDEX(LEDGER_ENGINE!$L$2:$L$546,$J358))</f>
        <v/>
      </c>
      <c r="I358" s="150" t="str">
        <f aca="false">IF(A358="","",I357+H358)</f>
        <v/>
      </c>
      <c r="J358" s="101" t="str">
        <f aca="false">IFERROR(MATCH(LIBRI_I_MADH!$B$4&amp;"|"&amp;ROWS($A$6:A358),LEDGER_ENGINE!$U$2:$U$546,0),"")</f>
        <v/>
      </c>
    </row>
    <row r="359" customFormat="false" ht="15" hidden="false" customHeight="true" outlineLevel="0" collapsed="false">
      <c r="A359" s="148" t="str">
        <f aca="false">IF($J359="","",INDEX(LEDGER_ENGINE!$B$2:$B$546,$J359))</f>
        <v/>
      </c>
      <c r="B359" s="149" t="str">
        <f aca="false">IF($J359="","",INDEX(LEDGER_ENGINE!$C$2:$C$546,$J359))</f>
        <v/>
      </c>
      <c r="C359" s="149" t="str">
        <f aca="false">IF($J359="","",INDEX(LEDGER_ENGINE!$D$2:$D$546,$J359))</f>
        <v/>
      </c>
      <c r="D359" s="149" t="str">
        <f aca="false">IF($J359="","",INDEX(LEDGER_ENGINE!$G$2:$G$546,$J359))</f>
        <v/>
      </c>
      <c r="E359" s="149" t="str">
        <f aca="false">IFERROR(IF($J359="","",INDEX(LEDGER_ENGINE!$H$2:$H$546,$J359)),"")</f>
        <v/>
      </c>
      <c r="F359" s="150" t="str">
        <f aca="false">IF($J359="","",INDEX(LEDGER_ENGINE!$I$2:$I$546,$J359))</f>
        <v/>
      </c>
      <c r="G359" s="150" t="str">
        <f aca="false">IF($J359="","",INDEX(LEDGER_ENGINE!$J$2:$J$546,$J359))</f>
        <v/>
      </c>
      <c r="H359" s="150" t="str">
        <f aca="false">IF($J359="","",INDEX(LEDGER_ENGINE!$L$2:$L$546,$J359))</f>
        <v/>
      </c>
      <c r="I359" s="150" t="str">
        <f aca="false">IF(A359="","",I358+H359)</f>
        <v/>
      </c>
      <c r="J359" s="101" t="str">
        <f aca="false">IFERROR(MATCH(LIBRI_I_MADH!$B$4&amp;"|"&amp;ROWS($A$6:A359),LEDGER_ENGINE!$U$2:$U$546,0),"")</f>
        <v/>
      </c>
    </row>
    <row r="360" customFormat="false" ht="15" hidden="false" customHeight="true" outlineLevel="0" collapsed="false">
      <c r="A360" s="148" t="str">
        <f aca="false">IF($J360="","",INDEX(LEDGER_ENGINE!$B$2:$B$546,$J360))</f>
        <v/>
      </c>
      <c r="B360" s="149" t="str">
        <f aca="false">IF($J360="","",INDEX(LEDGER_ENGINE!$C$2:$C$546,$J360))</f>
        <v/>
      </c>
      <c r="C360" s="149" t="str">
        <f aca="false">IF($J360="","",INDEX(LEDGER_ENGINE!$D$2:$D$546,$J360))</f>
        <v/>
      </c>
      <c r="D360" s="149" t="str">
        <f aca="false">IF($J360="","",INDEX(LEDGER_ENGINE!$G$2:$G$546,$J360))</f>
        <v/>
      </c>
      <c r="E360" s="149" t="str">
        <f aca="false">IFERROR(IF($J360="","",INDEX(LEDGER_ENGINE!$H$2:$H$546,$J360)),"")</f>
        <v/>
      </c>
      <c r="F360" s="150" t="str">
        <f aca="false">IF($J360="","",INDEX(LEDGER_ENGINE!$I$2:$I$546,$J360))</f>
        <v/>
      </c>
      <c r="G360" s="150" t="str">
        <f aca="false">IF($J360="","",INDEX(LEDGER_ENGINE!$J$2:$J$546,$J360))</f>
        <v/>
      </c>
      <c r="H360" s="150" t="str">
        <f aca="false">IF($J360="","",INDEX(LEDGER_ENGINE!$L$2:$L$546,$J360))</f>
        <v/>
      </c>
      <c r="I360" s="150" t="str">
        <f aca="false">IF(A360="","",I359+H360)</f>
        <v/>
      </c>
      <c r="J360" s="101" t="str">
        <f aca="false">IFERROR(MATCH(LIBRI_I_MADH!$B$4&amp;"|"&amp;ROWS($A$6:A360),LEDGER_ENGINE!$U$2:$U$546,0),"")</f>
        <v/>
      </c>
    </row>
    <row r="361" customFormat="false" ht="15" hidden="false" customHeight="true" outlineLevel="0" collapsed="false">
      <c r="A361" s="148" t="str">
        <f aca="false">IF($J361="","",INDEX(LEDGER_ENGINE!$B$2:$B$546,$J361))</f>
        <v/>
      </c>
      <c r="B361" s="149" t="str">
        <f aca="false">IF($J361="","",INDEX(LEDGER_ENGINE!$C$2:$C$546,$J361))</f>
        <v/>
      </c>
      <c r="C361" s="149" t="str">
        <f aca="false">IF($J361="","",INDEX(LEDGER_ENGINE!$D$2:$D$546,$J361))</f>
        <v/>
      </c>
      <c r="D361" s="149" t="str">
        <f aca="false">IF($J361="","",INDEX(LEDGER_ENGINE!$G$2:$G$546,$J361))</f>
        <v/>
      </c>
      <c r="E361" s="149" t="str">
        <f aca="false">IFERROR(IF($J361="","",INDEX(LEDGER_ENGINE!$H$2:$H$546,$J361)),"")</f>
        <v/>
      </c>
      <c r="F361" s="150" t="str">
        <f aca="false">IF($J361="","",INDEX(LEDGER_ENGINE!$I$2:$I$546,$J361))</f>
        <v/>
      </c>
      <c r="G361" s="150" t="str">
        <f aca="false">IF($J361="","",INDEX(LEDGER_ENGINE!$J$2:$J$546,$J361))</f>
        <v/>
      </c>
      <c r="H361" s="150" t="str">
        <f aca="false">IF($J361="","",INDEX(LEDGER_ENGINE!$L$2:$L$546,$J361))</f>
        <v/>
      </c>
      <c r="I361" s="150" t="str">
        <f aca="false">IF(A361="","",I360+H361)</f>
        <v/>
      </c>
      <c r="J361" s="101" t="str">
        <f aca="false">IFERROR(MATCH(LIBRI_I_MADH!$B$4&amp;"|"&amp;ROWS($A$6:A361),LEDGER_ENGINE!$U$2:$U$546,0),"")</f>
        <v/>
      </c>
    </row>
    <row r="362" customFormat="false" ht="15" hidden="false" customHeight="true" outlineLevel="0" collapsed="false">
      <c r="A362" s="148" t="str">
        <f aca="false">IF($J362="","",INDEX(LEDGER_ENGINE!$B$2:$B$546,$J362))</f>
        <v/>
      </c>
      <c r="B362" s="149" t="str">
        <f aca="false">IF($J362="","",INDEX(LEDGER_ENGINE!$C$2:$C$546,$J362))</f>
        <v/>
      </c>
      <c r="C362" s="149" t="str">
        <f aca="false">IF($J362="","",INDEX(LEDGER_ENGINE!$D$2:$D$546,$J362))</f>
        <v/>
      </c>
      <c r="D362" s="149" t="str">
        <f aca="false">IF($J362="","",INDEX(LEDGER_ENGINE!$G$2:$G$546,$J362))</f>
        <v/>
      </c>
      <c r="E362" s="149" t="str">
        <f aca="false">IFERROR(IF($J362="","",INDEX(LEDGER_ENGINE!$H$2:$H$546,$J362)),"")</f>
        <v/>
      </c>
      <c r="F362" s="150" t="str">
        <f aca="false">IF($J362="","",INDEX(LEDGER_ENGINE!$I$2:$I$546,$J362))</f>
        <v/>
      </c>
      <c r="G362" s="150" t="str">
        <f aca="false">IF($J362="","",INDEX(LEDGER_ENGINE!$J$2:$J$546,$J362))</f>
        <v/>
      </c>
      <c r="H362" s="150" t="str">
        <f aca="false">IF($J362="","",INDEX(LEDGER_ENGINE!$L$2:$L$546,$J362))</f>
        <v/>
      </c>
      <c r="I362" s="150" t="str">
        <f aca="false">IF(A362="","",I361+H362)</f>
        <v/>
      </c>
      <c r="J362" s="101" t="str">
        <f aca="false">IFERROR(MATCH(LIBRI_I_MADH!$B$4&amp;"|"&amp;ROWS($A$6:A362),LEDGER_ENGINE!$U$2:$U$546,0),"")</f>
        <v/>
      </c>
    </row>
    <row r="363" customFormat="false" ht="15" hidden="false" customHeight="true" outlineLevel="0" collapsed="false">
      <c r="A363" s="148" t="str">
        <f aca="false">IF($J363="","",INDEX(LEDGER_ENGINE!$B$2:$B$546,$J363))</f>
        <v/>
      </c>
      <c r="B363" s="149" t="str">
        <f aca="false">IF($J363="","",INDEX(LEDGER_ENGINE!$C$2:$C$546,$J363))</f>
        <v/>
      </c>
      <c r="C363" s="149" t="str">
        <f aca="false">IF($J363="","",INDEX(LEDGER_ENGINE!$D$2:$D$546,$J363))</f>
        <v/>
      </c>
      <c r="D363" s="149" t="str">
        <f aca="false">IF($J363="","",INDEX(LEDGER_ENGINE!$G$2:$G$546,$J363))</f>
        <v/>
      </c>
      <c r="E363" s="149" t="str">
        <f aca="false">IFERROR(IF($J363="","",INDEX(LEDGER_ENGINE!$H$2:$H$546,$J363)),"")</f>
        <v/>
      </c>
      <c r="F363" s="150" t="str">
        <f aca="false">IF($J363="","",INDEX(LEDGER_ENGINE!$I$2:$I$546,$J363))</f>
        <v/>
      </c>
      <c r="G363" s="150" t="str">
        <f aca="false">IF($J363="","",INDEX(LEDGER_ENGINE!$J$2:$J$546,$J363))</f>
        <v/>
      </c>
      <c r="H363" s="150" t="str">
        <f aca="false">IF($J363="","",INDEX(LEDGER_ENGINE!$L$2:$L$546,$J363))</f>
        <v/>
      </c>
      <c r="I363" s="150" t="str">
        <f aca="false">IF(A363="","",I362+H363)</f>
        <v/>
      </c>
      <c r="J363" s="101" t="str">
        <f aca="false">IFERROR(MATCH(LIBRI_I_MADH!$B$4&amp;"|"&amp;ROWS($A$6:A363),LEDGER_ENGINE!$U$2:$U$546,0),"")</f>
        <v/>
      </c>
    </row>
    <row r="364" customFormat="false" ht="15" hidden="false" customHeight="true" outlineLevel="0" collapsed="false">
      <c r="A364" s="148" t="str">
        <f aca="false">IF($J364="","",INDEX(LEDGER_ENGINE!$B$2:$B$546,$J364))</f>
        <v/>
      </c>
      <c r="B364" s="149" t="str">
        <f aca="false">IF($J364="","",INDEX(LEDGER_ENGINE!$C$2:$C$546,$J364))</f>
        <v/>
      </c>
      <c r="C364" s="149" t="str">
        <f aca="false">IF($J364="","",INDEX(LEDGER_ENGINE!$D$2:$D$546,$J364))</f>
        <v/>
      </c>
      <c r="D364" s="149" t="str">
        <f aca="false">IF($J364="","",INDEX(LEDGER_ENGINE!$G$2:$G$546,$J364))</f>
        <v/>
      </c>
      <c r="E364" s="149" t="str">
        <f aca="false">IFERROR(IF($J364="","",INDEX(LEDGER_ENGINE!$H$2:$H$546,$J364)),"")</f>
        <v/>
      </c>
      <c r="F364" s="150" t="str">
        <f aca="false">IF($J364="","",INDEX(LEDGER_ENGINE!$I$2:$I$546,$J364))</f>
        <v/>
      </c>
      <c r="G364" s="150" t="str">
        <f aca="false">IF($J364="","",INDEX(LEDGER_ENGINE!$J$2:$J$546,$J364))</f>
        <v/>
      </c>
      <c r="H364" s="150" t="str">
        <f aca="false">IF($J364="","",INDEX(LEDGER_ENGINE!$L$2:$L$546,$J364))</f>
        <v/>
      </c>
      <c r="I364" s="150" t="str">
        <f aca="false">IF(A364="","",I363+H364)</f>
        <v/>
      </c>
      <c r="J364" s="101" t="str">
        <f aca="false">IFERROR(MATCH(LIBRI_I_MADH!$B$4&amp;"|"&amp;ROWS($A$6:A364),LEDGER_ENGINE!$U$2:$U$546,0),"")</f>
        <v/>
      </c>
    </row>
    <row r="365" customFormat="false" ht="15" hidden="false" customHeight="true" outlineLevel="0" collapsed="false">
      <c r="A365" s="148" t="str">
        <f aca="false">IF($J365="","",INDEX(LEDGER_ENGINE!$B$2:$B$546,$J365))</f>
        <v/>
      </c>
      <c r="B365" s="149" t="str">
        <f aca="false">IF($J365="","",INDEX(LEDGER_ENGINE!$C$2:$C$546,$J365))</f>
        <v/>
      </c>
      <c r="C365" s="149" t="str">
        <f aca="false">IF($J365="","",INDEX(LEDGER_ENGINE!$D$2:$D$546,$J365))</f>
        <v/>
      </c>
      <c r="D365" s="149" t="str">
        <f aca="false">IF($J365="","",INDEX(LEDGER_ENGINE!$G$2:$G$546,$J365))</f>
        <v/>
      </c>
      <c r="E365" s="149" t="str">
        <f aca="false">IFERROR(IF($J365="","",INDEX(LEDGER_ENGINE!$H$2:$H$546,$J365)),"")</f>
        <v/>
      </c>
      <c r="F365" s="150" t="str">
        <f aca="false">IF($J365="","",INDEX(LEDGER_ENGINE!$I$2:$I$546,$J365))</f>
        <v/>
      </c>
      <c r="G365" s="150" t="str">
        <f aca="false">IF($J365="","",INDEX(LEDGER_ENGINE!$J$2:$J$546,$J365))</f>
        <v/>
      </c>
      <c r="H365" s="150" t="str">
        <f aca="false">IF($J365="","",INDEX(LEDGER_ENGINE!$L$2:$L$546,$J365))</f>
        <v/>
      </c>
      <c r="I365" s="150" t="str">
        <f aca="false">IF(A365="","",I364+H365)</f>
        <v/>
      </c>
      <c r="J365" s="101" t="str">
        <f aca="false">IFERROR(MATCH(LIBRI_I_MADH!$B$4&amp;"|"&amp;ROWS($A$6:A365),LEDGER_ENGINE!$U$2:$U$546,0),"")</f>
        <v/>
      </c>
    </row>
    <row r="366" customFormat="false" ht="15" hidden="false" customHeight="true" outlineLevel="0" collapsed="false">
      <c r="A366" s="148" t="str">
        <f aca="false">IF($J366="","",INDEX(LEDGER_ENGINE!$B$2:$B$546,$J366))</f>
        <v/>
      </c>
      <c r="B366" s="149" t="str">
        <f aca="false">IF($J366="","",INDEX(LEDGER_ENGINE!$C$2:$C$546,$J366))</f>
        <v/>
      </c>
      <c r="C366" s="149" t="str">
        <f aca="false">IF($J366="","",INDEX(LEDGER_ENGINE!$D$2:$D$546,$J366))</f>
        <v/>
      </c>
      <c r="D366" s="149" t="str">
        <f aca="false">IF($J366="","",INDEX(LEDGER_ENGINE!$G$2:$G$546,$J366))</f>
        <v/>
      </c>
      <c r="E366" s="149" t="str">
        <f aca="false">IFERROR(IF($J366="","",INDEX(LEDGER_ENGINE!$H$2:$H$546,$J366)),"")</f>
        <v/>
      </c>
      <c r="F366" s="150" t="str">
        <f aca="false">IF($J366="","",INDEX(LEDGER_ENGINE!$I$2:$I$546,$J366))</f>
        <v/>
      </c>
      <c r="G366" s="150" t="str">
        <f aca="false">IF($J366="","",INDEX(LEDGER_ENGINE!$J$2:$J$546,$J366))</f>
        <v/>
      </c>
      <c r="H366" s="150" t="str">
        <f aca="false">IF($J366="","",INDEX(LEDGER_ENGINE!$L$2:$L$546,$J366))</f>
        <v/>
      </c>
      <c r="I366" s="150" t="str">
        <f aca="false">IF(A366="","",I365+H366)</f>
        <v/>
      </c>
      <c r="J366" s="101" t="str">
        <f aca="false">IFERROR(MATCH(LIBRI_I_MADH!$B$4&amp;"|"&amp;ROWS($A$6:A366),LEDGER_ENGINE!$U$2:$U$546,0),"")</f>
        <v/>
      </c>
    </row>
    <row r="367" customFormat="false" ht="15" hidden="false" customHeight="true" outlineLevel="0" collapsed="false">
      <c r="A367" s="148" t="str">
        <f aca="false">IF($J367="","",INDEX(LEDGER_ENGINE!$B$2:$B$546,$J367))</f>
        <v/>
      </c>
      <c r="B367" s="149" t="str">
        <f aca="false">IF($J367="","",INDEX(LEDGER_ENGINE!$C$2:$C$546,$J367))</f>
        <v/>
      </c>
      <c r="C367" s="149" t="str">
        <f aca="false">IF($J367="","",INDEX(LEDGER_ENGINE!$D$2:$D$546,$J367))</f>
        <v/>
      </c>
      <c r="D367" s="149" t="str">
        <f aca="false">IF($J367="","",INDEX(LEDGER_ENGINE!$G$2:$G$546,$J367))</f>
        <v/>
      </c>
      <c r="E367" s="149" t="str">
        <f aca="false">IFERROR(IF($J367="","",INDEX(LEDGER_ENGINE!$H$2:$H$546,$J367)),"")</f>
        <v/>
      </c>
      <c r="F367" s="150" t="str">
        <f aca="false">IF($J367="","",INDEX(LEDGER_ENGINE!$I$2:$I$546,$J367))</f>
        <v/>
      </c>
      <c r="G367" s="150" t="str">
        <f aca="false">IF($J367="","",INDEX(LEDGER_ENGINE!$J$2:$J$546,$J367))</f>
        <v/>
      </c>
      <c r="H367" s="150" t="str">
        <f aca="false">IF($J367="","",INDEX(LEDGER_ENGINE!$L$2:$L$546,$J367))</f>
        <v/>
      </c>
      <c r="I367" s="150" t="str">
        <f aca="false">IF(A367="","",I366+H367)</f>
        <v/>
      </c>
      <c r="J367" s="101" t="str">
        <f aca="false">IFERROR(MATCH(LIBRI_I_MADH!$B$4&amp;"|"&amp;ROWS($A$6:A367),LEDGER_ENGINE!$U$2:$U$546,0),"")</f>
        <v/>
      </c>
    </row>
    <row r="368" customFormat="false" ht="15" hidden="false" customHeight="true" outlineLevel="0" collapsed="false">
      <c r="A368" s="148" t="str">
        <f aca="false">IF($J368="","",INDEX(LEDGER_ENGINE!$B$2:$B$546,$J368))</f>
        <v/>
      </c>
      <c r="B368" s="149" t="str">
        <f aca="false">IF($J368="","",INDEX(LEDGER_ENGINE!$C$2:$C$546,$J368))</f>
        <v/>
      </c>
      <c r="C368" s="149" t="str">
        <f aca="false">IF($J368="","",INDEX(LEDGER_ENGINE!$D$2:$D$546,$J368))</f>
        <v/>
      </c>
      <c r="D368" s="149" t="str">
        <f aca="false">IF($J368="","",INDEX(LEDGER_ENGINE!$G$2:$G$546,$J368))</f>
        <v/>
      </c>
      <c r="E368" s="149" t="str">
        <f aca="false">IFERROR(IF($J368="","",INDEX(LEDGER_ENGINE!$H$2:$H$546,$J368)),"")</f>
        <v/>
      </c>
      <c r="F368" s="150" t="str">
        <f aca="false">IF($J368="","",INDEX(LEDGER_ENGINE!$I$2:$I$546,$J368))</f>
        <v/>
      </c>
      <c r="G368" s="150" t="str">
        <f aca="false">IF($J368="","",INDEX(LEDGER_ENGINE!$J$2:$J$546,$J368))</f>
        <v/>
      </c>
      <c r="H368" s="150" t="str">
        <f aca="false">IF($J368="","",INDEX(LEDGER_ENGINE!$L$2:$L$546,$J368))</f>
        <v/>
      </c>
      <c r="I368" s="150" t="str">
        <f aca="false">IF(A368="","",I367+H368)</f>
        <v/>
      </c>
      <c r="J368" s="101" t="str">
        <f aca="false">IFERROR(MATCH(LIBRI_I_MADH!$B$4&amp;"|"&amp;ROWS($A$6:A368),LEDGER_ENGINE!$U$2:$U$546,0),"")</f>
        <v/>
      </c>
    </row>
    <row r="369" customFormat="false" ht="15" hidden="false" customHeight="true" outlineLevel="0" collapsed="false">
      <c r="A369" s="148" t="str">
        <f aca="false">IF($J369="","",INDEX(LEDGER_ENGINE!$B$2:$B$546,$J369))</f>
        <v/>
      </c>
      <c r="B369" s="149" t="str">
        <f aca="false">IF($J369="","",INDEX(LEDGER_ENGINE!$C$2:$C$546,$J369))</f>
        <v/>
      </c>
      <c r="C369" s="149" t="str">
        <f aca="false">IF($J369="","",INDEX(LEDGER_ENGINE!$D$2:$D$546,$J369))</f>
        <v/>
      </c>
      <c r="D369" s="149" t="str">
        <f aca="false">IF($J369="","",INDEX(LEDGER_ENGINE!$G$2:$G$546,$J369))</f>
        <v/>
      </c>
      <c r="E369" s="149" t="str">
        <f aca="false">IFERROR(IF($J369="","",INDEX(LEDGER_ENGINE!$H$2:$H$546,$J369)),"")</f>
        <v/>
      </c>
      <c r="F369" s="150" t="str">
        <f aca="false">IF($J369="","",INDEX(LEDGER_ENGINE!$I$2:$I$546,$J369))</f>
        <v/>
      </c>
      <c r="G369" s="150" t="str">
        <f aca="false">IF($J369="","",INDEX(LEDGER_ENGINE!$J$2:$J$546,$J369))</f>
        <v/>
      </c>
      <c r="H369" s="150" t="str">
        <f aca="false">IF($J369="","",INDEX(LEDGER_ENGINE!$L$2:$L$546,$J369))</f>
        <v/>
      </c>
      <c r="I369" s="150" t="str">
        <f aca="false">IF(A369="","",I368+H369)</f>
        <v/>
      </c>
      <c r="J369" s="101" t="str">
        <f aca="false">IFERROR(MATCH(LIBRI_I_MADH!$B$4&amp;"|"&amp;ROWS($A$6:A369),LEDGER_ENGINE!$U$2:$U$546,0),"")</f>
        <v/>
      </c>
    </row>
    <row r="370" customFormat="false" ht="15" hidden="false" customHeight="true" outlineLevel="0" collapsed="false">
      <c r="A370" s="148" t="str">
        <f aca="false">IF($J370="","",INDEX(LEDGER_ENGINE!$B$2:$B$546,$J370))</f>
        <v/>
      </c>
      <c r="B370" s="149" t="str">
        <f aca="false">IF($J370="","",INDEX(LEDGER_ENGINE!$C$2:$C$546,$J370))</f>
        <v/>
      </c>
      <c r="C370" s="149" t="str">
        <f aca="false">IF($J370="","",INDEX(LEDGER_ENGINE!$D$2:$D$546,$J370))</f>
        <v/>
      </c>
      <c r="D370" s="149" t="str">
        <f aca="false">IF($J370="","",INDEX(LEDGER_ENGINE!$G$2:$G$546,$J370))</f>
        <v/>
      </c>
      <c r="E370" s="149" t="str">
        <f aca="false">IFERROR(IF($J370="","",INDEX(LEDGER_ENGINE!$H$2:$H$546,$J370)),"")</f>
        <v/>
      </c>
      <c r="F370" s="150" t="str">
        <f aca="false">IF($J370="","",INDEX(LEDGER_ENGINE!$I$2:$I$546,$J370))</f>
        <v/>
      </c>
      <c r="G370" s="150" t="str">
        <f aca="false">IF($J370="","",INDEX(LEDGER_ENGINE!$J$2:$J$546,$J370))</f>
        <v/>
      </c>
      <c r="H370" s="150" t="str">
        <f aca="false">IF($J370="","",INDEX(LEDGER_ENGINE!$L$2:$L$546,$J370))</f>
        <v/>
      </c>
      <c r="I370" s="150" t="str">
        <f aca="false">IF(A370="","",I369+H370)</f>
        <v/>
      </c>
      <c r="J370" s="101" t="str">
        <f aca="false">IFERROR(MATCH(LIBRI_I_MADH!$B$4&amp;"|"&amp;ROWS($A$6:A370),LEDGER_ENGINE!$U$2:$U$546,0),"")</f>
        <v/>
      </c>
    </row>
    <row r="371" customFormat="false" ht="15" hidden="false" customHeight="true" outlineLevel="0" collapsed="false">
      <c r="A371" s="148" t="str">
        <f aca="false">IF($J371="","",INDEX(LEDGER_ENGINE!$B$2:$B$546,$J371))</f>
        <v/>
      </c>
      <c r="B371" s="149" t="str">
        <f aca="false">IF($J371="","",INDEX(LEDGER_ENGINE!$C$2:$C$546,$J371))</f>
        <v/>
      </c>
      <c r="C371" s="149" t="str">
        <f aca="false">IF($J371="","",INDEX(LEDGER_ENGINE!$D$2:$D$546,$J371))</f>
        <v/>
      </c>
      <c r="D371" s="149" t="str">
        <f aca="false">IF($J371="","",INDEX(LEDGER_ENGINE!$G$2:$G$546,$J371))</f>
        <v/>
      </c>
      <c r="E371" s="149" t="str">
        <f aca="false">IFERROR(IF($J371="","",INDEX(LEDGER_ENGINE!$H$2:$H$546,$J371)),"")</f>
        <v/>
      </c>
      <c r="F371" s="150" t="str">
        <f aca="false">IF($J371="","",INDEX(LEDGER_ENGINE!$I$2:$I$546,$J371))</f>
        <v/>
      </c>
      <c r="G371" s="150" t="str">
        <f aca="false">IF($J371="","",INDEX(LEDGER_ENGINE!$J$2:$J$546,$J371))</f>
        <v/>
      </c>
      <c r="H371" s="150" t="str">
        <f aca="false">IF($J371="","",INDEX(LEDGER_ENGINE!$L$2:$L$546,$J371))</f>
        <v/>
      </c>
      <c r="I371" s="150" t="str">
        <f aca="false">IF(A371="","",I370+H371)</f>
        <v/>
      </c>
      <c r="J371" s="101" t="str">
        <f aca="false">IFERROR(MATCH(LIBRI_I_MADH!$B$4&amp;"|"&amp;ROWS($A$6:A371),LEDGER_ENGINE!$U$2:$U$546,0),"")</f>
        <v/>
      </c>
    </row>
    <row r="372" customFormat="false" ht="15" hidden="false" customHeight="true" outlineLevel="0" collapsed="false">
      <c r="A372" s="148" t="str">
        <f aca="false">IF($J372="","",INDEX(LEDGER_ENGINE!$B$2:$B$546,$J372))</f>
        <v/>
      </c>
      <c r="B372" s="149" t="str">
        <f aca="false">IF($J372="","",INDEX(LEDGER_ENGINE!$C$2:$C$546,$J372))</f>
        <v/>
      </c>
      <c r="C372" s="149" t="str">
        <f aca="false">IF($J372="","",INDEX(LEDGER_ENGINE!$D$2:$D$546,$J372))</f>
        <v/>
      </c>
      <c r="D372" s="149" t="str">
        <f aca="false">IF($J372="","",INDEX(LEDGER_ENGINE!$G$2:$G$546,$J372))</f>
        <v/>
      </c>
      <c r="E372" s="149" t="str">
        <f aca="false">IFERROR(IF($J372="","",INDEX(LEDGER_ENGINE!$H$2:$H$546,$J372)),"")</f>
        <v/>
      </c>
      <c r="F372" s="150" t="str">
        <f aca="false">IF($J372="","",INDEX(LEDGER_ENGINE!$I$2:$I$546,$J372))</f>
        <v/>
      </c>
      <c r="G372" s="150" t="str">
        <f aca="false">IF($J372="","",INDEX(LEDGER_ENGINE!$J$2:$J$546,$J372))</f>
        <v/>
      </c>
      <c r="H372" s="150" t="str">
        <f aca="false">IF($J372="","",INDEX(LEDGER_ENGINE!$L$2:$L$546,$J372))</f>
        <v/>
      </c>
      <c r="I372" s="150" t="str">
        <f aca="false">IF(A372="","",I371+H372)</f>
        <v/>
      </c>
      <c r="J372" s="101" t="str">
        <f aca="false">IFERROR(MATCH(LIBRI_I_MADH!$B$4&amp;"|"&amp;ROWS($A$6:A372),LEDGER_ENGINE!$U$2:$U$546,0),"")</f>
        <v/>
      </c>
    </row>
    <row r="373" customFormat="false" ht="15" hidden="false" customHeight="true" outlineLevel="0" collapsed="false">
      <c r="A373" s="148" t="str">
        <f aca="false">IF($J373="","",INDEX(LEDGER_ENGINE!$B$2:$B$546,$J373))</f>
        <v/>
      </c>
      <c r="B373" s="149" t="str">
        <f aca="false">IF($J373="","",INDEX(LEDGER_ENGINE!$C$2:$C$546,$J373))</f>
        <v/>
      </c>
      <c r="C373" s="149" t="str">
        <f aca="false">IF($J373="","",INDEX(LEDGER_ENGINE!$D$2:$D$546,$J373))</f>
        <v/>
      </c>
      <c r="D373" s="149" t="str">
        <f aca="false">IF($J373="","",INDEX(LEDGER_ENGINE!$G$2:$G$546,$J373))</f>
        <v/>
      </c>
      <c r="E373" s="149" t="str">
        <f aca="false">IFERROR(IF($J373="","",INDEX(LEDGER_ENGINE!$H$2:$H$546,$J373)),"")</f>
        <v/>
      </c>
      <c r="F373" s="150" t="str">
        <f aca="false">IF($J373="","",INDEX(LEDGER_ENGINE!$I$2:$I$546,$J373))</f>
        <v/>
      </c>
      <c r="G373" s="150" t="str">
        <f aca="false">IF($J373="","",INDEX(LEDGER_ENGINE!$J$2:$J$546,$J373))</f>
        <v/>
      </c>
      <c r="H373" s="150" t="str">
        <f aca="false">IF($J373="","",INDEX(LEDGER_ENGINE!$L$2:$L$546,$J373))</f>
        <v/>
      </c>
      <c r="I373" s="150" t="str">
        <f aca="false">IF(A373="","",I372+H373)</f>
        <v/>
      </c>
      <c r="J373" s="101" t="str">
        <f aca="false">IFERROR(MATCH(LIBRI_I_MADH!$B$4&amp;"|"&amp;ROWS($A$6:A373),LEDGER_ENGINE!$U$2:$U$546,0),"")</f>
        <v/>
      </c>
    </row>
    <row r="374" customFormat="false" ht="15" hidden="false" customHeight="true" outlineLevel="0" collapsed="false">
      <c r="A374" s="148" t="str">
        <f aca="false">IF($J374="","",INDEX(LEDGER_ENGINE!$B$2:$B$546,$J374))</f>
        <v/>
      </c>
      <c r="B374" s="149" t="str">
        <f aca="false">IF($J374="","",INDEX(LEDGER_ENGINE!$C$2:$C$546,$J374))</f>
        <v/>
      </c>
      <c r="C374" s="149" t="str">
        <f aca="false">IF($J374="","",INDEX(LEDGER_ENGINE!$D$2:$D$546,$J374))</f>
        <v/>
      </c>
      <c r="D374" s="149" t="str">
        <f aca="false">IF($J374="","",INDEX(LEDGER_ENGINE!$G$2:$G$546,$J374))</f>
        <v/>
      </c>
      <c r="E374" s="149" t="str">
        <f aca="false">IFERROR(IF($J374="","",INDEX(LEDGER_ENGINE!$H$2:$H$546,$J374)),"")</f>
        <v/>
      </c>
      <c r="F374" s="150" t="str">
        <f aca="false">IF($J374="","",INDEX(LEDGER_ENGINE!$I$2:$I$546,$J374))</f>
        <v/>
      </c>
      <c r="G374" s="150" t="str">
        <f aca="false">IF($J374="","",INDEX(LEDGER_ENGINE!$J$2:$J$546,$J374))</f>
        <v/>
      </c>
      <c r="H374" s="150" t="str">
        <f aca="false">IF($J374="","",INDEX(LEDGER_ENGINE!$L$2:$L$546,$J374))</f>
        <v/>
      </c>
      <c r="I374" s="150" t="str">
        <f aca="false">IF(A374="","",I373+H374)</f>
        <v/>
      </c>
      <c r="J374" s="101" t="str">
        <f aca="false">IFERROR(MATCH(LIBRI_I_MADH!$B$4&amp;"|"&amp;ROWS($A$6:A374),LEDGER_ENGINE!$U$2:$U$546,0),"")</f>
        <v/>
      </c>
    </row>
    <row r="375" customFormat="false" ht="15" hidden="false" customHeight="true" outlineLevel="0" collapsed="false">
      <c r="A375" s="148" t="str">
        <f aca="false">IF($J375="","",INDEX(LEDGER_ENGINE!$B$2:$B$546,$J375))</f>
        <v/>
      </c>
      <c r="B375" s="149" t="str">
        <f aca="false">IF($J375="","",INDEX(LEDGER_ENGINE!$C$2:$C$546,$J375))</f>
        <v/>
      </c>
      <c r="C375" s="149" t="str">
        <f aca="false">IF($J375="","",INDEX(LEDGER_ENGINE!$D$2:$D$546,$J375))</f>
        <v/>
      </c>
      <c r="D375" s="149" t="str">
        <f aca="false">IF($J375="","",INDEX(LEDGER_ENGINE!$G$2:$G$546,$J375))</f>
        <v/>
      </c>
      <c r="E375" s="149" t="str">
        <f aca="false">IFERROR(IF($J375="","",INDEX(LEDGER_ENGINE!$H$2:$H$546,$J375)),"")</f>
        <v/>
      </c>
      <c r="F375" s="150" t="str">
        <f aca="false">IF($J375="","",INDEX(LEDGER_ENGINE!$I$2:$I$546,$J375))</f>
        <v/>
      </c>
      <c r="G375" s="150" t="str">
        <f aca="false">IF($J375="","",INDEX(LEDGER_ENGINE!$J$2:$J$546,$J375))</f>
        <v/>
      </c>
      <c r="H375" s="150" t="str">
        <f aca="false">IF($J375="","",INDEX(LEDGER_ENGINE!$L$2:$L$546,$J375))</f>
        <v/>
      </c>
      <c r="I375" s="150" t="str">
        <f aca="false">IF(A375="","",I374+H375)</f>
        <v/>
      </c>
      <c r="J375" s="101" t="str">
        <f aca="false">IFERROR(MATCH(LIBRI_I_MADH!$B$4&amp;"|"&amp;ROWS($A$6:A375),LEDGER_ENGINE!$U$2:$U$546,0),"")</f>
        <v/>
      </c>
    </row>
    <row r="376" customFormat="false" ht="15" hidden="false" customHeight="true" outlineLevel="0" collapsed="false">
      <c r="A376" s="148" t="str">
        <f aca="false">IF($J376="","",INDEX(LEDGER_ENGINE!$B$2:$B$546,$J376))</f>
        <v/>
      </c>
      <c r="B376" s="149" t="str">
        <f aca="false">IF($J376="","",INDEX(LEDGER_ENGINE!$C$2:$C$546,$J376))</f>
        <v/>
      </c>
      <c r="C376" s="149" t="str">
        <f aca="false">IF($J376="","",INDEX(LEDGER_ENGINE!$D$2:$D$546,$J376))</f>
        <v/>
      </c>
      <c r="D376" s="149" t="str">
        <f aca="false">IF($J376="","",INDEX(LEDGER_ENGINE!$G$2:$G$546,$J376))</f>
        <v/>
      </c>
      <c r="E376" s="149" t="str">
        <f aca="false">IFERROR(IF($J376="","",INDEX(LEDGER_ENGINE!$H$2:$H$546,$J376)),"")</f>
        <v/>
      </c>
      <c r="F376" s="150" t="str">
        <f aca="false">IF($J376="","",INDEX(LEDGER_ENGINE!$I$2:$I$546,$J376))</f>
        <v/>
      </c>
      <c r="G376" s="150" t="str">
        <f aca="false">IF($J376="","",INDEX(LEDGER_ENGINE!$J$2:$J$546,$J376))</f>
        <v/>
      </c>
      <c r="H376" s="150" t="str">
        <f aca="false">IF($J376="","",INDEX(LEDGER_ENGINE!$L$2:$L$546,$J376))</f>
        <v/>
      </c>
      <c r="I376" s="150" t="str">
        <f aca="false">IF(A376="","",I375+H376)</f>
        <v/>
      </c>
      <c r="J376" s="101" t="str">
        <f aca="false">IFERROR(MATCH(LIBRI_I_MADH!$B$4&amp;"|"&amp;ROWS($A$6:A376),LEDGER_ENGINE!$U$2:$U$546,0),"")</f>
        <v/>
      </c>
    </row>
    <row r="377" customFormat="false" ht="15" hidden="false" customHeight="true" outlineLevel="0" collapsed="false">
      <c r="A377" s="148" t="str">
        <f aca="false">IF($J377="","",INDEX(LEDGER_ENGINE!$B$2:$B$546,$J377))</f>
        <v/>
      </c>
      <c r="B377" s="149" t="str">
        <f aca="false">IF($J377="","",INDEX(LEDGER_ENGINE!$C$2:$C$546,$J377))</f>
        <v/>
      </c>
      <c r="C377" s="149" t="str">
        <f aca="false">IF($J377="","",INDEX(LEDGER_ENGINE!$D$2:$D$546,$J377))</f>
        <v/>
      </c>
      <c r="D377" s="149" t="str">
        <f aca="false">IF($J377="","",INDEX(LEDGER_ENGINE!$G$2:$G$546,$J377))</f>
        <v/>
      </c>
      <c r="E377" s="149" t="str">
        <f aca="false">IFERROR(IF($J377="","",INDEX(LEDGER_ENGINE!$H$2:$H$546,$J377)),"")</f>
        <v/>
      </c>
      <c r="F377" s="150" t="str">
        <f aca="false">IF($J377="","",INDEX(LEDGER_ENGINE!$I$2:$I$546,$J377))</f>
        <v/>
      </c>
      <c r="G377" s="150" t="str">
        <f aca="false">IF($J377="","",INDEX(LEDGER_ENGINE!$J$2:$J$546,$J377))</f>
        <v/>
      </c>
      <c r="H377" s="150" t="str">
        <f aca="false">IF($J377="","",INDEX(LEDGER_ENGINE!$L$2:$L$546,$J377))</f>
        <v/>
      </c>
      <c r="I377" s="150" t="str">
        <f aca="false">IF(A377="","",I376+H377)</f>
        <v/>
      </c>
      <c r="J377" s="101" t="str">
        <f aca="false">IFERROR(MATCH(LIBRI_I_MADH!$B$4&amp;"|"&amp;ROWS($A$6:A377),LEDGER_ENGINE!$U$2:$U$546,0),"")</f>
        <v/>
      </c>
    </row>
    <row r="378" customFormat="false" ht="15" hidden="false" customHeight="true" outlineLevel="0" collapsed="false">
      <c r="A378" s="148" t="str">
        <f aca="false">IF($J378="","",INDEX(LEDGER_ENGINE!$B$2:$B$546,$J378))</f>
        <v/>
      </c>
      <c r="B378" s="149" t="str">
        <f aca="false">IF($J378="","",INDEX(LEDGER_ENGINE!$C$2:$C$546,$J378))</f>
        <v/>
      </c>
      <c r="C378" s="149" t="str">
        <f aca="false">IF($J378="","",INDEX(LEDGER_ENGINE!$D$2:$D$546,$J378))</f>
        <v/>
      </c>
      <c r="D378" s="149" t="str">
        <f aca="false">IF($J378="","",INDEX(LEDGER_ENGINE!$G$2:$G$546,$J378))</f>
        <v/>
      </c>
      <c r="E378" s="149" t="str">
        <f aca="false">IFERROR(IF($J378="","",INDEX(LEDGER_ENGINE!$H$2:$H$546,$J378)),"")</f>
        <v/>
      </c>
      <c r="F378" s="150" t="str">
        <f aca="false">IF($J378="","",INDEX(LEDGER_ENGINE!$I$2:$I$546,$J378))</f>
        <v/>
      </c>
      <c r="G378" s="150" t="str">
        <f aca="false">IF($J378="","",INDEX(LEDGER_ENGINE!$J$2:$J$546,$J378))</f>
        <v/>
      </c>
      <c r="H378" s="150" t="str">
        <f aca="false">IF($J378="","",INDEX(LEDGER_ENGINE!$L$2:$L$546,$J378))</f>
        <v/>
      </c>
      <c r="I378" s="150" t="str">
        <f aca="false">IF(A378="","",I377+H378)</f>
        <v/>
      </c>
      <c r="J378" s="101" t="str">
        <f aca="false">IFERROR(MATCH(LIBRI_I_MADH!$B$4&amp;"|"&amp;ROWS($A$6:A378),LEDGER_ENGINE!$U$2:$U$546,0),"")</f>
        <v/>
      </c>
    </row>
    <row r="379" customFormat="false" ht="15" hidden="false" customHeight="true" outlineLevel="0" collapsed="false">
      <c r="A379" s="148" t="str">
        <f aca="false">IF($J379="","",INDEX(LEDGER_ENGINE!$B$2:$B$546,$J379))</f>
        <v/>
      </c>
      <c r="B379" s="149" t="str">
        <f aca="false">IF($J379="","",INDEX(LEDGER_ENGINE!$C$2:$C$546,$J379))</f>
        <v/>
      </c>
      <c r="C379" s="149" t="str">
        <f aca="false">IF($J379="","",INDEX(LEDGER_ENGINE!$D$2:$D$546,$J379))</f>
        <v/>
      </c>
      <c r="D379" s="149" t="str">
        <f aca="false">IF($J379="","",INDEX(LEDGER_ENGINE!$G$2:$G$546,$J379))</f>
        <v/>
      </c>
      <c r="E379" s="149" t="str">
        <f aca="false">IFERROR(IF($J379="","",INDEX(LEDGER_ENGINE!$H$2:$H$546,$J379)),"")</f>
        <v/>
      </c>
      <c r="F379" s="150" t="str">
        <f aca="false">IF($J379="","",INDEX(LEDGER_ENGINE!$I$2:$I$546,$J379))</f>
        <v/>
      </c>
      <c r="G379" s="150" t="str">
        <f aca="false">IF($J379="","",INDEX(LEDGER_ENGINE!$J$2:$J$546,$J379))</f>
        <v/>
      </c>
      <c r="H379" s="150" t="str">
        <f aca="false">IF($J379="","",INDEX(LEDGER_ENGINE!$L$2:$L$546,$J379))</f>
        <v/>
      </c>
      <c r="I379" s="150" t="str">
        <f aca="false">IF(A379="","",I378+H379)</f>
        <v/>
      </c>
      <c r="J379" s="101" t="str">
        <f aca="false">IFERROR(MATCH(LIBRI_I_MADH!$B$4&amp;"|"&amp;ROWS($A$6:A379),LEDGER_ENGINE!$U$2:$U$546,0),"")</f>
        <v/>
      </c>
    </row>
    <row r="380" customFormat="false" ht="15" hidden="false" customHeight="true" outlineLevel="0" collapsed="false">
      <c r="A380" s="148" t="str">
        <f aca="false">IF($J380="","",INDEX(LEDGER_ENGINE!$B$2:$B$546,$J380))</f>
        <v/>
      </c>
      <c r="B380" s="149" t="str">
        <f aca="false">IF($J380="","",INDEX(LEDGER_ENGINE!$C$2:$C$546,$J380))</f>
        <v/>
      </c>
      <c r="C380" s="149" t="str">
        <f aca="false">IF($J380="","",INDEX(LEDGER_ENGINE!$D$2:$D$546,$J380))</f>
        <v/>
      </c>
      <c r="D380" s="149" t="str">
        <f aca="false">IF($J380="","",INDEX(LEDGER_ENGINE!$G$2:$G$546,$J380))</f>
        <v/>
      </c>
      <c r="E380" s="149" t="str">
        <f aca="false">IFERROR(IF($J380="","",INDEX(LEDGER_ENGINE!$H$2:$H$546,$J380)),"")</f>
        <v/>
      </c>
      <c r="F380" s="150" t="str">
        <f aca="false">IF($J380="","",INDEX(LEDGER_ENGINE!$I$2:$I$546,$J380))</f>
        <v/>
      </c>
      <c r="G380" s="150" t="str">
        <f aca="false">IF($J380="","",INDEX(LEDGER_ENGINE!$J$2:$J$546,$J380))</f>
        <v/>
      </c>
      <c r="H380" s="150" t="str">
        <f aca="false">IF($J380="","",INDEX(LEDGER_ENGINE!$L$2:$L$546,$J380))</f>
        <v/>
      </c>
      <c r="I380" s="150" t="str">
        <f aca="false">IF(A380="","",I379+H380)</f>
        <v/>
      </c>
      <c r="J380" s="101" t="str">
        <f aca="false">IFERROR(MATCH(LIBRI_I_MADH!$B$4&amp;"|"&amp;ROWS($A$6:A380),LEDGER_ENGINE!$U$2:$U$546,0),"")</f>
        <v/>
      </c>
    </row>
    <row r="381" customFormat="false" ht="15" hidden="false" customHeight="true" outlineLevel="0" collapsed="false">
      <c r="A381" s="148" t="str">
        <f aca="false">IF($J381="","",INDEX(LEDGER_ENGINE!$B$2:$B$546,$J381))</f>
        <v/>
      </c>
      <c r="B381" s="149" t="str">
        <f aca="false">IF($J381="","",INDEX(LEDGER_ENGINE!$C$2:$C$546,$J381))</f>
        <v/>
      </c>
      <c r="C381" s="149" t="str">
        <f aca="false">IF($J381="","",INDEX(LEDGER_ENGINE!$D$2:$D$546,$J381))</f>
        <v/>
      </c>
      <c r="D381" s="149" t="str">
        <f aca="false">IF($J381="","",INDEX(LEDGER_ENGINE!$G$2:$G$546,$J381))</f>
        <v/>
      </c>
      <c r="E381" s="149" t="str">
        <f aca="false">IFERROR(IF($J381="","",INDEX(LEDGER_ENGINE!$H$2:$H$546,$J381)),"")</f>
        <v/>
      </c>
      <c r="F381" s="150" t="str">
        <f aca="false">IF($J381="","",INDEX(LEDGER_ENGINE!$I$2:$I$546,$J381))</f>
        <v/>
      </c>
      <c r="G381" s="150" t="str">
        <f aca="false">IF($J381="","",INDEX(LEDGER_ENGINE!$J$2:$J$546,$J381))</f>
        <v/>
      </c>
      <c r="H381" s="150" t="str">
        <f aca="false">IF($J381="","",INDEX(LEDGER_ENGINE!$L$2:$L$546,$J381))</f>
        <v/>
      </c>
      <c r="I381" s="150" t="str">
        <f aca="false">IF(A381="","",I380+H381)</f>
        <v/>
      </c>
      <c r="J381" s="101" t="str">
        <f aca="false">IFERROR(MATCH(LIBRI_I_MADH!$B$4&amp;"|"&amp;ROWS($A$6:A381),LEDGER_ENGINE!$U$2:$U$546,0),"")</f>
        <v/>
      </c>
    </row>
    <row r="382" customFormat="false" ht="15" hidden="false" customHeight="true" outlineLevel="0" collapsed="false">
      <c r="A382" s="148" t="str">
        <f aca="false">IF($J382="","",INDEX(LEDGER_ENGINE!$B$2:$B$546,$J382))</f>
        <v/>
      </c>
      <c r="B382" s="149" t="str">
        <f aca="false">IF($J382="","",INDEX(LEDGER_ENGINE!$C$2:$C$546,$J382))</f>
        <v/>
      </c>
      <c r="C382" s="149" t="str">
        <f aca="false">IF($J382="","",INDEX(LEDGER_ENGINE!$D$2:$D$546,$J382))</f>
        <v/>
      </c>
      <c r="D382" s="149" t="str">
        <f aca="false">IF($J382="","",INDEX(LEDGER_ENGINE!$G$2:$G$546,$J382))</f>
        <v/>
      </c>
      <c r="E382" s="149" t="str">
        <f aca="false">IFERROR(IF($J382="","",INDEX(LEDGER_ENGINE!$H$2:$H$546,$J382)),"")</f>
        <v/>
      </c>
      <c r="F382" s="150" t="str">
        <f aca="false">IF($J382="","",INDEX(LEDGER_ENGINE!$I$2:$I$546,$J382))</f>
        <v/>
      </c>
      <c r="G382" s="150" t="str">
        <f aca="false">IF($J382="","",INDEX(LEDGER_ENGINE!$J$2:$J$546,$J382))</f>
        <v/>
      </c>
      <c r="H382" s="150" t="str">
        <f aca="false">IF($J382="","",INDEX(LEDGER_ENGINE!$L$2:$L$546,$J382))</f>
        <v/>
      </c>
      <c r="I382" s="150" t="str">
        <f aca="false">IF(A382="","",I381+H382)</f>
        <v/>
      </c>
      <c r="J382" s="101" t="str">
        <f aca="false">IFERROR(MATCH(LIBRI_I_MADH!$B$4&amp;"|"&amp;ROWS($A$6:A382),LEDGER_ENGINE!$U$2:$U$546,0),"")</f>
        <v/>
      </c>
    </row>
    <row r="383" customFormat="false" ht="15" hidden="false" customHeight="true" outlineLevel="0" collapsed="false">
      <c r="A383" s="148" t="str">
        <f aca="false">IF($J383="","",INDEX(LEDGER_ENGINE!$B$2:$B$546,$J383))</f>
        <v/>
      </c>
      <c r="B383" s="149" t="str">
        <f aca="false">IF($J383="","",INDEX(LEDGER_ENGINE!$C$2:$C$546,$J383))</f>
        <v/>
      </c>
      <c r="C383" s="149" t="str">
        <f aca="false">IF($J383="","",INDEX(LEDGER_ENGINE!$D$2:$D$546,$J383))</f>
        <v/>
      </c>
      <c r="D383" s="149" t="str">
        <f aca="false">IF($J383="","",INDEX(LEDGER_ENGINE!$G$2:$G$546,$J383))</f>
        <v/>
      </c>
      <c r="E383" s="149" t="str">
        <f aca="false">IFERROR(IF($J383="","",INDEX(LEDGER_ENGINE!$H$2:$H$546,$J383)),"")</f>
        <v/>
      </c>
      <c r="F383" s="150" t="str">
        <f aca="false">IF($J383="","",INDEX(LEDGER_ENGINE!$I$2:$I$546,$J383))</f>
        <v/>
      </c>
      <c r="G383" s="150" t="str">
        <f aca="false">IF($J383="","",INDEX(LEDGER_ENGINE!$J$2:$J$546,$J383))</f>
        <v/>
      </c>
      <c r="H383" s="150" t="str">
        <f aca="false">IF($J383="","",INDEX(LEDGER_ENGINE!$L$2:$L$546,$J383))</f>
        <v/>
      </c>
      <c r="I383" s="150" t="str">
        <f aca="false">IF(A383="","",I382+H383)</f>
        <v/>
      </c>
      <c r="J383" s="101" t="str">
        <f aca="false">IFERROR(MATCH(LIBRI_I_MADH!$B$4&amp;"|"&amp;ROWS($A$6:A383),LEDGER_ENGINE!$U$2:$U$546,0),"")</f>
        <v/>
      </c>
    </row>
    <row r="384" customFormat="false" ht="15" hidden="false" customHeight="true" outlineLevel="0" collapsed="false">
      <c r="A384" s="148" t="str">
        <f aca="false">IF($J384="","",INDEX(LEDGER_ENGINE!$B$2:$B$546,$J384))</f>
        <v/>
      </c>
      <c r="B384" s="149" t="str">
        <f aca="false">IF($J384="","",INDEX(LEDGER_ENGINE!$C$2:$C$546,$J384))</f>
        <v/>
      </c>
      <c r="C384" s="149" t="str">
        <f aca="false">IF($J384="","",INDEX(LEDGER_ENGINE!$D$2:$D$546,$J384))</f>
        <v/>
      </c>
      <c r="D384" s="149" t="str">
        <f aca="false">IF($J384="","",INDEX(LEDGER_ENGINE!$G$2:$G$546,$J384))</f>
        <v/>
      </c>
      <c r="E384" s="149" t="str">
        <f aca="false">IFERROR(IF($J384="","",INDEX(LEDGER_ENGINE!$H$2:$H$546,$J384)),"")</f>
        <v/>
      </c>
      <c r="F384" s="150" t="str">
        <f aca="false">IF($J384="","",INDEX(LEDGER_ENGINE!$I$2:$I$546,$J384))</f>
        <v/>
      </c>
      <c r="G384" s="150" t="str">
        <f aca="false">IF($J384="","",INDEX(LEDGER_ENGINE!$J$2:$J$546,$J384))</f>
        <v/>
      </c>
      <c r="H384" s="150" t="str">
        <f aca="false">IF($J384="","",INDEX(LEDGER_ENGINE!$L$2:$L$546,$J384))</f>
        <v/>
      </c>
      <c r="I384" s="150" t="str">
        <f aca="false">IF(A384="","",I383+H384)</f>
        <v/>
      </c>
      <c r="J384" s="101" t="str">
        <f aca="false">IFERROR(MATCH(LIBRI_I_MADH!$B$4&amp;"|"&amp;ROWS($A$6:A384),LEDGER_ENGINE!$U$2:$U$546,0),"")</f>
        <v/>
      </c>
    </row>
    <row r="385" customFormat="false" ht="15" hidden="false" customHeight="true" outlineLevel="0" collapsed="false">
      <c r="A385" s="148" t="str">
        <f aca="false">IF($J385="","",INDEX(LEDGER_ENGINE!$B$2:$B$546,$J385))</f>
        <v/>
      </c>
      <c r="B385" s="149" t="str">
        <f aca="false">IF($J385="","",INDEX(LEDGER_ENGINE!$C$2:$C$546,$J385))</f>
        <v/>
      </c>
      <c r="C385" s="149" t="str">
        <f aca="false">IF($J385="","",INDEX(LEDGER_ENGINE!$D$2:$D$546,$J385))</f>
        <v/>
      </c>
      <c r="D385" s="149" t="str">
        <f aca="false">IF($J385="","",INDEX(LEDGER_ENGINE!$G$2:$G$546,$J385))</f>
        <v/>
      </c>
      <c r="E385" s="149" t="str">
        <f aca="false">IFERROR(IF($J385="","",INDEX(LEDGER_ENGINE!$H$2:$H$546,$J385)),"")</f>
        <v/>
      </c>
      <c r="F385" s="150" t="str">
        <f aca="false">IF($J385="","",INDEX(LEDGER_ENGINE!$I$2:$I$546,$J385))</f>
        <v/>
      </c>
      <c r="G385" s="150" t="str">
        <f aca="false">IF($J385="","",INDEX(LEDGER_ENGINE!$J$2:$J$546,$J385))</f>
        <v/>
      </c>
      <c r="H385" s="150" t="str">
        <f aca="false">IF($J385="","",INDEX(LEDGER_ENGINE!$L$2:$L$546,$J385))</f>
        <v/>
      </c>
      <c r="I385" s="150" t="str">
        <f aca="false">IF(A385="","",I384+H385)</f>
        <v/>
      </c>
      <c r="J385" s="101" t="str">
        <f aca="false">IFERROR(MATCH(LIBRI_I_MADH!$B$4&amp;"|"&amp;ROWS($A$6:A385),LEDGER_ENGINE!$U$2:$U$546,0),"")</f>
        <v/>
      </c>
    </row>
    <row r="386" customFormat="false" ht="15" hidden="false" customHeight="true" outlineLevel="0" collapsed="false">
      <c r="A386" s="148" t="str">
        <f aca="false">IF($J386="","",INDEX(LEDGER_ENGINE!$B$2:$B$546,$J386))</f>
        <v/>
      </c>
      <c r="B386" s="149" t="str">
        <f aca="false">IF($J386="","",INDEX(LEDGER_ENGINE!$C$2:$C$546,$J386))</f>
        <v/>
      </c>
      <c r="C386" s="149" t="str">
        <f aca="false">IF($J386="","",INDEX(LEDGER_ENGINE!$D$2:$D$546,$J386))</f>
        <v/>
      </c>
      <c r="D386" s="149" t="str">
        <f aca="false">IF($J386="","",INDEX(LEDGER_ENGINE!$G$2:$G$546,$J386))</f>
        <v/>
      </c>
      <c r="E386" s="149" t="str">
        <f aca="false">IFERROR(IF($J386="","",INDEX(LEDGER_ENGINE!$H$2:$H$546,$J386)),"")</f>
        <v/>
      </c>
      <c r="F386" s="150" t="str">
        <f aca="false">IF($J386="","",INDEX(LEDGER_ENGINE!$I$2:$I$546,$J386))</f>
        <v/>
      </c>
      <c r="G386" s="150" t="str">
        <f aca="false">IF($J386="","",INDEX(LEDGER_ENGINE!$J$2:$J$546,$J386))</f>
        <v/>
      </c>
      <c r="H386" s="150" t="str">
        <f aca="false">IF($J386="","",INDEX(LEDGER_ENGINE!$L$2:$L$546,$J386))</f>
        <v/>
      </c>
      <c r="I386" s="150" t="str">
        <f aca="false">IF(A386="","",I385+H386)</f>
        <v/>
      </c>
      <c r="J386" s="101" t="str">
        <f aca="false">IFERROR(MATCH(LIBRI_I_MADH!$B$4&amp;"|"&amp;ROWS($A$6:A386),LEDGER_ENGINE!$U$2:$U$546,0),"")</f>
        <v/>
      </c>
    </row>
    <row r="387" customFormat="false" ht="15" hidden="false" customHeight="true" outlineLevel="0" collapsed="false">
      <c r="A387" s="148" t="str">
        <f aca="false">IF($J387="","",INDEX(LEDGER_ENGINE!$B$2:$B$546,$J387))</f>
        <v/>
      </c>
      <c r="B387" s="149" t="str">
        <f aca="false">IF($J387="","",INDEX(LEDGER_ENGINE!$C$2:$C$546,$J387))</f>
        <v/>
      </c>
      <c r="C387" s="149" t="str">
        <f aca="false">IF($J387="","",INDEX(LEDGER_ENGINE!$D$2:$D$546,$J387))</f>
        <v/>
      </c>
      <c r="D387" s="149" t="str">
        <f aca="false">IF($J387="","",INDEX(LEDGER_ENGINE!$G$2:$G$546,$J387))</f>
        <v/>
      </c>
      <c r="E387" s="149" t="str">
        <f aca="false">IFERROR(IF($J387="","",INDEX(LEDGER_ENGINE!$H$2:$H$546,$J387)),"")</f>
        <v/>
      </c>
      <c r="F387" s="150" t="str">
        <f aca="false">IF($J387="","",INDEX(LEDGER_ENGINE!$I$2:$I$546,$J387))</f>
        <v/>
      </c>
      <c r="G387" s="150" t="str">
        <f aca="false">IF($J387="","",INDEX(LEDGER_ENGINE!$J$2:$J$546,$J387))</f>
        <v/>
      </c>
      <c r="H387" s="150" t="str">
        <f aca="false">IF($J387="","",INDEX(LEDGER_ENGINE!$L$2:$L$546,$J387))</f>
        <v/>
      </c>
      <c r="I387" s="150" t="str">
        <f aca="false">IF(A387="","",I386+H387)</f>
        <v/>
      </c>
      <c r="J387" s="101" t="str">
        <f aca="false">IFERROR(MATCH(LIBRI_I_MADH!$B$4&amp;"|"&amp;ROWS($A$6:A387),LEDGER_ENGINE!$U$2:$U$546,0),"")</f>
        <v/>
      </c>
    </row>
    <row r="388" customFormat="false" ht="15" hidden="false" customHeight="true" outlineLevel="0" collapsed="false">
      <c r="A388" s="148" t="str">
        <f aca="false">IF($J388="","",INDEX(LEDGER_ENGINE!$B$2:$B$546,$J388))</f>
        <v/>
      </c>
      <c r="B388" s="149" t="str">
        <f aca="false">IF($J388="","",INDEX(LEDGER_ENGINE!$C$2:$C$546,$J388))</f>
        <v/>
      </c>
      <c r="C388" s="149" t="str">
        <f aca="false">IF($J388="","",INDEX(LEDGER_ENGINE!$D$2:$D$546,$J388))</f>
        <v/>
      </c>
      <c r="D388" s="149" t="str">
        <f aca="false">IF($J388="","",INDEX(LEDGER_ENGINE!$G$2:$G$546,$J388))</f>
        <v/>
      </c>
      <c r="E388" s="149" t="str">
        <f aca="false">IFERROR(IF($J388="","",INDEX(LEDGER_ENGINE!$H$2:$H$546,$J388)),"")</f>
        <v/>
      </c>
      <c r="F388" s="150" t="str">
        <f aca="false">IF($J388="","",INDEX(LEDGER_ENGINE!$I$2:$I$546,$J388))</f>
        <v/>
      </c>
      <c r="G388" s="150" t="str">
        <f aca="false">IF($J388="","",INDEX(LEDGER_ENGINE!$J$2:$J$546,$J388))</f>
        <v/>
      </c>
      <c r="H388" s="150" t="str">
        <f aca="false">IF($J388="","",INDEX(LEDGER_ENGINE!$L$2:$L$546,$J388))</f>
        <v/>
      </c>
      <c r="I388" s="150" t="str">
        <f aca="false">IF(A388="","",I387+H388)</f>
        <v/>
      </c>
      <c r="J388" s="101" t="str">
        <f aca="false">IFERROR(MATCH(LIBRI_I_MADH!$B$4&amp;"|"&amp;ROWS($A$6:A388),LEDGER_ENGINE!$U$2:$U$546,0),"")</f>
        <v/>
      </c>
    </row>
    <row r="389" customFormat="false" ht="15" hidden="false" customHeight="true" outlineLevel="0" collapsed="false">
      <c r="A389" s="148" t="str">
        <f aca="false">IF($J389="","",INDEX(LEDGER_ENGINE!$B$2:$B$546,$J389))</f>
        <v/>
      </c>
      <c r="B389" s="149" t="str">
        <f aca="false">IF($J389="","",INDEX(LEDGER_ENGINE!$C$2:$C$546,$J389))</f>
        <v/>
      </c>
      <c r="C389" s="149" t="str">
        <f aca="false">IF($J389="","",INDEX(LEDGER_ENGINE!$D$2:$D$546,$J389))</f>
        <v/>
      </c>
      <c r="D389" s="149" t="str">
        <f aca="false">IF($J389="","",INDEX(LEDGER_ENGINE!$G$2:$G$546,$J389))</f>
        <v/>
      </c>
      <c r="E389" s="149" t="str">
        <f aca="false">IFERROR(IF($J389="","",INDEX(LEDGER_ENGINE!$H$2:$H$546,$J389)),"")</f>
        <v/>
      </c>
      <c r="F389" s="150" t="str">
        <f aca="false">IF($J389="","",INDEX(LEDGER_ENGINE!$I$2:$I$546,$J389))</f>
        <v/>
      </c>
      <c r="G389" s="150" t="str">
        <f aca="false">IF($J389="","",INDEX(LEDGER_ENGINE!$J$2:$J$546,$J389))</f>
        <v/>
      </c>
      <c r="H389" s="150" t="str">
        <f aca="false">IF($J389="","",INDEX(LEDGER_ENGINE!$L$2:$L$546,$J389))</f>
        <v/>
      </c>
      <c r="I389" s="150" t="str">
        <f aca="false">IF(A389="","",I388+H389)</f>
        <v/>
      </c>
      <c r="J389" s="101" t="str">
        <f aca="false">IFERROR(MATCH(LIBRI_I_MADH!$B$4&amp;"|"&amp;ROWS($A$6:A389),LEDGER_ENGINE!$U$2:$U$546,0),"")</f>
        <v/>
      </c>
    </row>
    <row r="390" customFormat="false" ht="15" hidden="false" customHeight="true" outlineLevel="0" collapsed="false">
      <c r="A390" s="148" t="str">
        <f aca="false">IF($J390="","",INDEX(LEDGER_ENGINE!$B$2:$B$546,$J390))</f>
        <v/>
      </c>
      <c r="B390" s="149" t="str">
        <f aca="false">IF($J390="","",INDEX(LEDGER_ENGINE!$C$2:$C$546,$J390))</f>
        <v/>
      </c>
      <c r="C390" s="149" t="str">
        <f aca="false">IF($J390="","",INDEX(LEDGER_ENGINE!$D$2:$D$546,$J390))</f>
        <v/>
      </c>
      <c r="D390" s="149" t="str">
        <f aca="false">IF($J390="","",INDEX(LEDGER_ENGINE!$G$2:$G$546,$J390))</f>
        <v/>
      </c>
      <c r="E390" s="149" t="str">
        <f aca="false">IFERROR(IF($J390="","",INDEX(LEDGER_ENGINE!$H$2:$H$546,$J390)),"")</f>
        <v/>
      </c>
      <c r="F390" s="150" t="str">
        <f aca="false">IF($J390="","",INDEX(LEDGER_ENGINE!$I$2:$I$546,$J390))</f>
        <v/>
      </c>
      <c r="G390" s="150" t="str">
        <f aca="false">IF($J390="","",INDEX(LEDGER_ENGINE!$J$2:$J$546,$J390))</f>
        <v/>
      </c>
      <c r="H390" s="150" t="str">
        <f aca="false">IF($J390="","",INDEX(LEDGER_ENGINE!$L$2:$L$546,$J390))</f>
        <v/>
      </c>
      <c r="I390" s="150" t="str">
        <f aca="false">IF(A390="","",I389+H390)</f>
        <v/>
      </c>
      <c r="J390" s="101" t="str">
        <f aca="false">IFERROR(MATCH(LIBRI_I_MADH!$B$4&amp;"|"&amp;ROWS($A$6:A390),LEDGER_ENGINE!$U$2:$U$546,0),"")</f>
        <v/>
      </c>
    </row>
    <row r="391" customFormat="false" ht="15" hidden="false" customHeight="true" outlineLevel="0" collapsed="false">
      <c r="A391" s="148" t="str">
        <f aca="false">IF($J391="","",INDEX(LEDGER_ENGINE!$B$2:$B$546,$J391))</f>
        <v/>
      </c>
      <c r="B391" s="149" t="str">
        <f aca="false">IF($J391="","",INDEX(LEDGER_ENGINE!$C$2:$C$546,$J391))</f>
        <v/>
      </c>
      <c r="C391" s="149" t="str">
        <f aca="false">IF($J391="","",INDEX(LEDGER_ENGINE!$D$2:$D$546,$J391))</f>
        <v/>
      </c>
      <c r="D391" s="149" t="str">
        <f aca="false">IF($J391="","",INDEX(LEDGER_ENGINE!$G$2:$G$546,$J391))</f>
        <v/>
      </c>
      <c r="E391" s="149" t="str">
        <f aca="false">IFERROR(IF($J391="","",INDEX(LEDGER_ENGINE!$H$2:$H$546,$J391)),"")</f>
        <v/>
      </c>
      <c r="F391" s="150" t="str">
        <f aca="false">IF($J391="","",INDEX(LEDGER_ENGINE!$I$2:$I$546,$J391))</f>
        <v/>
      </c>
      <c r="G391" s="150" t="str">
        <f aca="false">IF($J391="","",INDEX(LEDGER_ENGINE!$J$2:$J$546,$J391))</f>
        <v/>
      </c>
      <c r="H391" s="150" t="str">
        <f aca="false">IF($J391="","",INDEX(LEDGER_ENGINE!$L$2:$L$546,$J391))</f>
        <v/>
      </c>
      <c r="I391" s="150" t="str">
        <f aca="false">IF(A391="","",I390+H391)</f>
        <v/>
      </c>
      <c r="J391" s="101" t="str">
        <f aca="false">IFERROR(MATCH(LIBRI_I_MADH!$B$4&amp;"|"&amp;ROWS($A$6:A391),LEDGER_ENGINE!$U$2:$U$546,0),"")</f>
        <v/>
      </c>
    </row>
    <row r="392" customFormat="false" ht="15" hidden="false" customHeight="true" outlineLevel="0" collapsed="false">
      <c r="A392" s="148" t="str">
        <f aca="false">IF($J392="","",INDEX(LEDGER_ENGINE!$B$2:$B$546,$J392))</f>
        <v/>
      </c>
      <c r="B392" s="149" t="str">
        <f aca="false">IF($J392="","",INDEX(LEDGER_ENGINE!$C$2:$C$546,$J392))</f>
        <v/>
      </c>
      <c r="C392" s="149" t="str">
        <f aca="false">IF($J392="","",INDEX(LEDGER_ENGINE!$D$2:$D$546,$J392))</f>
        <v/>
      </c>
      <c r="D392" s="149" t="str">
        <f aca="false">IF($J392="","",INDEX(LEDGER_ENGINE!$G$2:$G$546,$J392))</f>
        <v/>
      </c>
      <c r="E392" s="149" t="str">
        <f aca="false">IFERROR(IF($J392="","",INDEX(LEDGER_ENGINE!$H$2:$H$546,$J392)),"")</f>
        <v/>
      </c>
      <c r="F392" s="150" t="str">
        <f aca="false">IF($J392="","",INDEX(LEDGER_ENGINE!$I$2:$I$546,$J392))</f>
        <v/>
      </c>
      <c r="G392" s="150" t="str">
        <f aca="false">IF($J392="","",INDEX(LEDGER_ENGINE!$J$2:$J$546,$J392))</f>
        <v/>
      </c>
      <c r="H392" s="150" t="str">
        <f aca="false">IF($J392="","",INDEX(LEDGER_ENGINE!$L$2:$L$546,$J392))</f>
        <v/>
      </c>
      <c r="I392" s="150" t="str">
        <f aca="false">IF(A392="","",I391+H392)</f>
        <v/>
      </c>
      <c r="J392" s="101" t="str">
        <f aca="false">IFERROR(MATCH(LIBRI_I_MADH!$B$4&amp;"|"&amp;ROWS($A$6:A392),LEDGER_ENGINE!$U$2:$U$546,0),"")</f>
        <v/>
      </c>
    </row>
    <row r="393" customFormat="false" ht="15" hidden="false" customHeight="true" outlineLevel="0" collapsed="false">
      <c r="A393" s="148" t="str">
        <f aca="false">IF($J393="","",INDEX(LEDGER_ENGINE!$B$2:$B$546,$J393))</f>
        <v/>
      </c>
      <c r="B393" s="149" t="str">
        <f aca="false">IF($J393="","",INDEX(LEDGER_ENGINE!$C$2:$C$546,$J393))</f>
        <v/>
      </c>
      <c r="C393" s="149" t="str">
        <f aca="false">IF($J393="","",INDEX(LEDGER_ENGINE!$D$2:$D$546,$J393))</f>
        <v/>
      </c>
      <c r="D393" s="149" t="str">
        <f aca="false">IF($J393="","",INDEX(LEDGER_ENGINE!$G$2:$G$546,$J393))</f>
        <v/>
      </c>
      <c r="E393" s="149" t="str">
        <f aca="false">IFERROR(IF($J393="","",INDEX(LEDGER_ENGINE!$H$2:$H$546,$J393)),"")</f>
        <v/>
      </c>
      <c r="F393" s="150" t="str">
        <f aca="false">IF($J393="","",INDEX(LEDGER_ENGINE!$I$2:$I$546,$J393))</f>
        <v/>
      </c>
      <c r="G393" s="150" t="str">
        <f aca="false">IF($J393="","",INDEX(LEDGER_ENGINE!$J$2:$J$546,$J393))</f>
        <v/>
      </c>
      <c r="H393" s="150" t="str">
        <f aca="false">IF($J393="","",INDEX(LEDGER_ENGINE!$L$2:$L$546,$J393))</f>
        <v/>
      </c>
      <c r="I393" s="150" t="str">
        <f aca="false">IF(A393="","",I392+H393)</f>
        <v/>
      </c>
      <c r="J393" s="101" t="str">
        <f aca="false">IFERROR(MATCH(LIBRI_I_MADH!$B$4&amp;"|"&amp;ROWS($A$6:A393),LEDGER_ENGINE!$U$2:$U$546,0),"")</f>
        <v/>
      </c>
    </row>
    <row r="394" customFormat="false" ht="15" hidden="false" customHeight="true" outlineLevel="0" collapsed="false">
      <c r="A394" s="148" t="str">
        <f aca="false">IF($J394="","",INDEX(LEDGER_ENGINE!$B$2:$B$546,$J394))</f>
        <v/>
      </c>
      <c r="B394" s="149" t="str">
        <f aca="false">IF($J394="","",INDEX(LEDGER_ENGINE!$C$2:$C$546,$J394))</f>
        <v/>
      </c>
      <c r="C394" s="149" t="str">
        <f aca="false">IF($J394="","",INDEX(LEDGER_ENGINE!$D$2:$D$546,$J394))</f>
        <v/>
      </c>
      <c r="D394" s="149" t="str">
        <f aca="false">IF($J394="","",INDEX(LEDGER_ENGINE!$G$2:$G$546,$J394))</f>
        <v/>
      </c>
      <c r="E394" s="149" t="str">
        <f aca="false">IFERROR(IF($J394="","",INDEX(LEDGER_ENGINE!$H$2:$H$546,$J394)),"")</f>
        <v/>
      </c>
      <c r="F394" s="150" t="str">
        <f aca="false">IF($J394="","",INDEX(LEDGER_ENGINE!$I$2:$I$546,$J394))</f>
        <v/>
      </c>
      <c r="G394" s="150" t="str">
        <f aca="false">IF($J394="","",INDEX(LEDGER_ENGINE!$J$2:$J$546,$J394))</f>
        <v/>
      </c>
      <c r="H394" s="150" t="str">
        <f aca="false">IF($J394="","",INDEX(LEDGER_ENGINE!$L$2:$L$546,$J394))</f>
        <v/>
      </c>
      <c r="I394" s="150" t="str">
        <f aca="false">IF(A394="","",I393+H394)</f>
        <v/>
      </c>
      <c r="J394" s="101" t="str">
        <f aca="false">IFERROR(MATCH(LIBRI_I_MADH!$B$4&amp;"|"&amp;ROWS($A$6:A394),LEDGER_ENGINE!$U$2:$U$546,0),"")</f>
        <v/>
      </c>
    </row>
    <row r="395" customFormat="false" ht="15" hidden="false" customHeight="true" outlineLevel="0" collapsed="false">
      <c r="A395" s="148" t="str">
        <f aca="false">IF($J395="","",INDEX(LEDGER_ENGINE!$B$2:$B$546,$J395))</f>
        <v/>
      </c>
      <c r="B395" s="149" t="str">
        <f aca="false">IF($J395="","",INDEX(LEDGER_ENGINE!$C$2:$C$546,$J395))</f>
        <v/>
      </c>
      <c r="C395" s="149" t="str">
        <f aca="false">IF($J395="","",INDEX(LEDGER_ENGINE!$D$2:$D$546,$J395))</f>
        <v/>
      </c>
      <c r="D395" s="149" t="str">
        <f aca="false">IF($J395="","",INDEX(LEDGER_ENGINE!$G$2:$G$546,$J395))</f>
        <v/>
      </c>
      <c r="E395" s="149" t="str">
        <f aca="false">IFERROR(IF($J395="","",INDEX(LEDGER_ENGINE!$H$2:$H$546,$J395)),"")</f>
        <v/>
      </c>
      <c r="F395" s="150" t="str">
        <f aca="false">IF($J395="","",INDEX(LEDGER_ENGINE!$I$2:$I$546,$J395))</f>
        <v/>
      </c>
      <c r="G395" s="150" t="str">
        <f aca="false">IF($J395="","",INDEX(LEDGER_ENGINE!$J$2:$J$546,$J395))</f>
        <v/>
      </c>
      <c r="H395" s="150" t="str">
        <f aca="false">IF($J395="","",INDEX(LEDGER_ENGINE!$L$2:$L$546,$J395))</f>
        <v/>
      </c>
      <c r="I395" s="150" t="str">
        <f aca="false">IF(A395="","",I394+H395)</f>
        <v/>
      </c>
      <c r="J395" s="101" t="str">
        <f aca="false">IFERROR(MATCH(LIBRI_I_MADH!$B$4&amp;"|"&amp;ROWS($A$6:A395),LEDGER_ENGINE!$U$2:$U$546,0),"")</f>
        <v/>
      </c>
    </row>
    <row r="396" customFormat="false" ht="15" hidden="false" customHeight="true" outlineLevel="0" collapsed="false">
      <c r="A396" s="148" t="str">
        <f aca="false">IF($J396="","",INDEX(LEDGER_ENGINE!$B$2:$B$546,$J396))</f>
        <v/>
      </c>
      <c r="B396" s="149" t="str">
        <f aca="false">IF($J396="","",INDEX(LEDGER_ENGINE!$C$2:$C$546,$J396))</f>
        <v/>
      </c>
      <c r="C396" s="149" t="str">
        <f aca="false">IF($J396="","",INDEX(LEDGER_ENGINE!$D$2:$D$546,$J396))</f>
        <v/>
      </c>
      <c r="D396" s="149" t="str">
        <f aca="false">IF($J396="","",INDEX(LEDGER_ENGINE!$G$2:$G$546,$J396))</f>
        <v/>
      </c>
      <c r="E396" s="149" t="str">
        <f aca="false">IFERROR(IF($J396="","",INDEX(LEDGER_ENGINE!$H$2:$H$546,$J396)),"")</f>
        <v/>
      </c>
      <c r="F396" s="150" t="str">
        <f aca="false">IF($J396="","",INDEX(LEDGER_ENGINE!$I$2:$I$546,$J396))</f>
        <v/>
      </c>
      <c r="G396" s="150" t="str">
        <f aca="false">IF($J396="","",INDEX(LEDGER_ENGINE!$J$2:$J$546,$J396))</f>
        <v/>
      </c>
      <c r="H396" s="150" t="str">
        <f aca="false">IF($J396="","",INDEX(LEDGER_ENGINE!$L$2:$L$546,$J396))</f>
        <v/>
      </c>
      <c r="I396" s="150" t="str">
        <f aca="false">IF(A396="","",I395+H396)</f>
        <v/>
      </c>
      <c r="J396" s="101" t="str">
        <f aca="false">IFERROR(MATCH(LIBRI_I_MADH!$B$4&amp;"|"&amp;ROWS($A$6:A396),LEDGER_ENGINE!$U$2:$U$546,0),"")</f>
        <v/>
      </c>
    </row>
    <row r="397" customFormat="false" ht="15" hidden="false" customHeight="true" outlineLevel="0" collapsed="false">
      <c r="A397" s="148" t="str">
        <f aca="false">IF($J397="","",INDEX(LEDGER_ENGINE!$B$2:$B$546,$J397))</f>
        <v/>
      </c>
      <c r="B397" s="149" t="str">
        <f aca="false">IF($J397="","",INDEX(LEDGER_ENGINE!$C$2:$C$546,$J397))</f>
        <v/>
      </c>
      <c r="C397" s="149" t="str">
        <f aca="false">IF($J397="","",INDEX(LEDGER_ENGINE!$D$2:$D$546,$J397))</f>
        <v/>
      </c>
      <c r="D397" s="149" t="str">
        <f aca="false">IF($J397="","",INDEX(LEDGER_ENGINE!$G$2:$G$546,$J397))</f>
        <v/>
      </c>
      <c r="E397" s="149" t="str">
        <f aca="false">IFERROR(IF($J397="","",INDEX(LEDGER_ENGINE!$H$2:$H$546,$J397)),"")</f>
        <v/>
      </c>
      <c r="F397" s="150" t="str">
        <f aca="false">IF($J397="","",INDEX(LEDGER_ENGINE!$I$2:$I$546,$J397))</f>
        <v/>
      </c>
      <c r="G397" s="150" t="str">
        <f aca="false">IF($J397="","",INDEX(LEDGER_ENGINE!$J$2:$J$546,$J397))</f>
        <v/>
      </c>
      <c r="H397" s="150" t="str">
        <f aca="false">IF($J397="","",INDEX(LEDGER_ENGINE!$L$2:$L$546,$J397))</f>
        <v/>
      </c>
      <c r="I397" s="150" t="str">
        <f aca="false">IF(A397="","",I396+H397)</f>
        <v/>
      </c>
      <c r="J397" s="101" t="str">
        <f aca="false">IFERROR(MATCH(LIBRI_I_MADH!$B$4&amp;"|"&amp;ROWS($A$6:A397),LEDGER_ENGINE!$U$2:$U$546,0),"")</f>
        <v/>
      </c>
    </row>
    <row r="398" customFormat="false" ht="15" hidden="false" customHeight="true" outlineLevel="0" collapsed="false">
      <c r="A398" s="148" t="str">
        <f aca="false">IF($J398="","",INDEX(LEDGER_ENGINE!$B$2:$B$546,$J398))</f>
        <v/>
      </c>
      <c r="B398" s="149" t="str">
        <f aca="false">IF($J398="","",INDEX(LEDGER_ENGINE!$C$2:$C$546,$J398))</f>
        <v/>
      </c>
      <c r="C398" s="149" t="str">
        <f aca="false">IF($J398="","",INDEX(LEDGER_ENGINE!$D$2:$D$546,$J398))</f>
        <v/>
      </c>
      <c r="D398" s="149" t="str">
        <f aca="false">IF($J398="","",INDEX(LEDGER_ENGINE!$G$2:$G$546,$J398))</f>
        <v/>
      </c>
      <c r="E398" s="149" t="str">
        <f aca="false">IFERROR(IF($J398="","",INDEX(LEDGER_ENGINE!$H$2:$H$546,$J398)),"")</f>
        <v/>
      </c>
      <c r="F398" s="150" t="str">
        <f aca="false">IF($J398="","",INDEX(LEDGER_ENGINE!$I$2:$I$546,$J398))</f>
        <v/>
      </c>
      <c r="G398" s="150" t="str">
        <f aca="false">IF($J398="","",INDEX(LEDGER_ENGINE!$J$2:$J$546,$J398))</f>
        <v/>
      </c>
      <c r="H398" s="150" t="str">
        <f aca="false">IF($J398="","",INDEX(LEDGER_ENGINE!$L$2:$L$546,$J398))</f>
        <v/>
      </c>
      <c r="I398" s="150" t="str">
        <f aca="false">IF(A398="","",I397+H398)</f>
        <v/>
      </c>
      <c r="J398" s="101" t="str">
        <f aca="false">IFERROR(MATCH(LIBRI_I_MADH!$B$4&amp;"|"&amp;ROWS($A$6:A398),LEDGER_ENGINE!$U$2:$U$546,0),"")</f>
        <v/>
      </c>
    </row>
    <row r="399" customFormat="false" ht="15" hidden="false" customHeight="true" outlineLevel="0" collapsed="false">
      <c r="A399" s="148" t="str">
        <f aca="false">IF($J399="","",INDEX(LEDGER_ENGINE!$B$2:$B$546,$J399))</f>
        <v/>
      </c>
      <c r="B399" s="149" t="str">
        <f aca="false">IF($J399="","",INDEX(LEDGER_ENGINE!$C$2:$C$546,$J399))</f>
        <v/>
      </c>
      <c r="C399" s="149" t="str">
        <f aca="false">IF($J399="","",INDEX(LEDGER_ENGINE!$D$2:$D$546,$J399))</f>
        <v/>
      </c>
      <c r="D399" s="149" t="str">
        <f aca="false">IF($J399="","",INDEX(LEDGER_ENGINE!$G$2:$G$546,$J399))</f>
        <v/>
      </c>
      <c r="E399" s="149" t="str">
        <f aca="false">IFERROR(IF($J399="","",INDEX(LEDGER_ENGINE!$H$2:$H$546,$J399)),"")</f>
        <v/>
      </c>
      <c r="F399" s="150" t="str">
        <f aca="false">IF($J399="","",INDEX(LEDGER_ENGINE!$I$2:$I$546,$J399))</f>
        <v/>
      </c>
      <c r="G399" s="150" t="str">
        <f aca="false">IF($J399="","",INDEX(LEDGER_ENGINE!$J$2:$J$546,$J399))</f>
        <v/>
      </c>
      <c r="H399" s="150" t="str">
        <f aca="false">IF($J399="","",INDEX(LEDGER_ENGINE!$L$2:$L$546,$J399))</f>
        <v/>
      </c>
      <c r="I399" s="150" t="str">
        <f aca="false">IF(A399="","",I398+H399)</f>
        <v/>
      </c>
      <c r="J399" s="101" t="str">
        <f aca="false">IFERROR(MATCH(LIBRI_I_MADH!$B$4&amp;"|"&amp;ROWS($A$6:A399),LEDGER_ENGINE!$U$2:$U$546,0),"")</f>
        <v/>
      </c>
    </row>
    <row r="400" customFormat="false" ht="15" hidden="false" customHeight="true" outlineLevel="0" collapsed="false">
      <c r="A400" s="148" t="str">
        <f aca="false">IF($J400="","",INDEX(LEDGER_ENGINE!$B$2:$B$546,$J400))</f>
        <v/>
      </c>
      <c r="B400" s="149" t="str">
        <f aca="false">IF($J400="","",INDEX(LEDGER_ENGINE!$C$2:$C$546,$J400))</f>
        <v/>
      </c>
      <c r="C400" s="149" t="str">
        <f aca="false">IF($J400="","",INDEX(LEDGER_ENGINE!$D$2:$D$546,$J400))</f>
        <v/>
      </c>
      <c r="D400" s="149" t="str">
        <f aca="false">IF($J400="","",INDEX(LEDGER_ENGINE!$G$2:$G$546,$J400))</f>
        <v/>
      </c>
      <c r="E400" s="149" t="str">
        <f aca="false">IFERROR(IF($J400="","",INDEX(LEDGER_ENGINE!$H$2:$H$546,$J400)),"")</f>
        <v/>
      </c>
      <c r="F400" s="150" t="str">
        <f aca="false">IF($J400="","",INDEX(LEDGER_ENGINE!$I$2:$I$546,$J400))</f>
        <v/>
      </c>
      <c r="G400" s="150" t="str">
        <f aca="false">IF($J400="","",INDEX(LEDGER_ENGINE!$J$2:$J$546,$J400))</f>
        <v/>
      </c>
      <c r="H400" s="150" t="str">
        <f aca="false">IF($J400="","",INDEX(LEDGER_ENGINE!$L$2:$L$546,$J400))</f>
        <v/>
      </c>
      <c r="I400" s="150" t="str">
        <f aca="false">IF(A400="","",I399+H400)</f>
        <v/>
      </c>
      <c r="J400" s="101" t="str">
        <f aca="false">IFERROR(MATCH(LIBRI_I_MADH!$B$4&amp;"|"&amp;ROWS($A$6:A400),LEDGER_ENGINE!$U$2:$U$546,0),"")</f>
        <v/>
      </c>
    </row>
    <row r="401" customFormat="false" ht="15" hidden="false" customHeight="true" outlineLevel="0" collapsed="false">
      <c r="A401" s="148" t="str">
        <f aca="false">IF($J401="","",INDEX(LEDGER_ENGINE!$B$2:$B$546,$J401))</f>
        <v/>
      </c>
      <c r="B401" s="149" t="str">
        <f aca="false">IF($J401="","",INDEX(LEDGER_ENGINE!$C$2:$C$546,$J401))</f>
        <v/>
      </c>
      <c r="C401" s="149" t="str">
        <f aca="false">IF($J401="","",INDEX(LEDGER_ENGINE!$D$2:$D$546,$J401))</f>
        <v/>
      </c>
      <c r="D401" s="149" t="str">
        <f aca="false">IF($J401="","",INDEX(LEDGER_ENGINE!$G$2:$G$546,$J401))</f>
        <v/>
      </c>
      <c r="E401" s="149" t="str">
        <f aca="false">IFERROR(IF($J401="","",INDEX(LEDGER_ENGINE!$H$2:$H$546,$J401)),"")</f>
        <v/>
      </c>
      <c r="F401" s="150" t="str">
        <f aca="false">IF($J401="","",INDEX(LEDGER_ENGINE!$I$2:$I$546,$J401))</f>
        <v/>
      </c>
      <c r="G401" s="150" t="str">
        <f aca="false">IF($J401="","",INDEX(LEDGER_ENGINE!$J$2:$J$546,$J401))</f>
        <v/>
      </c>
      <c r="H401" s="150" t="str">
        <f aca="false">IF($J401="","",INDEX(LEDGER_ENGINE!$L$2:$L$546,$J401))</f>
        <v/>
      </c>
      <c r="I401" s="150" t="str">
        <f aca="false">IF(A401="","",I400+H401)</f>
        <v/>
      </c>
      <c r="J401" s="101" t="str">
        <f aca="false">IFERROR(MATCH(LIBRI_I_MADH!$B$4&amp;"|"&amp;ROWS($A$6:A401),LEDGER_ENGINE!$U$2:$U$546,0),"")</f>
        <v/>
      </c>
    </row>
    <row r="402" customFormat="false" ht="15" hidden="false" customHeight="true" outlineLevel="0" collapsed="false">
      <c r="A402" s="148" t="str">
        <f aca="false">IF($J402="","",INDEX(LEDGER_ENGINE!$B$2:$B$546,$J402))</f>
        <v/>
      </c>
      <c r="B402" s="149" t="str">
        <f aca="false">IF($J402="","",INDEX(LEDGER_ENGINE!$C$2:$C$546,$J402))</f>
        <v/>
      </c>
      <c r="C402" s="149" t="str">
        <f aca="false">IF($J402="","",INDEX(LEDGER_ENGINE!$D$2:$D$546,$J402))</f>
        <v/>
      </c>
      <c r="D402" s="149" t="str">
        <f aca="false">IF($J402="","",INDEX(LEDGER_ENGINE!$G$2:$G$546,$J402))</f>
        <v/>
      </c>
      <c r="E402" s="149" t="str">
        <f aca="false">IFERROR(IF($J402="","",INDEX(LEDGER_ENGINE!$H$2:$H$546,$J402)),"")</f>
        <v/>
      </c>
      <c r="F402" s="150" t="str">
        <f aca="false">IF($J402="","",INDEX(LEDGER_ENGINE!$I$2:$I$546,$J402))</f>
        <v/>
      </c>
      <c r="G402" s="150" t="str">
        <f aca="false">IF($J402="","",INDEX(LEDGER_ENGINE!$J$2:$J$546,$J402))</f>
        <v/>
      </c>
      <c r="H402" s="150" t="str">
        <f aca="false">IF($J402="","",INDEX(LEDGER_ENGINE!$L$2:$L$546,$J402))</f>
        <v/>
      </c>
      <c r="I402" s="150" t="str">
        <f aca="false">IF(A402="","",I401+H402)</f>
        <v/>
      </c>
      <c r="J402" s="101" t="str">
        <f aca="false">IFERROR(MATCH(LIBRI_I_MADH!$B$4&amp;"|"&amp;ROWS($A$6:A402),LEDGER_ENGINE!$U$2:$U$546,0),"")</f>
        <v/>
      </c>
    </row>
    <row r="403" customFormat="false" ht="15" hidden="false" customHeight="true" outlineLevel="0" collapsed="false">
      <c r="A403" s="148" t="str">
        <f aca="false">IF($J403="","",INDEX(LEDGER_ENGINE!$B$2:$B$546,$J403))</f>
        <v/>
      </c>
      <c r="B403" s="149" t="str">
        <f aca="false">IF($J403="","",INDEX(LEDGER_ENGINE!$C$2:$C$546,$J403))</f>
        <v/>
      </c>
      <c r="C403" s="149" t="str">
        <f aca="false">IF($J403="","",INDEX(LEDGER_ENGINE!$D$2:$D$546,$J403))</f>
        <v/>
      </c>
      <c r="D403" s="149" t="str">
        <f aca="false">IF($J403="","",INDEX(LEDGER_ENGINE!$G$2:$G$546,$J403))</f>
        <v/>
      </c>
      <c r="E403" s="149" t="str">
        <f aca="false">IFERROR(IF($J403="","",INDEX(LEDGER_ENGINE!$H$2:$H$546,$J403)),"")</f>
        <v/>
      </c>
      <c r="F403" s="150" t="str">
        <f aca="false">IF($J403="","",INDEX(LEDGER_ENGINE!$I$2:$I$546,$J403))</f>
        <v/>
      </c>
      <c r="G403" s="150" t="str">
        <f aca="false">IF($J403="","",INDEX(LEDGER_ENGINE!$J$2:$J$546,$J403))</f>
        <v/>
      </c>
      <c r="H403" s="150" t="str">
        <f aca="false">IF($J403="","",INDEX(LEDGER_ENGINE!$L$2:$L$546,$J403))</f>
        <v/>
      </c>
      <c r="I403" s="150" t="str">
        <f aca="false">IF(A403="","",I402+H403)</f>
        <v/>
      </c>
      <c r="J403" s="101" t="str">
        <f aca="false">IFERROR(MATCH(LIBRI_I_MADH!$B$4&amp;"|"&amp;ROWS($A$6:A403),LEDGER_ENGINE!$U$2:$U$546,0),"")</f>
        <v/>
      </c>
    </row>
    <row r="404" customFormat="false" ht="15" hidden="false" customHeight="true" outlineLevel="0" collapsed="false">
      <c r="A404" s="148" t="str">
        <f aca="false">IF($J404="","",INDEX(LEDGER_ENGINE!$B$2:$B$546,$J404))</f>
        <v/>
      </c>
      <c r="B404" s="149" t="str">
        <f aca="false">IF($J404="","",INDEX(LEDGER_ENGINE!$C$2:$C$546,$J404))</f>
        <v/>
      </c>
      <c r="C404" s="149" t="str">
        <f aca="false">IF($J404="","",INDEX(LEDGER_ENGINE!$D$2:$D$546,$J404))</f>
        <v/>
      </c>
      <c r="D404" s="149" t="str">
        <f aca="false">IF($J404="","",INDEX(LEDGER_ENGINE!$G$2:$G$546,$J404))</f>
        <v/>
      </c>
      <c r="E404" s="149" t="str">
        <f aca="false">IFERROR(IF($J404="","",INDEX(LEDGER_ENGINE!$H$2:$H$546,$J404)),"")</f>
        <v/>
      </c>
      <c r="F404" s="150" t="str">
        <f aca="false">IF($J404="","",INDEX(LEDGER_ENGINE!$I$2:$I$546,$J404))</f>
        <v/>
      </c>
      <c r="G404" s="150" t="str">
        <f aca="false">IF($J404="","",INDEX(LEDGER_ENGINE!$J$2:$J$546,$J404))</f>
        <v/>
      </c>
      <c r="H404" s="150" t="str">
        <f aca="false">IF($J404="","",INDEX(LEDGER_ENGINE!$L$2:$L$546,$J404))</f>
        <v/>
      </c>
      <c r="I404" s="150" t="str">
        <f aca="false">IF(A404="","",I403+H404)</f>
        <v/>
      </c>
      <c r="J404" s="101" t="str">
        <f aca="false">IFERROR(MATCH(LIBRI_I_MADH!$B$4&amp;"|"&amp;ROWS($A$6:A404),LEDGER_ENGINE!$U$2:$U$546,0),"")</f>
        <v/>
      </c>
    </row>
    <row r="405" customFormat="false" ht="15" hidden="false" customHeight="true" outlineLevel="0" collapsed="false">
      <c r="A405" s="148" t="str">
        <f aca="false">IF($J405="","",INDEX(LEDGER_ENGINE!$B$2:$B$546,$J405))</f>
        <v/>
      </c>
      <c r="B405" s="149" t="str">
        <f aca="false">IF($J405="","",INDEX(LEDGER_ENGINE!$C$2:$C$546,$J405))</f>
        <v/>
      </c>
      <c r="C405" s="149" t="str">
        <f aca="false">IF($J405="","",INDEX(LEDGER_ENGINE!$D$2:$D$546,$J405))</f>
        <v/>
      </c>
      <c r="D405" s="149" t="str">
        <f aca="false">IF($J405="","",INDEX(LEDGER_ENGINE!$G$2:$G$546,$J405))</f>
        <v/>
      </c>
      <c r="E405" s="149" t="str">
        <f aca="false">IFERROR(IF($J405="","",INDEX(LEDGER_ENGINE!$H$2:$H$546,$J405)),"")</f>
        <v/>
      </c>
      <c r="F405" s="150" t="str">
        <f aca="false">IF($J405="","",INDEX(LEDGER_ENGINE!$I$2:$I$546,$J405))</f>
        <v/>
      </c>
      <c r="G405" s="150" t="str">
        <f aca="false">IF($J405="","",INDEX(LEDGER_ENGINE!$J$2:$J$546,$J405))</f>
        <v/>
      </c>
      <c r="H405" s="150" t="str">
        <f aca="false">IF($J405="","",INDEX(LEDGER_ENGINE!$L$2:$L$546,$J405))</f>
        <v/>
      </c>
      <c r="I405" s="150" t="str">
        <f aca="false">IF(A405="","",I404+H405)</f>
        <v/>
      </c>
      <c r="J405" s="101" t="str">
        <f aca="false">IFERROR(MATCH(LIBRI_I_MADH!$B$4&amp;"|"&amp;ROWS($A$6:A405),LEDGER_ENGINE!$U$2:$U$546,0),"")</f>
        <v/>
      </c>
    </row>
    <row r="406" customFormat="false" ht="15" hidden="false" customHeight="true" outlineLevel="0" collapsed="false">
      <c r="A406" s="148" t="str">
        <f aca="false">IF($J406="","",INDEX(LEDGER_ENGINE!$B$2:$B$546,$J406))</f>
        <v/>
      </c>
      <c r="B406" s="149" t="str">
        <f aca="false">IF($J406="","",INDEX(LEDGER_ENGINE!$C$2:$C$546,$J406))</f>
        <v/>
      </c>
      <c r="C406" s="149" t="str">
        <f aca="false">IF($J406="","",INDEX(LEDGER_ENGINE!$D$2:$D$546,$J406))</f>
        <v/>
      </c>
      <c r="D406" s="149" t="str">
        <f aca="false">IF($J406="","",INDEX(LEDGER_ENGINE!$G$2:$G$546,$J406))</f>
        <v/>
      </c>
      <c r="E406" s="149" t="str">
        <f aca="false">IFERROR(IF($J406="","",INDEX(LEDGER_ENGINE!$H$2:$H$546,$J406)),"")</f>
        <v/>
      </c>
      <c r="F406" s="150" t="str">
        <f aca="false">IF($J406="","",INDEX(LEDGER_ENGINE!$I$2:$I$546,$J406))</f>
        <v/>
      </c>
      <c r="G406" s="150" t="str">
        <f aca="false">IF($J406="","",INDEX(LEDGER_ENGINE!$J$2:$J$546,$J406))</f>
        <v/>
      </c>
      <c r="H406" s="150" t="str">
        <f aca="false">IF($J406="","",INDEX(LEDGER_ENGINE!$L$2:$L$546,$J406))</f>
        <v/>
      </c>
      <c r="I406" s="150" t="str">
        <f aca="false">IF(A406="","",I405+H406)</f>
        <v/>
      </c>
      <c r="J406" s="101" t="str">
        <f aca="false">IFERROR(MATCH(LIBRI_I_MADH!$B$4&amp;"|"&amp;ROWS($A$6:A406),LEDGER_ENGINE!$U$2:$U$546,0),"")</f>
        <v/>
      </c>
    </row>
    <row r="407" customFormat="false" ht="15" hidden="false" customHeight="true" outlineLevel="0" collapsed="false">
      <c r="A407" s="148" t="str">
        <f aca="false">IF($J407="","",INDEX(LEDGER_ENGINE!$B$2:$B$546,$J407))</f>
        <v/>
      </c>
      <c r="B407" s="149" t="str">
        <f aca="false">IF($J407="","",INDEX(LEDGER_ENGINE!$C$2:$C$546,$J407))</f>
        <v/>
      </c>
      <c r="C407" s="149" t="str">
        <f aca="false">IF($J407="","",INDEX(LEDGER_ENGINE!$D$2:$D$546,$J407))</f>
        <v/>
      </c>
      <c r="D407" s="149" t="str">
        <f aca="false">IF($J407="","",INDEX(LEDGER_ENGINE!$G$2:$G$546,$J407))</f>
        <v/>
      </c>
      <c r="E407" s="149" t="str">
        <f aca="false">IFERROR(IF($J407="","",INDEX(LEDGER_ENGINE!$H$2:$H$546,$J407)),"")</f>
        <v/>
      </c>
      <c r="F407" s="150" t="str">
        <f aca="false">IF($J407="","",INDEX(LEDGER_ENGINE!$I$2:$I$546,$J407))</f>
        <v/>
      </c>
      <c r="G407" s="150" t="str">
        <f aca="false">IF($J407="","",INDEX(LEDGER_ENGINE!$J$2:$J$546,$J407))</f>
        <v/>
      </c>
      <c r="H407" s="150" t="str">
        <f aca="false">IF($J407="","",INDEX(LEDGER_ENGINE!$L$2:$L$546,$J407))</f>
        <v/>
      </c>
      <c r="I407" s="150" t="str">
        <f aca="false">IF(A407="","",I406+H407)</f>
        <v/>
      </c>
      <c r="J407" s="101" t="str">
        <f aca="false">IFERROR(MATCH(LIBRI_I_MADH!$B$4&amp;"|"&amp;ROWS($A$6:A407),LEDGER_ENGINE!$U$2:$U$546,0),"")</f>
        <v/>
      </c>
    </row>
    <row r="408" customFormat="false" ht="15" hidden="false" customHeight="true" outlineLevel="0" collapsed="false">
      <c r="A408" s="148" t="str">
        <f aca="false">IF($J408="","",INDEX(LEDGER_ENGINE!$B$2:$B$546,$J408))</f>
        <v/>
      </c>
      <c r="B408" s="149" t="str">
        <f aca="false">IF($J408="","",INDEX(LEDGER_ENGINE!$C$2:$C$546,$J408))</f>
        <v/>
      </c>
      <c r="C408" s="149" t="str">
        <f aca="false">IF($J408="","",INDEX(LEDGER_ENGINE!$D$2:$D$546,$J408))</f>
        <v/>
      </c>
      <c r="D408" s="149" t="str">
        <f aca="false">IF($J408="","",INDEX(LEDGER_ENGINE!$G$2:$G$546,$J408))</f>
        <v/>
      </c>
      <c r="E408" s="149" t="str">
        <f aca="false">IFERROR(IF($J408="","",INDEX(LEDGER_ENGINE!$H$2:$H$546,$J408)),"")</f>
        <v/>
      </c>
      <c r="F408" s="150" t="str">
        <f aca="false">IF($J408="","",INDEX(LEDGER_ENGINE!$I$2:$I$546,$J408))</f>
        <v/>
      </c>
      <c r="G408" s="150" t="str">
        <f aca="false">IF($J408="","",INDEX(LEDGER_ENGINE!$J$2:$J$546,$J408))</f>
        <v/>
      </c>
      <c r="H408" s="150" t="str">
        <f aca="false">IF($J408="","",INDEX(LEDGER_ENGINE!$L$2:$L$546,$J408))</f>
        <v/>
      </c>
      <c r="I408" s="150" t="str">
        <f aca="false">IF(A408="","",I407+H408)</f>
        <v/>
      </c>
      <c r="J408" s="101" t="str">
        <f aca="false">IFERROR(MATCH(LIBRI_I_MADH!$B$4&amp;"|"&amp;ROWS($A$6:A408),LEDGER_ENGINE!$U$2:$U$546,0),"")</f>
        <v/>
      </c>
    </row>
    <row r="409" customFormat="false" ht="15" hidden="false" customHeight="true" outlineLevel="0" collapsed="false">
      <c r="A409" s="148" t="str">
        <f aca="false">IF($J409="","",INDEX(LEDGER_ENGINE!$B$2:$B$546,$J409))</f>
        <v/>
      </c>
      <c r="B409" s="149" t="str">
        <f aca="false">IF($J409="","",INDEX(LEDGER_ENGINE!$C$2:$C$546,$J409))</f>
        <v/>
      </c>
      <c r="C409" s="149" t="str">
        <f aca="false">IF($J409="","",INDEX(LEDGER_ENGINE!$D$2:$D$546,$J409))</f>
        <v/>
      </c>
      <c r="D409" s="149" t="str">
        <f aca="false">IF($J409="","",INDEX(LEDGER_ENGINE!$G$2:$G$546,$J409))</f>
        <v/>
      </c>
      <c r="E409" s="149" t="str">
        <f aca="false">IFERROR(IF($J409="","",INDEX(LEDGER_ENGINE!$H$2:$H$546,$J409)),"")</f>
        <v/>
      </c>
      <c r="F409" s="150" t="str">
        <f aca="false">IF($J409="","",INDEX(LEDGER_ENGINE!$I$2:$I$546,$J409))</f>
        <v/>
      </c>
      <c r="G409" s="150" t="str">
        <f aca="false">IF($J409="","",INDEX(LEDGER_ENGINE!$J$2:$J$546,$J409))</f>
        <v/>
      </c>
      <c r="H409" s="150" t="str">
        <f aca="false">IF($J409="","",INDEX(LEDGER_ENGINE!$L$2:$L$546,$J409))</f>
        <v/>
      </c>
      <c r="I409" s="150" t="str">
        <f aca="false">IF(A409="","",I408+H409)</f>
        <v/>
      </c>
      <c r="J409" s="101" t="str">
        <f aca="false">IFERROR(MATCH(LIBRI_I_MADH!$B$4&amp;"|"&amp;ROWS($A$6:A409),LEDGER_ENGINE!$U$2:$U$546,0),"")</f>
        <v/>
      </c>
    </row>
    <row r="410" customFormat="false" ht="15" hidden="false" customHeight="true" outlineLevel="0" collapsed="false">
      <c r="A410" s="148" t="str">
        <f aca="false">IF($J410="","",INDEX(LEDGER_ENGINE!$B$2:$B$546,$J410))</f>
        <v/>
      </c>
      <c r="B410" s="149" t="str">
        <f aca="false">IF($J410="","",INDEX(LEDGER_ENGINE!$C$2:$C$546,$J410))</f>
        <v/>
      </c>
      <c r="C410" s="149" t="str">
        <f aca="false">IF($J410="","",INDEX(LEDGER_ENGINE!$D$2:$D$546,$J410))</f>
        <v/>
      </c>
      <c r="D410" s="149" t="str">
        <f aca="false">IF($J410="","",INDEX(LEDGER_ENGINE!$G$2:$G$546,$J410))</f>
        <v/>
      </c>
      <c r="E410" s="149" t="str">
        <f aca="false">IFERROR(IF($J410="","",INDEX(LEDGER_ENGINE!$H$2:$H$546,$J410)),"")</f>
        <v/>
      </c>
      <c r="F410" s="150" t="str">
        <f aca="false">IF($J410="","",INDEX(LEDGER_ENGINE!$I$2:$I$546,$J410))</f>
        <v/>
      </c>
      <c r="G410" s="150" t="str">
        <f aca="false">IF($J410="","",INDEX(LEDGER_ENGINE!$J$2:$J$546,$J410))</f>
        <v/>
      </c>
      <c r="H410" s="150" t="str">
        <f aca="false">IF($J410="","",INDEX(LEDGER_ENGINE!$L$2:$L$546,$J410))</f>
        <v/>
      </c>
      <c r="I410" s="150" t="str">
        <f aca="false">IF(A410="","",I409+H410)</f>
        <v/>
      </c>
      <c r="J410" s="101" t="str">
        <f aca="false">IFERROR(MATCH(LIBRI_I_MADH!$B$4&amp;"|"&amp;ROWS($A$6:A410),LEDGER_ENGINE!$U$2:$U$546,0),"")</f>
        <v/>
      </c>
    </row>
    <row r="411" customFormat="false" ht="15" hidden="false" customHeight="true" outlineLevel="0" collapsed="false">
      <c r="A411" s="148" t="str">
        <f aca="false">IF($J411="","",INDEX(LEDGER_ENGINE!$B$2:$B$546,$J411))</f>
        <v/>
      </c>
      <c r="B411" s="149" t="str">
        <f aca="false">IF($J411="","",INDEX(LEDGER_ENGINE!$C$2:$C$546,$J411))</f>
        <v/>
      </c>
      <c r="C411" s="149" t="str">
        <f aca="false">IF($J411="","",INDEX(LEDGER_ENGINE!$D$2:$D$546,$J411))</f>
        <v/>
      </c>
      <c r="D411" s="149" t="str">
        <f aca="false">IF($J411="","",INDEX(LEDGER_ENGINE!$G$2:$G$546,$J411))</f>
        <v/>
      </c>
      <c r="E411" s="149" t="str">
        <f aca="false">IFERROR(IF($J411="","",INDEX(LEDGER_ENGINE!$H$2:$H$546,$J411)),"")</f>
        <v/>
      </c>
      <c r="F411" s="150" t="str">
        <f aca="false">IF($J411="","",INDEX(LEDGER_ENGINE!$I$2:$I$546,$J411))</f>
        <v/>
      </c>
      <c r="G411" s="150" t="str">
        <f aca="false">IF($J411="","",INDEX(LEDGER_ENGINE!$J$2:$J$546,$J411))</f>
        <v/>
      </c>
      <c r="H411" s="150" t="str">
        <f aca="false">IF($J411="","",INDEX(LEDGER_ENGINE!$L$2:$L$546,$J411))</f>
        <v/>
      </c>
      <c r="I411" s="150" t="str">
        <f aca="false">IF(A411="","",I410+H411)</f>
        <v/>
      </c>
      <c r="J411" s="101" t="str">
        <f aca="false">IFERROR(MATCH(LIBRI_I_MADH!$B$4&amp;"|"&amp;ROWS($A$6:A411),LEDGER_ENGINE!$U$2:$U$546,0),"")</f>
        <v/>
      </c>
    </row>
    <row r="412" customFormat="false" ht="15" hidden="false" customHeight="true" outlineLevel="0" collapsed="false">
      <c r="A412" s="148" t="str">
        <f aca="false">IF($J412="","",INDEX(LEDGER_ENGINE!$B$2:$B$546,$J412))</f>
        <v/>
      </c>
      <c r="B412" s="149" t="str">
        <f aca="false">IF($J412="","",INDEX(LEDGER_ENGINE!$C$2:$C$546,$J412))</f>
        <v/>
      </c>
      <c r="C412" s="149" t="str">
        <f aca="false">IF($J412="","",INDEX(LEDGER_ENGINE!$D$2:$D$546,$J412))</f>
        <v/>
      </c>
      <c r="D412" s="149" t="str">
        <f aca="false">IF($J412="","",INDEX(LEDGER_ENGINE!$G$2:$G$546,$J412))</f>
        <v/>
      </c>
      <c r="E412" s="149" t="str">
        <f aca="false">IFERROR(IF($J412="","",INDEX(LEDGER_ENGINE!$H$2:$H$546,$J412)),"")</f>
        <v/>
      </c>
      <c r="F412" s="150" t="str">
        <f aca="false">IF($J412="","",INDEX(LEDGER_ENGINE!$I$2:$I$546,$J412))</f>
        <v/>
      </c>
      <c r="G412" s="150" t="str">
        <f aca="false">IF($J412="","",INDEX(LEDGER_ENGINE!$J$2:$J$546,$J412))</f>
        <v/>
      </c>
      <c r="H412" s="150" t="str">
        <f aca="false">IF($J412="","",INDEX(LEDGER_ENGINE!$L$2:$L$546,$J412))</f>
        <v/>
      </c>
      <c r="I412" s="150" t="str">
        <f aca="false">IF(A412="","",I411+H412)</f>
        <v/>
      </c>
      <c r="J412" s="101" t="str">
        <f aca="false">IFERROR(MATCH(LIBRI_I_MADH!$B$4&amp;"|"&amp;ROWS($A$6:A412),LEDGER_ENGINE!$U$2:$U$546,0),"")</f>
        <v/>
      </c>
    </row>
    <row r="413" customFormat="false" ht="15" hidden="false" customHeight="true" outlineLevel="0" collapsed="false">
      <c r="A413" s="148" t="str">
        <f aca="false">IF($J413="","",INDEX(LEDGER_ENGINE!$B$2:$B$546,$J413))</f>
        <v/>
      </c>
      <c r="B413" s="149" t="str">
        <f aca="false">IF($J413="","",INDEX(LEDGER_ENGINE!$C$2:$C$546,$J413))</f>
        <v/>
      </c>
      <c r="C413" s="149" t="str">
        <f aca="false">IF($J413="","",INDEX(LEDGER_ENGINE!$D$2:$D$546,$J413))</f>
        <v/>
      </c>
      <c r="D413" s="149" t="str">
        <f aca="false">IF($J413="","",INDEX(LEDGER_ENGINE!$G$2:$G$546,$J413))</f>
        <v/>
      </c>
      <c r="E413" s="149" t="str">
        <f aca="false">IFERROR(IF($J413="","",INDEX(LEDGER_ENGINE!$H$2:$H$546,$J413)),"")</f>
        <v/>
      </c>
      <c r="F413" s="150" t="str">
        <f aca="false">IF($J413="","",INDEX(LEDGER_ENGINE!$I$2:$I$546,$J413))</f>
        <v/>
      </c>
      <c r="G413" s="150" t="str">
        <f aca="false">IF($J413="","",INDEX(LEDGER_ENGINE!$J$2:$J$546,$J413))</f>
        <v/>
      </c>
      <c r="H413" s="150" t="str">
        <f aca="false">IF($J413="","",INDEX(LEDGER_ENGINE!$L$2:$L$546,$J413))</f>
        <v/>
      </c>
      <c r="I413" s="150" t="str">
        <f aca="false">IF(A413="","",I412+H413)</f>
        <v/>
      </c>
      <c r="J413" s="101" t="str">
        <f aca="false">IFERROR(MATCH(LIBRI_I_MADH!$B$4&amp;"|"&amp;ROWS($A$6:A413),LEDGER_ENGINE!$U$2:$U$546,0),"")</f>
        <v/>
      </c>
    </row>
    <row r="414" customFormat="false" ht="15" hidden="false" customHeight="true" outlineLevel="0" collapsed="false">
      <c r="A414" s="148" t="str">
        <f aca="false">IF($J414="","",INDEX(LEDGER_ENGINE!$B$2:$B$546,$J414))</f>
        <v/>
      </c>
      <c r="B414" s="149" t="str">
        <f aca="false">IF($J414="","",INDEX(LEDGER_ENGINE!$C$2:$C$546,$J414))</f>
        <v/>
      </c>
      <c r="C414" s="149" t="str">
        <f aca="false">IF($J414="","",INDEX(LEDGER_ENGINE!$D$2:$D$546,$J414))</f>
        <v/>
      </c>
      <c r="D414" s="149" t="str">
        <f aca="false">IF($J414="","",INDEX(LEDGER_ENGINE!$G$2:$G$546,$J414))</f>
        <v/>
      </c>
      <c r="E414" s="149" t="str">
        <f aca="false">IFERROR(IF($J414="","",INDEX(LEDGER_ENGINE!$H$2:$H$546,$J414)),"")</f>
        <v/>
      </c>
      <c r="F414" s="150" t="str">
        <f aca="false">IF($J414="","",INDEX(LEDGER_ENGINE!$I$2:$I$546,$J414))</f>
        <v/>
      </c>
      <c r="G414" s="150" t="str">
        <f aca="false">IF($J414="","",INDEX(LEDGER_ENGINE!$J$2:$J$546,$J414))</f>
        <v/>
      </c>
      <c r="H414" s="150" t="str">
        <f aca="false">IF($J414="","",INDEX(LEDGER_ENGINE!$L$2:$L$546,$J414))</f>
        <v/>
      </c>
      <c r="I414" s="150" t="str">
        <f aca="false">IF(A414="","",I413+H414)</f>
        <v/>
      </c>
      <c r="J414" s="101" t="str">
        <f aca="false">IFERROR(MATCH(LIBRI_I_MADH!$B$4&amp;"|"&amp;ROWS($A$6:A414),LEDGER_ENGINE!$U$2:$U$546,0),"")</f>
        <v/>
      </c>
    </row>
    <row r="415" customFormat="false" ht="15" hidden="false" customHeight="true" outlineLevel="0" collapsed="false">
      <c r="A415" s="148" t="str">
        <f aca="false">IF($J415="","",INDEX(LEDGER_ENGINE!$B$2:$B$546,$J415))</f>
        <v/>
      </c>
      <c r="B415" s="149" t="str">
        <f aca="false">IF($J415="","",INDEX(LEDGER_ENGINE!$C$2:$C$546,$J415))</f>
        <v/>
      </c>
      <c r="C415" s="149" t="str">
        <f aca="false">IF($J415="","",INDEX(LEDGER_ENGINE!$D$2:$D$546,$J415))</f>
        <v/>
      </c>
      <c r="D415" s="149" t="str">
        <f aca="false">IF($J415="","",INDEX(LEDGER_ENGINE!$G$2:$G$546,$J415))</f>
        <v/>
      </c>
      <c r="E415" s="149" t="str">
        <f aca="false">IFERROR(IF($J415="","",INDEX(LEDGER_ENGINE!$H$2:$H$546,$J415)),"")</f>
        <v/>
      </c>
      <c r="F415" s="150" t="str">
        <f aca="false">IF($J415="","",INDEX(LEDGER_ENGINE!$I$2:$I$546,$J415))</f>
        <v/>
      </c>
      <c r="G415" s="150" t="str">
        <f aca="false">IF($J415="","",INDEX(LEDGER_ENGINE!$J$2:$J$546,$J415))</f>
        <v/>
      </c>
      <c r="H415" s="150" t="str">
        <f aca="false">IF($J415="","",INDEX(LEDGER_ENGINE!$L$2:$L$546,$J415))</f>
        <v/>
      </c>
      <c r="I415" s="150" t="str">
        <f aca="false">IF(A415="","",I414+H415)</f>
        <v/>
      </c>
      <c r="J415" s="101" t="str">
        <f aca="false">IFERROR(MATCH(LIBRI_I_MADH!$B$4&amp;"|"&amp;ROWS($A$6:A415),LEDGER_ENGINE!$U$2:$U$546,0),"")</f>
        <v/>
      </c>
    </row>
    <row r="416" customFormat="false" ht="15" hidden="false" customHeight="true" outlineLevel="0" collapsed="false">
      <c r="A416" s="148" t="str">
        <f aca="false">IF($J416="","",INDEX(LEDGER_ENGINE!$B$2:$B$546,$J416))</f>
        <v/>
      </c>
      <c r="B416" s="149" t="str">
        <f aca="false">IF($J416="","",INDEX(LEDGER_ENGINE!$C$2:$C$546,$J416))</f>
        <v/>
      </c>
      <c r="C416" s="149" t="str">
        <f aca="false">IF($J416="","",INDEX(LEDGER_ENGINE!$D$2:$D$546,$J416))</f>
        <v/>
      </c>
      <c r="D416" s="149" t="str">
        <f aca="false">IF($J416="","",INDEX(LEDGER_ENGINE!$G$2:$G$546,$J416))</f>
        <v/>
      </c>
      <c r="E416" s="149" t="str">
        <f aca="false">IFERROR(IF($J416="","",INDEX(LEDGER_ENGINE!$H$2:$H$546,$J416)),"")</f>
        <v/>
      </c>
      <c r="F416" s="150" t="str">
        <f aca="false">IF($J416="","",INDEX(LEDGER_ENGINE!$I$2:$I$546,$J416))</f>
        <v/>
      </c>
      <c r="G416" s="150" t="str">
        <f aca="false">IF($J416="","",INDEX(LEDGER_ENGINE!$J$2:$J$546,$J416))</f>
        <v/>
      </c>
      <c r="H416" s="150" t="str">
        <f aca="false">IF($J416="","",INDEX(LEDGER_ENGINE!$L$2:$L$546,$J416))</f>
        <v/>
      </c>
      <c r="I416" s="150" t="str">
        <f aca="false">IF(A416="","",I415+H416)</f>
        <v/>
      </c>
      <c r="J416" s="101" t="str">
        <f aca="false">IFERROR(MATCH(LIBRI_I_MADH!$B$4&amp;"|"&amp;ROWS($A$6:A416),LEDGER_ENGINE!$U$2:$U$546,0),"")</f>
        <v/>
      </c>
    </row>
    <row r="417" customFormat="false" ht="15" hidden="false" customHeight="true" outlineLevel="0" collapsed="false">
      <c r="A417" s="148" t="str">
        <f aca="false">IF($J417="","",INDEX(LEDGER_ENGINE!$B$2:$B$546,$J417))</f>
        <v/>
      </c>
      <c r="B417" s="149" t="str">
        <f aca="false">IF($J417="","",INDEX(LEDGER_ENGINE!$C$2:$C$546,$J417))</f>
        <v/>
      </c>
      <c r="C417" s="149" t="str">
        <f aca="false">IF($J417="","",INDEX(LEDGER_ENGINE!$D$2:$D$546,$J417))</f>
        <v/>
      </c>
      <c r="D417" s="149" t="str">
        <f aca="false">IF($J417="","",INDEX(LEDGER_ENGINE!$G$2:$G$546,$J417))</f>
        <v/>
      </c>
      <c r="E417" s="149" t="str">
        <f aca="false">IFERROR(IF($J417="","",INDEX(LEDGER_ENGINE!$H$2:$H$546,$J417)),"")</f>
        <v/>
      </c>
      <c r="F417" s="150" t="str">
        <f aca="false">IF($J417="","",INDEX(LEDGER_ENGINE!$I$2:$I$546,$J417))</f>
        <v/>
      </c>
      <c r="G417" s="150" t="str">
        <f aca="false">IF($J417="","",INDEX(LEDGER_ENGINE!$J$2:$J$546,$J417))</f>
        <v/>
      </c>
      <c r="H417" s="150" t="str">
        <f aca="false">IF($J417="","",INDEX(LEDGER_ENGINE!$L$2:$L$546,$J417))</f>
        <v/>
      </c>
      <c r="I417" s="150" t="str">
        <f aca="false">IF(A417="","",I416+H417)</f>
        <v/>
      </c>
      <c r="J417" s="101" t="str">
        <f aca="false">IFERROR(MATCH(LIBRI_I_MADH!$B$4&amp;"|"&amp;ROWS($A$6:A417),LEDGER_ENGINE!$U$2:$U$546,0),"")</f>
        <v/>
      </c>
    </row>
    <row r="418" customFormat="false" ht="15" hidden="false" customHeight="true" outlineLevel="0" collapsed="false">
      <c r="A418" s="148" t="str">
        <f aca="false">IF($J418="","",INDEX(LEDGER_ENGINE!$B$2:$B$546,$J418))</f>
        <v/>
      </c>
      <c r="B418" s="149" t="str">
        <f aca="false">IF($J418="","",INDEX(LEDGER_ENGINE!$C$2:$C$546,$J418))</f>
        <v/>
      </c>
      <c r="C418" s="149" t="str">
        <f aca="false">IF($J418="","",INDEX(LEDGER_ENGINE!$D$2:$D$546,$J418))</f>
        <v/>
      </c>
      <c r="D418" s="149" t="str">
        <f aca="false">IF($J418="","",INDEX(LEDGER_ENGINE!$G$2:$G$546,$J418))</f>
        <v/>
      </c>
      <c r="E418" s="149" t="str">
        <f aca="false">IFERROR(IF($J418="","",INDEX(LEDGER_ENGINE!$H$2:$H$546,$J418)),"")</f>
        <v/>
      </c>
      <c r="F418" s="150" t="str">
        <f aca="false">IF($J418="","",INDEX(LEDGER_ENGINE!$I$2:$I$546,$J418))</f>
        <v/>
      </c>
      <c r="G418" s="150" t="str">
        <f aca="false">IF($J418="","",INDEX(LEDGER_ENGINE!$J$2:$J$546,$J418))</f>
        <v/>
      </c>
      <c r="H418" s="150" t="str">
        <f aca="false">IF($J418="","",INDEX(LEDGER_ENGINE!$L$2:$L$546,$J418))</f>
        <v/>
      </c>
      <c r="I418" s="150" t="str">
        <f aca="false">IF(A418="","",I417+H418)</f>
        <v/>
      </c>
      <c r="J418" s="101" t="str">
        <f aca="false">IFERROR(MATCH(LIBRI_I_MADH!$B$4&amp;"|"&amp;ROWS($A$6:A418),LEDGER_ENGINE!$U$2:$U$546,0),"")</f>
        <v/>
      </c>
    </row>
    <row r="419" customFormat="false" ht="15" hidden="false" customHeight="true" outlineLevel="0" collapsed="false">
      <c r="A419" s="148" t="str">
        <f aca="false">IF($J419="","",INDEX(LEDGER_ENGINE!$B$2:$B$546,$J419))</f>
        <v/>
      </c>
      <c r="B419" s="149" t="str">
        <f aca="false">IF($J419="","",INDEX(LEDGER_ENGINE!$C$2:$C$546,$J419))</f>
        <v/>
      </c>
      <c r="C419" s="149" t="str">
        <f aca="false">IF($J419="","",INDEX(LEDGER_ENGINE!$D$2:$D$546,$J419))</f>
        <v/>
      </c>
      <c r="D419" s="149" t="str">
        <f aca="false">IF($J419="","",INDEX(LEDGER_ENGINE!$G$2:$G$546,$J419))</f>
        <v/>
      </c>
      <c r="E419" s="149" t="str">
        <f aca="false">IFERROR(IF($J419="","",INDEX(LEDGER_ENGINE!$H$2:$H$546,$J419)),"")</f>
        <v/>
      </c>
      <c r="F419" s="150" t="str">
        <f aca="false">IF($J419="","",INDEX(LEDGER_ENGINE!$I$2:$I$546,$J419))</f>
        <v/>
      </c>
      <c r="G419" s="150" t="str">
        <f aca="false">IF($J419="","",INDEX(LEDGER_ENGINE!$J$2:$J$546,$J419))</f>
        <v/>
      </c>
      <c r="H419" s="150" t="str">
        <f aca="false">IF($J419="","",INDEX(LEDGER_ENGINE!$L$2:$L$546,$J419))</f>
        <v/>
      </c>
      <c r="I419" s="150" t="str">
        <f aca="false">IF(A419="","",I418+H419)</f>
        <v/>
      </c>
      <c r="J419" s="101" t="str">
        <f aca="false">IFERROR(MATCH(LIBRI_I_MADH!$B$4&amp;"|"&amp;ROWS($A$6:A419),LEDGER_ENGINE!$U$2:$U$546,0),"")</f>
        <v/>
      </c>
    </row>
    <row r="420" customFormat="false" ht="15" hidden="false" customHeight="true" outlineLevel="0" collapsed="false">
      <c r="A420" s="148" t="str">
        <f aca="false">IF($J420="","",INDEX(LEDGER_ENGINE!$B$2:$B$546,$J420))</f>
        <v/>
      </c>
      <c r="B420" s="149" t="str">
        <f aca="false">IF($J420="","",INDEX(LEDGER_ENGINE!$C$2:$C$546,$J420))</f>
        <v/>
      </c>
      <c r="C420" s="149" t="str">
        <f aca="false">IF($J420="","",INDEX(LEDGER_ENGINE!$D$2:$D$546,$J420))</f>
        <v/>
      </c>
      <c r="D420" s="149" t="str">
        <f aca="false">IF($J420="","",INDEX(LEDGER_ENGINE!$G$2:$G$546,$J420))</f>
        <v/>
      </c>
      <c r="E420" s="149" t="str">
        <f aca="false">IFERROR(IF($J420="","",INDEX(LEDGER_ENGINE!$H$2:$H$546,$J420)),"")</f>
        <v/>
      </c>
      <c r="F420" s="150" t="str">
        <f aca="false">IF($J420="","",INDEX(LEDGER_ENGINE!$I$2:$I$546,$J420))</f>
        <v/>
      </c>
      <c r="G420" s="150" t="str">
        <f aca="false">IF($J420="","",INDEX(LEDGER_ENGINE!$J$2:$J$546,$J420))</f>
        <v/>
      </c>
      <c r="H420" s="150" t="str">
        <f aca="false">IF($J420="","",INDEX(LEDGER_ENGINE!$L$2:$L$546,$J420))</f>
        <v/>
      </c>
      <c r="I420" s="150" t="str">
        <f aca="false">IF(A420="","",I419+H420)</f>
        <v/>
      </c>
      <c r="J420" s="101" t="str">
        <f aca="false">IFERROR(MATCH(LIBRI_I_MADH!$B$4&amp;"|"&amp;ROWS($A$6:A420),LEDGER_ENGINE!$U$2:$U$546,0),"")</f>
        <v/>
      </c>
    </row>
    <row r="421" customFormat="false" ht="15" hidden="false" customHeight="true" outlineLevel="0" collapsed="false">
      <c r="A421" s="148" t="str">
        <f aca="false">IF($J421="","",INDEX(LEDGER_ENGINE!$B$2:$B$546,$J421))</f>
        <v/>
      </c>
      <c r="B421" s="149" t="str">
        <f aca="false">IF($J421="","",INDEX(LEDGER_ENGINE!$C$2:$C$546,$J421))</f>
        <v/>
      </c>
      <c r="C421" s="149" t="str">
        <f aca="false">IF($J421="","",INDEX(LEDGER_ENGINE!$D$2:$D$546,$J421))</f>
        <v/>
      </c>
      <c r="D421" s="149" t="str">
        <f aca="false">IF($J421="","",INDEX(LEDGER_ENGINE!$G$2:$G$546,$J421))</f>
        <v/>
      </c>
      <c r="E421" s="149" t="str">
        <f aca="false">IFERROR(IF($J421="","",INDEX(LEDGER_ENGINE!$H$2:$H$546,$J421)),"")</f>
        <v/>
      </c>
      <c r="F421" s="150" t="str">
        <f aca="false">IF($J421="","",INDEX(LEDGER_ENGINE!$I$2:$I$546,$J421))</f>
        <v/>
      </c>
      <c r="G421" s="150" t="str">
        <f aca="false">IF($J421="","",INDEX(LEDGER_ENGINE!$J$2:$J$546,$J421))</f>
        <v/>
      </c>
      <c r="H421" s="150" t="str">
        <f aca="false">IF($J421="","",INDEX(LEDGER_ENGINE!$L$2:$L$546,$J421))</f>
        <v/>
      </c>
      <c r="I421" s="150" t="str">
        <f aca="false">IF(A421="","",I420+H421)</f>
        <v/>
      </c>
      <c r="J421" s="101" t="str">
        <f aca="false">IFERROR(MATCH(LIBRI_I_MADH!$B$4&amp;"|"&amp;ROWS($A$6:A421),LEDGER_ENGINE!$U$2:$U$546,0),"")</f>
        <v/>
      </c>
    </row>
    <row r="422" customFormat="false" ht="15" hidden="false" customHeight="true" outlineLevel="0" collapsed="false">
      <c r="A422" s="148" t="str">
        <f aca="false">IF($J422="","",INDEX(LEDGER_ENGINE!$B$2:$B$546,$J422))</f>
        <v/>
      </c>
      <c r="B422" s="149" t="str">
        <f aca="false">IF($J422="","",INDEX(LEDGER_ENGINE!$C$2:$C$546,$J422))</f>
        <v/>
      </c>
      <c r="C422" s="149" t="str">
        <f aca="false">IF($J422="","",INDEX(LEDGER_ENGINE!$D$2:$D$546,$J422))</f>
        <v/>
      </c>
      <c r="D422" s="149" t="str">
        <f aca="false">IF($J422="","",INDEX(LEDGER_ENGINE!$G$2:$G$546,$J422))</f>
        <v/>
      </c>
      <c r="E422" s="149" t="str">
        <f aca="false">IFERROR(IF($J422="","",INDEX(LEDGER_ENGINE!$H$2:$H$546,$J422)),"")</f>
        <v/>
      </c>
      <c r="F422" s="150" t="str">
        <f aca="false">IF($J422="","",INDEX(LEDGER_ENGINE!$I$2:$I$546,$J422))</f>
        <v/>
      </c>
      <c r="G422" s="150" t="str">
        <f aca="false">IF($J422="","",INDEX(LEDGER_ENGINE!$J$2:$J$546,$J422))</f>
        <v/>
      </c>
      <c r="H422" s="150" t="str">
        <f aca="false">IF($J422="","",INDEX(LEDGER_ENGINE!$L$2:$L$546,$J422))</f>
        <v/>
      </c>
      <c r="I422" s="150" t="str">
        <f aca="false">IF(A422="","",I421+H422)</f>
        <v/>
      </c>
      <c r="J422" s="101" t="str">
        <f aca="false">IFERROR(MATCH(LIBRI_I_MADH!$B$4&amp;"|"&amp;ROWS($A$6:A422),LEDGER_ENGINE!$U$2:$U$546,0),"")</f>
        <v/>
      </c>
    </row>
    <row r="423" customFormat="false" ht="15" hidden="false" customHeight="true" outlineLevel="0" collapsed="false">
      <c r="A423" s="148" t="str">
        <f aca="false">IF($J423="","",INDEX(LEDGER_ENGINE!$B$2:$B$546,$J423))</f>
        <v/>
      </c>
      <c r="B423" s="149" t="str">
        <f aca="false">IF($J423="","",INDEX(LEDGER_ENGINE!$C$2:$C$546,$J423))</f>
        <v/>
      </c>
      <c r="C423" s="149" t="str">
        <f aca="false">IF($J423="","",INDEX(LEDGER_ENGINE!$D$2:$D$546,$J423))</f>
        <v/>
      </c>
      <c r="D423" s="149" t="str">
        <f aca="false">IF($J423="","",INDEX(LEDGER_ENGINE!$G$2:$G$546,$J423))</f>
        <v/>
      </c>
      <c r="E423" s="149" t="str">
        <f aca="false">IFERROR(IF($J423="","",INDEX(LEDGER_ENGINE!$H$2:$H$546,$J423)),"")</f>
        <v/>
      </c>
      <c r="F423" s="150" t="str">
        <f aca="false">IF($J423="","",INDEX(LEDGER_ENGINE!$I$2:$I$546,$J423))</f>
        <v/>
      </c>
      <c r="G423" s="150" t="str">
        <f aca="false">IF($J423="","",INDEX(LEDGER_ENGINE!$J$2:$J$546,$J423))</f>
        <v/>
      </c>
      <c r="H423" s="150" t="str">
        <f aca="false">IF($J423="","",INDEX(LEDGER_ENGINE!$L$2:$L$546,$J423))</f>
        <v/>
      </c>
      <c r="I423" s="150" t="str">
        <f aca="false">IF(A423="","",I422+H423)</f>
        <v/>
      </c>
      <c r="J423" s="101" t="str">
        <f aca="false">IFERROR(MATCH(LIBRI_I_MADH!$B$4&amp;"|"&amp;ROWS($A$6:A423),LEDGER_ENGINE!$U$2:$U$546,0),"")</f>
        <v/>
      </c>
    </row>
    <row r="424" customFormat="false" ht="15" hidden="false" customHeight="true" outlineLevel="0" collapsed="false">
      <c r="A424" s="148" t="str">
        <f aca="false">IF($J424="","",INDEX(LEDGER_ENGINE!$B$2:$B$546,$J424))</f>
        <v/>
      </c>
      <c r="B424" s="149" t="str">
        <f aca="false">IF($J424="","",INDEX(LEDGER_ENGINE!$C$2:$C$546,$J424))</f>
        <v/>
      </c>
      <c r="C424" s="149" t="str">
        <f aca="false">IF($J424="","",INDEX(LEDGER_ENGINE!$D$2:$D$546,$J424))</f>
        <v/>
      </c>
      <c r="D424" s="149" t="str">
        <f aca="false">IF($J424="","",INDEX(LEDGER_ENGINE!$G$2:$G$546,$J424))</f>
        <v/>
      </c>
      <c r="E424" s="149" t="str">
        <f aca="false">IFERROR(IF($J424="","",INDEX(LEDGER_ENGINE!$H$2:$H$546,$J424)),"")</f>
        <v/>
      </c>
      <c r="F424" s="150" t="str">
        <f aca="false">IF($J424="","",INDEX(LEDGER_ENGINE!$I$2:$I$546,$J424))</f>
        <v/>
      </c>
      <c r="G424" s="150" t="str">
        <f aca="false">IF($J424="","",INDEX(LEDGER_ENGINE!$J$2:$J$546,$J424))</f>
        <v/>
      </c>
      <c r="H424" s="150" t="str">
        <f aca="false">IF($J424="","",INDEX(LEDGER_ENGINE!$L$2:$L$546,$J424))</f>
        <v/>
      </c>
      <c r="I424" s="150" t="str">
        <f aca="false">IF(A424="","",I423+H424)</f>
        <v/>
      </c>
      <c r="J424" s="101" t="str">
        <f aca="false">IFERROR(MATCH(LIBRI_I_MADH!$B$4&amp;"|"&amp;ROWS($A$6:A424),LEDGER_ENGINE!$U$2:$U$546,0),"")</f>
        <v/>
      </c>
    </row>
    <row r="425" customFormat="false" ht="15" hidden="false" customHeight="true" outlineLevel="0" collapsed="false">
      <c r="A425" s="148" t="str">
        <f aca="false">IF($J425="","",INDEX(LEDGER_ENGINE!$B$2:$B$546,$J425))</f>
        <v/>
      </c>
      <c r="B425" s="149" t="str">
        <f aca="false">IF($J425="","",INDEX(LEDGER_ENGINE!$C$2:$C$546,$J425))</f>
        <v/>
      </c>
      <c r="C425" s="149" t="str">
        <f aca="false">IF($J425="","",INDEX(LEDGER_ENGINE!$D$2:$D$546,$J425))</f>
        <v/>
      </c>
      <c r="D425" s="149" t="str">
        <f aca="false">IF($J425="","",INDEX(LEDGER_ENGINE!$G$2:$G$546,$J425))</f>
        <v/>
      </c>
      <c r="E425" s="149" t="str">
        <f aca="false">IFERROR(IF($J425="","",INDEX(LEDGER_ENGINE!$H$2:$H$546,$J425)),"")</f>
        <v/>
      </c>
      <c r="F425" s="150" t="str">
        <f aca="false">IF($J425="","",INDEX(LEDGER_ENGINE!$I$2:$I$546,$J425))</f>
        <v/>
      </c>
      <c r="G425" s="150" t="str">
        <f aca="false">IF($J425="","",INDEX(LEDGER_ENGINE!$J$2:$J$546,$J425))</f>
        <v/>
      </c>
      <c r="H425" s="150" t="str">
        <f aca="false">IF($J425="","",INDEX(LEDGER_ENGINE!$L$2:$L$546,$J425))</f>
        <v/>
      </c>
      <c r="I425" s="150" t="str">
        <f aca="false">IF(A425="","",I424+H425)</f>
        <v/>
      </c>
      <c r="J425" s="101" t="str">
        <f aca="false">IFERROR(MATCH(LIBRI_I_MADH!$B$4&amp;"|"&amp;ROWS($A$6:A425),LEDGER_ENGINE!$U$2:$U$546,0),"")</f>
        <v/>
      </c>
    </row>
    <row r="426" customFormat="false" ht="15" hidden="false" customHeight="true" outlineLevel="0" collapsed="false">
      <c r="A426" s="148" t="str">
        <f aca="false">IF($J426="","",INDEX(LEDGER_ENGINE!$B$2:$B$546,$J426))</f>
        <v/>
      </c>
      <c r="B426" s="149" t="str">
        <f aca="false">IF($J426="","",INDEX(LEDGER_ENGINE!$C$2:$C$546,$J426))</f>
        <v/>
      </c>
      <c r="C426" s="149" t="str">
        <f aca="false">IF($J426="","",INDEX(LEDGER_ENGINE!$D$2:$D$546,$J426))</f>
        <v/>
      </c>
      <c r="D426" s="149" t="str">
        <f aca="false">IF($J426="","",INDEX(LEDGER_ENGINE!$G$2:$G$546,$J426))</f>
        <v/>
      </c>
      <c r="E426" s="149" t="str">
        <f aca="false">IFERROR(IF($J426="","",INDEX(LEDGER_ENGINE!$H$2:$H$546,$J426)),"")</f>
        <v/>
      </c>
      <c r="F426" s="150" t="str">
        <f aca="false">IF($J426="","",INDEX(LEDGER_ENGINE!$I$2:$I$546,$J426))</f>
        <v/>
      </c>
      <c r="G426" s="150" t="str">
        <f aca="false">IF($J426="","",INDEX(LEDGER_ENGINE!$J$2:$J$546,$J426))</f>
        <v/>
      </c>
      <c r="H426" s="150" t="str">
        <f aca="false">IF($J426="","",INDEX(LEDGER_ENGINE!$L$2:$L$546,$J426))</f>
        <v/>
      </c>
      <c r="I426" s="150" t="str">
        <f aca="false">IF(A426="","",I425+H426)</f>
        <v/>
      </c>
      <c r="J426" s="101" t="str">
        <f aca="false">IFERROR(MATCH(LIBRI_I_MADH!$B$4&amp;"|"&amp;ROWS($A$6:A426),LEDGER_ENGINE!$U$2:$U$546,0),"")</f>
        <v/>
      </c>
    </row>
    <row r="427" customFormat="false" ht="15" hidden="false" customHeight="true" outlineLevel="0" collapsed="false">
      <c r="A427" s="148" t="str">
        <f aca="false">IF($J427="","",INDEX(LEDGER_ENGINE!$B$2:$B$546,$J427))</f>
        <v/>
      </c>
      <c r="B427" s="149" t="str">
        <f aca="false">IF($J427="","",INDEX(LEDGER_ENGINE!$C$2:$C$546,$J427))</f>
        <v/>
      </c>
      <c r="C427" s="149" t="str">
        <f aca="false">IF($J427="","",INDEX(LEDGER_ENGINE!$D$2:$D$546,$J427))</f>
        <v/>
      </c>
      <c r="D427" s="149" t="str">
        <f aca="false">IF($J427="","",INDEX(LEDGER_ENGINE!$G$2:$G$546,$J427))</f>
        <v/>
      </c>
      <c r="E427" s="149" t="str">
        <f aca="false">IFERROR(IF($J427="","",INDEX(LEDGER_ENGINE!$H$2:$H$546,$J427)),"")</f>
        <v/>
      </c>
      <c r="F427" s="150" t="str">
        <f aca="false">IF($J427="","",INDEX(LEDGER_ENGINE!$I$2:$I$546,$J427))</f>
        <v/>
      </c>
      <c r="G427" s="150" t="str">
        <f aca="false">IF($J427="","",INDEX(LEDGER_ENGINE!$J$2:$J$546,$J427))</f>
        <v/>
      </c>
      <c r="H427" s="150" t="str">
        <f aca="false">IF($J427="","",INDEX(LEDGER_ENGINE!$L$2:$L$546,$J427))</f>
        <v/>
      </c>
      <c r="I427" s="150" t="str">
        <f aca="false">IF(A427="","",I426+H427)</f>
        <v/>
      </c>
      <c r="J427" s="101" t="str">
        <f aca="false">IFERROR(MATCH(LIBRI_I_MADH!$B$4&amp;"|"&amp;ROWS($A$6:A427),LEDGER_ENGINE!$U$2:$U$546,0),"")</f>
        <v/>
      </c>
    </row>
    <row r="428" customFormat="false" ht="15" hidden="false" customHeight="true" outlineLevel="0" collapsed="false">
      <c r="A428" s="148" t="str">
        <f aca="false">IF($J428="","",INDEX(LEDGER_ENGINE!$B$2:$B$546,$J428))</f>
        <v/>
      </c>
      <c r="B428" s="149" t="str">
        <f aca="false">IF($J428="","",INDEX(LEDGER_ENGINE!$C$2:$C$546,$J428))</f>
        <v/>
      </c>
      <c r="C428" s="149" t="str">
        <f aca="false">IF($J428="","",INDEX(LEDGER_ENGINE!$D$2:$D$546,$J428))</f>
        <v/>
      </c>
      <c r="D428" s="149" t="str">
        <f aca="false">IF($J428="","",INDEX(LEDGER_ENGINE!$G$2:$G$546,$J428))</f>
        <v/>
      </c>
      <c r="E428" s="149" t="str">
        <f aca="false">IFERROR(IF($J428="","",INDEX(LEDGER_ENGINE!$H$2:$H$546,$J428)),"")</f>
        <v/>
      </c>
      <c r="F428" s="150" t="str">
        <f aca="false">IF($J428="","",INDEX(LEDGER_ENGINE!$I$2:$I$546,$J428))</f>
        <v/>
      </c>
      <c r="G428" s="150" t="str">
        <f aca="false">IF($J428="","",INDEX(LEDGER_ENGINE!$J$2:$J$546,$J428))</f>
        <v/>
      </c>
      <c r="H428" s="150" t="str">
        <f aca="false">IF($J428="","",INDEX(LEDGER_ENGINE!$L$2:$L$546,$J428))</f>
        <v/>
      </c>
      <c r="I428" s="150" t="str">
        <f aca="false">IF(A428="","",I427+H428)</f>
        <v/>
      </c>
      <c r="J428" s="101" t="str">
        <f aca="false">IFERROR(MATCH(LIBRI_I_MADH!$B$4&amp;"|"&amp;ROWS($A$6:A428),LEDGER_ENGINE!$U$2:$U$546,0),"")</f>
        <v/>
      </c>
    </row>
    <row r="429" customFormat="false" ht="15" hidden="false" customHeight="true" outlineLevel="0" collapsed="false">
      <c r="A429" s="148" t="str">
        <f aca="false">IF($J429="","",INDEX(LEDGER_ENGINE!$B$2:$B$546,$J429))</f>
        <v/>
      </c>
      <c r="B429" s="149" t="str">
        <f aca="false">IF($J429="","",INDEX(LEDGER_ENGINE!$C$2:$C$546,$J429))</f>
        <v/>
      </c>
      <c r="C429" s="149" t="str">
        <f aca="false">IF($J429="","",INDEX(LEDGER_ENGINE!$D$2:$D$546,$J429))</f>
        <v/>
      </c>
      <c r="D429" s="149" t="str">
        <f aca="false">IF($J429="","",INDEX(LEDGER_ENGINE!$G$2:$G$546,$J429))</f>
        <v/>
      </c>
      <c r="E429" s="149" t="str">
        <f aca="false">IFERROR(IF($J429="","",INDEX(LEDGER_ENGINE!$H$2:$H$546,$J429)),"")</f>
        <v/>
      </c>
      <c r="F429" s="150" t="str">
        <f aca="false">IF($J429="","",INDEX(LEDGER_ENGINE!$I$2:$I$546,$J429))</f>
        <v/>
      </c>
      <c r="G429" s="150" t="str">
        <f aca="false">IF($J429="","",INDEX(LEDGER_ENGINE!$J$2:$J$546,$J429))</f>
        <v/>
      </c>
      <c r="H429" s="150" t="str">
        <f aca="false">IF($J429="","",INDEX(LEDGER_ENGINE!$L$2:$L$546,$J429))</f>
        <v/>
      </c>
      <c r="I429" s="150" t="str">
        <f aca="false">IF(A429="","",I428+H429)</f>
        <v/>
      </c>
      <c r="J429" s="101" t="str">
        <f aca="false">IFERROR(MATCH(LIBRI_I_MADH!$B$4&amp;"|"&amp;ROWS($A$6:A429),LEDGER_ENGINE!$U$2:$U$546,0),"")</f>
        <v/>
      </c>
    </row>
    <row r="430" customFormat="false" ht="15" hidden="false" customHeight="true" outlineLevel="0" collapsed="false">
      <c r="A430" s="148" t="str">
        <f aca="false">IF($J430="","",INDEX(LEDGER_ENGINE!$B$2:$B$546,$J430))</f>
        <v/>
      </c>
      <c r="B430" s="149" t="str">
        <f aca="false">IF($J430="","",INDEX(LEDGER_ENGINE!$C$2:$C$546,$J430))</f>
        <v/>
      </c>
      <c r="C430" s="149" t="str">
        <f aca="false">IF($J430="","",INDEX(LEDGER_ENGINE!$D$2:$D$546,$J430))</f>
        <v/>
      </c>
      <c r="D430" s="149" t="str">
        <f aca="false">IF($J430="","",INDEX(LEDGER_ENGINE!$G$2:$G$546,$J430))</f>
        <v/>
      </c>
      <c r="E430" s="149" t="str">
        <f aca="false">IFERROR(IF($J430="","",INDEX(LEDGER_ENGINE!$H$2:$H$546,$J430)),"")</f>
        <v/>
      </c>
      <c r="F430" s="150" t="str">
        <f aca="false">IF($J430="","",INDEX(LEDGER_ENGINE!$I$2:$I$546,$J430))</f>
        <v/>
      </c>
      <c r="G430" s="150" t="str">
        <f aca="false">IF($J430="","",INDEX(LEDGER_ENGINE!$J$2:$J$546,$J430))</f>
        <v/>
      </c>
      <c r="H430" s="150" t="str">
        <f aca="false">IF($J430="","",INDEX(LEDGER_ENGINE!$L$2:$L$546,$J430))</f>
        <v/>
      </c>
      <c r="I430" s="150" t="str">
        <f aca="false">IF(A430="","",I429+H430)</f>
        <v/>
      </c>
      <c r="J430" s="101" t="str">
        <f aca="false">IFERROR(MATCH(LIBRI_I_MADH!$B$4&amp;"|"&amp;ROWS($A$6:A430),LEDGER_ENGINE!$U$2:$U$546,0),"")</f>
        <v/>
      </c>
    </row>
    <row r="431" customFormat="false" ht="15" hidden="false" customHeight="true" outlineLevel="0" collapsed="false">
      <c r="A431" s="148" t="str">
        <f aca="false">IF($J431="","",INDEX(LEDGER_ENGINE!$B$2:$B$546,$J431))</f>
        <v/>
      </c>
      <c r="B431" s="149" t="str">
        <f aca="false">IF($J431="","",INDEX(LEDGER_ENGINE!$C$2:$C$546,$J431))</f>
        <v/>
      </c>
      <c r="C431" s="149" t="str">
        <f aca="false">IF($J431="","",INDEX(LEDGER_ENGINE!$D$2:$D$546,$J431))</f>
        <v/>
      </c>
      <c r="D431" s="149" t="str">
        <f aca="false">IF($J431="","",INDEX(LEDGER_ENGINE!$G$2:$G$546,$J431))</f>
        <v/>
      </c>
      <c r="E431" s="149" t="str">
        <f aca="false">IFERROR(IF($J431="","",INDEX(LEDGER_ENGINE!$H$2:$H$546,$J431)),"")</f>
        <v/>
      </c>
      <c r="F431" s="150" t="str">
        <f aca="false">IF($J431="","",INDEX(LEDGER_ENGINE!$I$2:$I$546,$J431))</f>
        <v/>
      </c>
      <c r="G431" s="150" t="str">
        <f aca="false">IF($J431="","",INDEX(LEDGER_ENGINE!$J$2:$J$546,$J431))</f>
        <v/>
      </c>
      <c r="H431" s="150" t="str">
        <f aca="false">IF($J431="","",INDEX(LEDGER_ENGINE!$L$2:$L$546,$J431))</f>
        <v/>
      </c>
      <c r="I431" s="150" t="str">
        <f aca="false">IF(A431="","",I430+H431)</f>
        <v/>
      </c>
      <c r="J431" s="101" t="str">
        <f aca="false">IFERROR(MATCH(LIBRI_I_MADH!$B$4&amp;"|"&amp;ROWS($A$6:A431),LEDGER_ENGINE!$U$2:$U$546,0),"")</f>
        <v/>
      </c>
    </row>
    <row r="432" customFormat="false" ht="15" hidden="false" customHeight="true" outlineLevel="0" collapsed="false">
      <c r="A432" s="148" t="str">
        <f aca="false">IF($J432="","",INDEX(LEDGER_ENGINE!$B$2:$B$546,$J432))</f>
        <v/>
      </c>
      <c r="B432" s="149" t="str">
        <f aca="false">IF($J432="","",INDEX(LEDGER_ENGINE!$C$2:$C$546,$J432))</f>
        <v/>
      </c>
      <c r="C432" s="149" t="str">
        <f aca="false">IF($J432="","",INDEX(LEDGER_ENGINE!$D$2:$D$546,$J432))</f>
        <v/>
      </c>
      <c r="D432" s="149" t="str">
        <f aca="false">IF($J432="","",INDEX(LEDGER_ENGINE!$G$2:$G$546,$J432))</f>
        <v/>
      </c>
      <c r="E432" s="149" t="str">
        <f aca="false">IFERROR(IF($J432="","",INDEX(LEDGER_ENGINE!$H$2:$H$546,$J432)),"")</f>
        <v/>
      </c>
      <c r="F432" s="150" t="str">
        <f aca="false">IF($J432="","",INDEX(LEDGER_ENGINE!$I$2:$I$546,$J432))</f>
        <v/>
      </c>
      <c r="G432" s="150" t="str">
        <f aca="false">IF($J432="","",INDEX(LEDGER_ENGINE!$J$2:$J$546,$J432))</f>
        <v/>
      </c>
      <c r="H432" s="150" t="str">
        <f aca="false">IF($J432="","",INDEX(LEDGER_ENGINE!$L$2:$L$546,$J432))</f>
        <v/>
      </c>
      <c r="I432" s="150" t="str">
        <f aca="false">IF(A432="","",I431+H432)</f>
        <v/>
      </c>
      <c r="J432" s="101" t="str">
        <f aca="false">IFERROR(MATCH(LIBRI_I_MADH!$B$4&amp;"|"&amp;ROWS($A$6:A432),LEDGER_ENGINE!$U$2:$U$546,0),"")</f>
        <v/>
      </c>
    </row>
    <row r="433" customFormat="false" ht="15" hidden="false" customHeight="true" outlineLevel="0" collapsed="false">
      <c r="A433" s="148" t="str">
        <f aca="false">IF($J433="","",INDEX(LEDGER_ENGINE!$B$2:$B$546,$J433))</f>
        <v/>
      </c>
      <c r="B433" s="149" t="str">
        <f aca="false">IF($J433="","",INDEX(LEDGER_ENGINE!$C$2:$C$546,$J433))</f>
        <v/>
      </c>
      <c r="C433" s="149" t="str">
        <f aca="false">IF($J433="","",INDEX(LEDGER_ENGINE!$D$2:$D$546,$J433))</f>
        <v/>
      </c>
      <c r="D433" s="149" t="str">
        <f aca="false">IF($J433="","",INDEX(LEDGER_ENGINE!$G$2:$G$546,$J433))</f>
        <v/>
      </c>
      <c r="E433" s="149" t="str">
        <f aca="false">IFERROR(IF($J433="","",INDEX(LEDGER_ENGINE!$H$2:$H$546,$J433)),"")</f>
        <v/>
      </c>
      <c r="F433" s="150" t="str">
        <f aca="false">IF($J433="","",INDEX(LEDGER_ENGINE!$I$2:$I$546,$J433))</f>
        <v/>
      </c>
      <c r="G433" s="150" t="str">
        <f aca="false">IF($J433="","",INDEX(LEDGER_ENGINE!$J$2:$J$546,$J433))</f>
        <v/>
      </c>
      <c r="H433" s="150" t="str">
        <f aca="false">IF($J433="","",INDEX(LEDGER_ENGINE!$L$2:$L$546,$J433))</f>
        <v/>
      </c>
      <c r="I433" s="150" t="str">
        <f aca="false">IF(A433="","",I432+H433)</f>
        <v/>
      </c>
      <c r="J433" s="101" t="str">
        <f aca="false">IFERROR(MATCH(LIBRI_I_MADH!$B$4&amp;"|"&amp;ROWS($A$6:A433),LEDGER_ENGINE!$U$2:$U$546,0),"")</f>
        <v/>
      </c>
    </row>
    <row r="434" customFormat="false" ht="15" hidden="false" customHeight="true" outlineLevel="0" collapsed="false">
      <c r="A434" s="148" t="str">
        <f aca="false">IF($J434="","",INDEX(LEDGER_ENGINE!$B$2:$B$546,$J434))</f>
        <v/>
      </c>
      <c r="B434" s="149" t="str">
        <f aca="false">IF($J434="","",INDEX(LEDGER_ENGINE!$C$2:$C$546,$J434))</f>
        <v/>
      </c>
      <c r="C434" s="149" t="str">
        <f aca="false">IF($J434="","",INDEX(LEDGER_ENGINE!$D$2:$D$546,$J434))</f>
        <v/>
      </c>
      <c r="D434" s="149" t="str">
        <f aca="false">IF($J434="","",INDEX(LEDGER_ENGINE!$G$2:$G$546,$J434))</f>
        <v/>
      </c>
      <c r="E434" s="149" t="str">
        <f aca="false">IFERROR(IF($J434="","",INDEX(LEDGER_ENGINE!$H$2:$H$546,$J434)),"")</f>
        <v/>
      </c>
      <c r="F434" s="150" t="str">
        <f aca="false">IF($J434="","",INDEX(LEDGER_ENGINE!$I$2:$I$546,$J434))</f>
        <v/>
      </c>
      <c r="G434" s="150" t="str">
        <f aca="false">IF($J434="","",INDEX(LEDGER_ENGINE!$J$2:$J$546,$J434))</f>
        <v/>
      </c>
      <c r="H434" s="150" t="str">
        <f aca="false">IF($J434="","",INDEX(LEDGER_ENGINE!$L$2:$L$546,$J434))</f>
        <v/>
      </c>
      <c r="I434" s="150" t="str">
        <f aca="false">IF(A434="","",I433+H434)</f>
        <v/>
      </c>
      <c r="J434" s="101" t="str">
        <f aca="false">IFERROR(MATCH(LIBRI_I_MADH!$B$4&amp;"|"&amp;ROWS($A$6:A434),LEDGER_ENGINE!$U$2:$U$546,0),"")</f>
        <v/>
      </c>
    </row>
    <row r="435" customFormat="false" ht="15" hidden="false" customHeight="true" outlineLevel="0" collapsed="false">
      <c r="A435" s="148" t="str">
        <f aca="false">IF($J435="","",INDEX(LEDGER_ENGINE!$B$2:$B$546,$J435))</f>
        <v/>
      </c>
      <c r="B435" s="149" t="str">
        <f aca="false">IF($J435="","",INDEX(LEDGER_ENGINE!$C$2:$C$546,$J435))</f>
        <v/>
      </c>
      <c r="C435" s="149" t="str">
        <f aca="false">IF($J435="","",INDEX(LEDGER_ENGINE!$D$2:$D$546,$J435))</f>
        <v/>
      </c>
      <c r="D435" s="149" t="str">
        <f aca="false">IF($J435="","",INDEX(LEDGER_ENGINE!$G$2:$G$546,$J435))</f>
        <v/>
      </c>
      <c r="E435" s="149" t="str">
        <f aca="false">IFERROR(IF($J435="","",INDEX(LEDGER_ENGINE!$H$2:$H$546,$J435)),"")</f>
        <v/>
      </c>
      <c r="F435" s="150" t="str">
        <f aca="false">IF($J435="","",INDEX(LEDGER_ENGINE!$I$2:$I$546,$J435))</f>
        <v/>
      </c>
      <c r="G435" s="150" t="str">
        <f aca="false">IF($J435="","",INDEX(LEDGER_ENGINE!$J$2:$J$546,$J435))</f>
        <v/>
      </c>
      <c r="H435" s="150" t="str">
        <f aca="false">IF($J435="","",INDEX(LEDGER_ENGINE!$L$2:$L$546,$J435))</f>
        <v/>
      </c>
      <c r="I435" s="150" t="str">
        <f aca="false">IF(A435="","",I434+H435)</f>
        <v/>
      </c>
      <c r="J435" s="101" t="str">
        <f aca="false">IFERROR(MATCH(LIBRI_I_MADH!$B$4&amp;"|"&amp;ROWS($A$6:A435),LEDGER_ENGINE!$U$2:$U$546,0),"")</f>
        <v/>
      </c>
    </row>
    <row r="436" customFormat="false" ht="15" hidden="false" customHeight="true" outlineLevel="0" collapsed="false">
      <c r="A436" s="148" t="str">
        <f aca="false">IF($J436="","",INDEX(LEDGER_ENGINE!$B$2:$B$546,$J436))</f>
        <v/>
      </c>
      <c r="B436" s="149" t="str">
        <f aca="false">IF($J436="","",INDEX(LEDGER_ENGINE!$C$2:$C$546,$J436))</f>
        <v/>
      </c>
      <c r="C436" s="149" t="str">
        <f aca="false">IF($J436="","",INDEX(LEDGER_ENGINE!$D$2:$D$546,$J436))</f>
        <v/>
      </c>
      <c r="D436" s="149" t="str">
        <f aca="false">IF($J436="","",INDEX(LEDGER_ENGINE!$G$2:$G$546,$J436))</f>
        <v/>
      </c>
      <c r="E436" s="149" t="str">
        <f aca="false">IFERROR(IF($J436="","",INDEX(LEDGER_ENGINE!$H$2:$H$546,$J436)),"")</f>
        <v/>
      </c>
      <c r="F436" s="150" t="str">
        <f aca="false">IF($J436="","",INDEX(LEDGER_ENGINE!$I$2:$I$546,$J436))</f>
        <v/>
      </c>
      <c r="G436" s="150" t="str">
        <f aca="false">IF($J436="","",INDEX(LEDGER_ENGINE!$J$2:$J$546,$J436))</f>
        <v/>
      </c>
      <c r="H436" s="150" t="str">
        <f aca="false">IF($J436="","",INDEX(LEDGER_ENGINE!$L$2:$L$546,$J436))</f>
        <v/>
      </c>
      <c r="I436" s="150" t="str">
        <f aca="false">IF(A436="","",I435+H436)</f>
        <v/>
      </c>
      <c r="J436" s="101" t="str">
        <f aca="false">IFERROR(MATCH(LIBRI_I_MADH!$B$4&amp;"|"&amp;ROWS($A$6:A436),LEDGER_ENGINE!$U$2:$U$546,0),"")</f>
        <v/>
      </c>
    </row>
    <row r="437" customFormat="false" ht="15" hidden="false" customHeight="true" outlineLevel="0" collapsed="false">
      <c r="A437" s="148" t="str">
        <f aca="false">IF($J437="","",INDEX(LEDGER_ENGINE!$B$2:$B$546,$J437))</f>
        <v/>
      </c>
      <c r="B437" s="149" t="str">
        <f aca="false">IF($J437="","",INDEX(LEDGER_ENGINE!$C$2:$C$546,$J437))</f>
        <v/>
      </c>
      <c r="C437" s="149" t="str">
        <f aca="false">IF($J437="","",INDEX(LEDGER_ENGINE!$D$2:$D$546,$J437))</f>
        <v/>
      </c>
      <c r="D437" s="149" t="str">
        <f aca="false">IF($J437="","",INDEX(LEDGER_ENGINE!$G$2:$G$546,$J437))</f>
        <v/>
      </c>
      <c r="E437" s="149" t="str">
        <f aca="false">IFERROR(IF($J437="","",INDEX(LEDGER_ENGINE!$H$2:$H$546,$J437)),"")</f>
        <v/>
      </c>
      <c r="F437" s="150" t="str">
        <f aca="false">IF($J437="","",INDEX(LEDGER_ENGINE!$I$2:$I$546,$J437))</f>
        <v/>
      </c>
      <c r="G437" s="150" t="str">
        <f aca="false">IF($J437="","",INDEX(LEDGER_ENGINE!$J$2:$J$546,$J437))</f>
        <v/>
      </c>
      <c r="H437" s="150" t="str">
        <f aca="false">IF($J437="","",INDEX(LEDGER_ENGINE!$L$2:$L$546,$J437))</f>
        <v/>
      </c>
      <c r="I437" s="150" t="str">
        <f aca="false">IF(A437="","",I436+H437)</f>
        <v/>
      </c>
      <c r="J437" s="101" t="str">
        <f aca="false">IFERROR(MATCH(LIBRI_I_MADH!$B$4&amp;"|"&amp;ROWS($A$6:A437),LEDGER_ENGINE!$U$2:$U$546,0),"")</f>
        <v/>
      </c>
    </row>
    <row r="438" customFormat="false" ht="15" hidden="false" customHeight="true" outlineLevel="0" collapsed="false">
      <c r="A438" s="148" t="str">
        <f aca="false">IF($J438="","",INDEX(LEDGER_ENGINE!$B$2:$B$546,$J438))</f>
        <v/>
      </c>
      <c r="B438" s="149" t="str">
        <f aca="false">IF($J438="","",INDEX(LEDGER_ENGINE!$C$2:$C$546,$J438))</f>
        <v/>
      </c>
      <c r="C438" s="149" t="str">
        <f aca="false">IF($J438="","",INDEX(LEDGER_ENGINE!$D$2:$D$546,$J438))</f>
        <v/>
      </c>
      <c r="D438" s="149" t="str">
        <f aca="false">IF($J438="","",INDEX(LEDGER_ENGINE!$G$2:$G$546,$J438))</f>
        <v/>
      </c>
      <c r="E438" s="149" t="str">
        <f aca="false">IFERROR(IF($J438="","",INDEX(LEDGER_ENGINE!$H$2:$H$546,$J438)),"")</f>
        <v/>
      </c>
      <c r="F438" s="150" t="str">
        <f aca="false">IF($J438="","",INDEX(LEDGER_ENGINE!$I$2:$I$546,$J438))</f>
        <v/>
      </c>
      <c r="G438" s="150" t="str">
        <f aca="false">IF($J438="","",INDEX(LEDGER_ENGINE!$J$2:$J$546,$J438))</f>
        <v/>
      </c>
      <c r="H438" s="150" t="str">
        <f aca="false">IF($J438="","",INDEX(LEDGER_ENGINE!$L$2:$L$546,$J438))</f>
        <v/>
      </c>
      <c r="I438" s="150" t="str">
        <f aca="false">IF(A438="","",I437+H438)</f>
        <v/>
      </c>
      <c r="J438" s="101" t="str">
        <f aca="false">IFERROR(MATCH(LIBRI_I_MADH!$B$4&amp;"|"&amp;ROWS($A$6:A438),LEDGER_ENGINE!$U$2:$U$546,0),"")</f>
        <v/>
      </c>
    </row>
    <row r="439" customFormat="false" ht="15" hidden="false" customHeight="true" outlineLevel="0" collapsed="false">
      <c r="A439" s="148" t="str">
        <f aca="false">IF($J439="","",INDEX(LEDGER_ENGINE!$B$2:$B$546,$J439))</f>
        <v/>
      </c>
      <c r="B439" s="149" t="str">
        <f aca="false">IF($J439="","",INDEX(LEDGER_ENGINE!$C$2:$C$546,$J439))</f>
        <v/>
      </c>
      <c r="C439" s="149" t="str">
        <f aca="false">IF($J439="","",INDEX(LEDGER_ENGINE!$D$2:$D$546,$J439))</f>
        <v/>
      </c>
      <c r="D439" s="149" t="str">
        <f aca="false">IF($J439="","",INDEX(LEDGER_ENGINE!$G$2:$G$546,$J439))</f>
        <v/>
      </c>
      <c r="E439" s="149" t="str">
        <f aca="false">IFERROR(IF($J439="","",INDEX(LEDGER_ENGINE!$H$2:$H$546,$J439)),"")</f>
        <v/>
      </c>
      <c r="F439" s="150" t="str">
        <f aca="false">IF($J439="","",INDEX(LEDGER_ENGINE!$I$2:$I$546,$J439))</f>
        <v/>
      </c>
      <c r="G439" s="150" t="str">
        <f aca="false">IF($J439="","",INDEX(LEDGER_ENGINE!$J$2:$J$546,$J439))</f>
        <v/>
      </c>
      <c r="H439" s="150" t="str">
        <f aca="false">IF($J439="","",INDEX(LEDGER_ENGINE!$L$2:$L$546,$J439))</f>
        <v/>
      </c>
      <c r="I439" s="150" t="str">
        <f aca="false">IF(A439="","",I438+H439)</f>
        <v/>
      </c>
      <c r="J439" s="101" t="str">
        <f aca="false">IFERROR(MATCH(LIBRI_I_MADH!$B$4&amp;"|"&amp;ROWS($A$6:A439),LEDGER_ENGINE!$U$2:$U$546,0),"")</f>
        <v/>
      </c>
    </row>
    <row r="440" customFormat="false" ht="15" hidden="false" customHeight="true" outlineLevel="0" collapsed="false">
      <c r="A440" s="148" t="str">
        <f aca="false">IF($J440="","",INDEX(LEDGER_ENGINE!$B$2:$B$546,$J440))</f>
        <v/>
      </c>
      <c r="B440" s="149" t="str">
        <f aca="false">IF($J440="","",INDEX(LEDGER_ENGINE!$C$2:$C$546,$J440))</f>
        <v/>
      </c>
      <c r="C440" s="149" t="str">
        <f aca="false">IF($J440="","",INDEX(LEDGER_ENGINE!$D$2:$D$546,$J440))</f>
        <v/>
      </c>
      <c r="D440" s="149" t="str">
        <f aca="false">IF($J440="","",INDEX(LEDGER_ENGINE!$G$2:$G$546,$J440))</f>
        <v/>
      </c>
      <c r="E440" s="149" t="str">
        <f aca="false">IFERROR(IF($J440="","",INDEX(LEDGER_ENGINE!$H$2:$H$546,$J440)),"")</f>
        <v/>
      </c>
      <c r="F440" s="150" t="str">
        <f aca="false">IF($J440="","",INDEX(LEDGER_ENGINE!$I$2:$I$546,$J440))</f>
        <v/>
      </c>
      <c r="G440" s="150" t="str">
        <f aca="false">IF($J440="","",INDEX(LEDGER_ENGINE!$J$2:$J$546,$J440))</f>
        <v/>
      </c>
      <c r="H440" s="150" t="str">
        <f aca="false">IF($J440="","",INDEX(LEDGER_ENGINE!$L$2:$L$546,$J440))</f>
        <v/>
      </c>
      <c r="I440" s="150" t="str">
        <f aca="false">IF(A440="","",I439+H440)</f>
        <v/>
      </c>
      <c r="J440" s="101" t="str">
        <f aca="false">IFERROR(MATCH(LIBRI_I_MADH!$B$4&amp;"|"&amp;ROWS($A$6:A440),LEDGER_ENGINE!$U$2:$U$546,0),"")</f>
        <v/>
      </c>
    </row>
    <row r="441" customFormat="false" ht="15" hidden="false" customHeight="true" outlineLevel="0" collapsed="false">
      <c r="A441" s="148" t="str">
        <f aca="false">IF($J441="","",INDEX(LEDGER_ENGINE!$B$2:$B$546,$J441))</f>
        <v/>
      </c>
      <c r="B441" s="149" t="str">
        <f aca="false">IF($J441="","",INDEX(LEDGER_ENGINE!$C$2:$C$546,$J441))</f>
        <v/>
      </c>
      <c r="C441" s="149" t="str">
        <f aca="false">IF($J441="","",INDEX(LEDGER_ENGINE!$D$2:$D$546,$J441))</f>
        <v/>
      </c>
      <c r="D441" s="149" t="str">
        <f aca="false">IF($J441="","",INDEX(LEDGER_ENGINE!$G$2:$G$546,$J441))</f>
        <v/>
      </c>
      <c r="E441" s="149" t="str">
        <f aca="false">IFERROR(IF($J441="","",INDEX(LEDGER_ENGINE!$H$2:$H$546,$J441)),"")</f>
        <v/>
      </c>
      <c r="F441" s="150" t="str">
        <f aca="false">IF($J441="","",INDEX(LEDGER_ENGINE!$I$2:$I$546,$J441))</f>
        <v/>
      </c>
      <c r="G441" s="150" t="str">
        <f aca="false">IF($J441="","",INDEX(LEDGER_ENGINE!$J$2:$J$546,$J441))</f>
        <v/>
      </c>
      <c r="H441" s="150" t="str">
        <f aca="false">IF($J441="","",INDEX(LEDGER_ENGINE!$L$2:$L$546,$J441))</f>
        <v/>
      </c>
      <c r="I441" s="150" t="str">
        <f aca="false">IF(A441="","",I440+H441)</f>
        <v/>
      </c>
      <c r="J441" s="101" t="str">
        <f aca="false">IFERROR(MATCH(LIBRI_I_MADH!$B$4&amp;"|"&amp;ROWS($A$6:A441),LEDGER_ENGINE!$U$2:$U$546,0),"")</f>
        <v/>
      </c>
    </row>
    <row r="442" customFormat="false" ht="15" hidden="false" customHeight="true" outlineLevel="0" collapsed="false">
      <c r="A442" s="148" t="str">
        <f aca="false">IF($J442="","",INDEX(LEDGER_ENGINE!$B$2:$B$546,$J442))</f>
        <v/>
      </c>
      <c r="B442" s="149" t="str">
        <f aca="false">IF($J442="","",INDEX(LEDGER_ENGINE!$C$2:$C$546,$J442))</f>
        <v/>
      </c>
      <c r="C442" s="149" t="str">
        <f aca="false">IF($J442="","",INDEX(LEDGER_ENGINE!$D$2:$D$546,$J442))</f>
        <v/>
      </c>
      <c r="D442" s="149" t="str">
        <f aca="false">IF($J442="","",INDEX(LEDGER_ENGINE!$G$2:$G$546,$J442))</f>
        <v/>
      </c>
      <c r="E442" s="149" t="str">
        <f aca="false">IFERROR(IF($J442="","",INDEX(LEDGER_ENGINE!$H$2:$H$546,$J442)),"")</f>
        <v/>
      </c>
      <c r="F442" s="150" t="str">
        <f aca="false">IF($J442="","",INDEX(LEDGER_ENGINE!$I$2:$I$546,$J442))</f>
        <v/>
      </c>
      <c r="G442" s="150" t="str">
        <f aca="false">IF($J442="","",INDEX(LEDGER_ENGINE!$J$2:$J$546,$J442))</f>
        <v/>
      </c>
      <c r="H442" s="150" t="str">
        <f aca="false">IF($J442="","",INDEX(LEDGER_ENGINE!$L$2:$L$546,$J442))</f>
        <v/>
      </c>
      <c r="I442" s="150" t="str">
        <f aca="false">IF(A442="","",I441+H442)</f>
        <v/>
      </c>
      <c r="J442" s="101" t="str">
        <f aca="false">IFERROR(MATCH(LIBRI_I_MADH!$B$4&amp;"|"&amp;ROWS($A$6:A442),LEDGER_ENGINE!$U$2:$U$546,0),"")</f>
        <v/>
      </c>
    </row>
    <row r="443" customFormat="false" ht="15" hidden="false" customHeight="true" outlineLevel="0" collapsed="false">
      <c r="A443" s="148" t="str">
        <f aca="false">IF($J443="","",INDEX(LEDGER_ENGINE!$B$2:$B$546,$J443))</f>
        <v/>
      </c>
      <c r="B443" s="149" t="str">
        <f aca="false">IF($J443="","",INDEX(LEDGER_ENGINE!$C$2:$C$546,$J443))</f>
        <v/>
      </c>
      <c r="C443" s="149" t="str">
        <f aca="false">IF($J443="","",INDEX(LEDGER_ENGINE!$D$2:$D$546,$J443))</f>
        <v/>
      </c>
      <c r="D443" s="149" t="str">
        <f aca="false">IF($J443="","",INDEX(LEDGER_ENGINE!$G$2:$G$546,$J443))</f>
        <v/>
      </c>
      <c r="E443" s="149" t="str">
        <f aca="false">IFERROR(IF($J443="","",INDEX(LEDGER_ENGINE!$H$2:$H$546,$J443)),"")</f>
        <v/>
      </c>
      <c r="F443" s="150" t="str">
        <f aca="false">IF($J443="","",INDEX(LEDGER_ENGINE!$I$2:$I$546,$J443))</f>
        <v/>
      </c>
      <c r="G443" s="150" t="str">
        <f aca="false">IF($J443="","",INDEX(LEDGER_ENGINE!$J$2:$J$546,$J443))</f>
        <v/>
      </c>
      <c r="H443" s="150" t="str">
        <f aca="false">IF($J443="","",INDEX(LEDGER_ENGINE!$L$2:$L$546,$J443))</f>
        <v/>
      </c>
      <c r="I443" s="150" t="str">
        <f aca="false">IF(A443="","",I442+H443)</f>
        <v/>
      </c>
      <c r="J443" s="101" t="str">
        <f aca="false">IFERROR(MATCH(LIBRI_I_MADH!$B$4&amp;"|"&amp;ROWS($A$6:A443),LEDGER_ENGINE!$U$2:$U$546,0),"")</f>
        <v/>
      </c>
    </row>
    <row r="444" customFormat="false" ht="15" hidden="false" customHeight="true" outlineLevel="0" collapsed="false">
      <c r="A444" s="148" t="str">
        <f aca="false">IF($J444="","",INDEX(LEDGER_ENGINE!$B$2:$B$546,$J444))</f>
        <v/>
      </c>
      <c r="B444" s="149" t="str">
        <f aca="false">IF($J444="","",INDEX(LEDGER_ENGINE!$C$2:$C$546,$J444))</f>
        <v/>
      </c>
      <c r="C444" s="149" t="str">
        <f aca="false">IF($J444="","",INDEX(LEDGER_ENGINE!$D$2:$D$546,$J444))</f>
        <v/>
      </c>
      <c r="D444" s="149" t="str">
        <f aca="false">IF($J444="","",INDEX(LEDGER_ENGINE!$G$2:$G$546,$J444))</f>
        <v/>
      </c>
      <c r="E444" s="149" t="str">
        <f aca="false">IFERROR(IF($J444="","",INDEX(LEDGER_ENGINE!$H$2:$H$546,$J444)),"")</f>
        <v/>
      </c>
      <c r="F444" s="150" t="str">
        <f aca="false">IF($J444="","",INDEX(LEDGER_ENGINE!$I$2:$I$546,$J444))</f>
        <v/>
      </c>
      <c r="G444" s="150" t="str">
        <f aca="false">IF($J444="","",INDEX(LEDGER_ENGINE!$J$2:$J$546,$J444))</f>
        <v/>
      </c>
      <c r="H444" s="150" t="str">
        <f aca="false">IF($J444="","",INDEX(LEDGER_ENGINE!$L$2:$L$546,$J444))</f>
        <v/>
      </c>
      <c r="I444" s="150" t="str">
        <f aca="false">IF(A444="","",I443+H444)</f>
        <v/>
      </c>
      <c r="J444" s="101" t="str">
        <f aca="false">IFERROR(MATCH(LIBRI_I_MADH!$B$4&amp;"|"&amp;ROWS($A$6:A444),LEDGER_ENGINE!$U$2:$U$546,0),"")</f>
        <v/>
      </c>
    </row>
    <row r="445" customFormat="false" ht="15" hidden="false" customHeight="true" outlineLevel="0" collapsed="false">
      <c r="A445" s="148" t="str">
        <f aca="false">IF($J445="","",INDEX(LEDGER_ENGINE!$B$2:$B$546,$J445))</f>
        <v/>
      </c>
      <c r="B445" s="149" t="str">
        <f aca="false">IF($J445="","",INDEX(LEDGER_ENGINE!$C$2:$C$546,$J445))</f>
        <v/>
      </c>
      <c r="C445" s="149" t="str">
        <f aca="false">IF($J445="","",INDEX(LEDGER_ENGINE!$D$2:$D$546,$J445))</f>
        <v/>
      </c>
      <c r="D445" s="149" t="str">
        <f aca="false">IF($J445="","",INDEX(LEDGER_ENGINE!$G$2:$G$546,$J445))</f>
        <v/>
      </c>
      <c r="E445" s="149" t="str">
        <f aca="false">IFERROR(IF($J445="","",INDEX(LEDGER_ENGINE!$H$2:$H$546,$J445)),"")</f>
        <v/>
      </c>
      <c r="F445" s="150" t="str">
        <f aca="false">IF($J445="","",INDEX(LEDGER_ENGINE!$I$2:$I$546,$J445))</f>
        <v/>
      </c>
      <c r="G445" s="150" t="str">
        <f aca="false">IF($J445="","",INDEX(LEDGER_ENGINE!$J$2:$J$546,$J445))</f>
        <v/>
      </c>
      <c r="H445" s="150" t="str">
        <f aca="false">IF($J445="","",INDEX(LEDGER_ENGINE!$L$2:$L$546,$J445))</f>
        <v/>
      </c>
      <c r="I445" s="150" t="str">
        <f aca="false">IF(A445="","",I444+H445)</f>
        <v/>
      </c>
      <c r="J445" s="101" t="str">
        <f aca="false">IFERROR(MATCH(LIBRI_I_MADH!$B$4&amp;"|"&amp;ROWS($A$6:A445),LEDGER_ENGINE!$U$2:$U$546,0),"")</f>
        <v/>
      </c>
    </row>
    <row r="446" customFormat="false" ht="15" hidden="false" customHeight="true" outlineLevel="0" collapsed="false">
      <c r="A446" s="148" t="str">
        <f aca="false">IF($J446="","",INDEX(LEDGER_ENGINE!$B$2:$B$546,$J446))</f>
        <v/>
      </c>
      <c r="B446" s="149" t="str">
        <f aca="false">IF($J446="","",INDEX(LEDGER_ENGINE!$C$2:$C$546,$J446))</f>
        <v/>
      </c>
      <c r="C446" s="149" t="str">
        <f aca="false">IF($J446="","",INDEX(LEDGER_ENGINE!$D$2:$D$546,$J446))</f>
        <v/>
      </c>
      <c r="D446" s="149" t="str">
        <f aca="false">IF($J446="","",INDEX(LEDGER_ENGINE!$G$2:$G$546,$J446))</f>
        <v/>
      </c>
      <c r="E446" s="149" t="str">
        <f aca="false">IFERROR(IF($J446="","",INDEX(LEDGER_ENGINE!$H$2:$H$546,$J446)),"")</f>
        <v/>
      </c>
      <c r="F446" s="150" t="str">
        <f aca="false">IF($J446="","",INDEX(LEDGER_ENGINE!$I$2:$I$546,$J446))</f>
        <v/>
      </c>
      <c r="G446" s="150" t="str">
        <f aca="false">IF($J446="","",INDEX(LEDGER_ENGINE!$J$2:$J$546,$J446))</f>
        <v/>
      </c>
      <c r="H446" s="150" t="str">
        <f aca="false">IF($J446="","",INDEX(LEDGER_ENGINE!$L$2:$L$546,$J446))</f>
        <v/>
      </c>
      <c r="I446" s="150" t="str">
        <f aca="false">IF(A446="","",I445+H446)</f>
        <v/>
      </c>
      <c r="J446" s="101" t="str">
        <f aca="false">IFERROR(MATCH(LIBRI_I_MADH!$B$4&amp;"|"&amp;ROWS($A$6:A446),LEDGER_ENGINE!$U$2:$U$546,0),"")</f>
        <v/>
      </c>
    </row>
    <row r="447" customFormat="false" ht="15" hidden="false" customHeight="true" outlineLevel="0" collapsed="false">
      <c r="A447" s="148" t="str">
        <f aca="false">IF($J447="","",INDEX(LEDGER_ENGINE!$B$2:$B$546,$J447))</f>
        <v/>
      </c>
      <c r="B447" s="149" t="str">
        <f aca="false">IF($J447="","",INDEX(LEDGER_ENGINE!$C$2:$C$546,$J447))</f>
        <v/>
      </c>
      <c r="C447" s="149" t="str">
        <f aca="false">IF($J447="","",INDEX(LEDGER_ENGINE!$D$2:$D$546,$J447))</f>
        <v/>
      </c>
      <c r="D447" s="149" t="str">
        <f aca="false">IF($J447="","",INDEX(LEDGER_ENGINE!$G$2:$G$546,$J447))</f>
        <v/>
      </c>
      <c r="E447" s="149" t="str">
        <f aca="false">IFERROR(IF($J447="","",INDEX(LEDGER_ENGINE!$H$2:$H$546,$J447)),"")</f>
        <v/>
      </c>
      <c r="F447" s="150" t="str">
        <f aca="false">IF($J447="","",INDEX(LEDGER_ENGINE!$I$2:$I$546,$J447))</f>
        <v/>
      </c>
      <c r="G447" s="150" t="str">
        <f aca="false">IF($J447="","",INDEX(LEDGER_ENGINE!$J$2:$J$546,$J447))</f>
        <v/>
      </c>
      <c r="H447" s="150" t="str">
        <f aca="false">IF($J447="","",INDEX(LEDGER_ENGINE!$L$2:$L$546,$J447))</f>
        <v/>
      </c>
      <c r="I447" s="150" t="str">
        <f aca="false">IF(A447="","",I446+H447)</f>
        <v/>
      </c>
      <c r="J447" s="101" t="str">
        <f aca="false">IFERROR(MATCH(LIBRI_I_MADH!$B$4&amp;"|"&amp;ROWS($A$6:A447),LEDGER_ENGINE!$U$2:$U$546,0),"")</f>
        <v/>
      </c>
    </row>
    <row r="448" customFormat="false" ht="15" hidden="false" customHeight="true" outlineLevel="0" collapsed="false">
      <c r="A448" s="148" t="str">
        <f aca="false">IF($J448="","",INDEX(LEDGER_ENGINE!$B$2:$B$546,$J448))</f>
        <v/>
      </c>
      <c r="B448" s="149" t="str">
        <f aca="false">IF($J448="","",INDEX(LEDGER_ENGINE!$C$2:$C$546,$J448))</f>
        <v/>
      </c>
      <c r="C448" s="149" t="str">
        <f aca="false">IF($J448="","",INDEX(LEDGER_ENGINE!$D$2:$D$546,$J448))</f>
        <v/>
      </c>
      <c r="D448" s="149" t="str">
        <f aca="false">IF($J448="","",INDEX(LEDGER_ENGINE!$G$2:$G$546,$J448))</f>
        <v/>
      </c>
      <c r="E448" s="149" t="str">
        <f aca="false">IFERROR(IF($J448="","",INDEX(LEDGER_ENGINE!$H$2:$H$546,$J448)),"")</f>
        <v/>
      </c>
      <c r="F448" s="150" t="str">
        <f aca="false">IF($J448="","",INDEX(LEDGER_ENGINE!$I$2:$I$546,$J448))</f>
        <v/>
      </c>
      <c r="G448" s="150" t="str">
        <f aca="false">IF($J448="","",INDEX(LEDGER_ENGINE!$J$2:$J$546,$J448))</f>
        <v/>
      </c>
      <c r="H448" s="150" t="str">
        <f aca="false">IF($J448="","",INDEX(LEDGER_ENGINE!$L$2:$L$546,$J448))</f>
        <v/>
      </c>
      <c r="I448" s="150" t="str">
        <f aca="false">IF(A448="","",I447+H448)</f>
        <v/>
      </c>
      <c r="J448" s="101" t="str">
        <f aca="false">IFERROR(MATCH(LIBRI_I_MADH!$B$4&amp;"|"&amp;ROWS($A$6:A448),LEDGER_ENGINE!$U$2:$U$546,0),"")</f>
        <v/>
      </c>
    </row>
    <row r="449" customFormat="false" ht="15" hidden="false" customHeight="true" outlineLevel="0" collapsed="false">
      <c r="A449" s="148" t="str">
        <f aca="false">IF($J449="","",INDEX(LEDGER_ENGINE!$B$2:$B$546,$J449))</f>
        <v/>
      </c>
      <c r="B449" s="149" t="str">
        <f aca="false">IF($J449="","",INDEX(LEDGER_ENGINE!$C$2:$C$546,$J449))</f>
        <v/>
      </c>
      <c r="C449" s="149" t="str">
        <f aca="false">IF($J449="","",INDEX(LEDGER_ENGINE!$D$2:$D$546,$J449))</f>
        <v/>
      </c>
      <c r="D449" s="149" t="str">
        <f aca="false">IF($J449="","",INDEX(LEDGER_ENGINE!$G$2:$G$546,$J449))</f>
        <v/>
      </c>
      <c r="E449" s="149" t="str">
        <f aca="false">IFERROR(IF($J449="","",INDEX(LEDGER_ENGINE!$H$2:$H$546,$J449)),"")</f>
        <v/>
      </c>
      <c r="F449" s="150" t="str">
        <f aca="false">IF($J449="","",INDEX(LEDGER_ENGINE!$I$2:$I$546,$J449))</f>
        <v/>
      </c>
      <c r="G449" s="150" t="str">
        <f aca="false">IF($J449="","",INDEX(LEDGER_ENGINE!$J$2:$J$546,$J449))</f>
        <v/>
      </c>
      <c r="H449" s="150" t="str">
        <f aca="false">IF($J449="","",INDEX(LEDGER_ENGINE!$L$2:$L$546,$J449))</f>
        <v/>
      </c>
      <c r="I449" s="150" t="str">
        <f aca="false">IF(A449="","",I448+H449)</f>
        <v/>
      </c>
      <c r="J449" s="101" t="str">
        <f aca="false">IFERROR(MATCH(LIBRI_I_MADH!$B$4&amp;"|"&amp;ROWS($A$6:A449),LEDGER_ENGINE!$U$2:$U$546,0),"")</f>
        <v/>
      </c>
    </row>
    <row r="450" customFormat="false" ht="15" hidden="false" customHeight="true" outlineLevel="0" collapsed="false">
      <c r="A450" s="148" t="str">
        <f aca="false">IF($J450="","",INDEX(LEDGER_ENGINE!$B$2:$B$546,$J450))</f>
        <v/>
      </c>
      <c r="B450" s="149" t="str">
        <f aca="false">IF($J450="","",INDEX(LEDGER_ENGINE!$C$2:$C$546,$J450))</f>
        <v/>
      </c>
      <c r="C450" s="149" t="str">
        <f aca="false">IF($J450="","",INDEX(LEDGER_ENGINE!$D$2:$D$546,$J450))</f>
        <v/>
      </c>
      <c r="D450" s="149" t="str">
        <f aca="false">IF($J450="","",INDEX(LEDGER_ENGINE!$G$2:$G$546,$J450))</f>
        <v/>
      </c>
      <c r="E450" s="149" t="str">
        <f aca="false">IFERROR(IF($J450="","",INDEX(LEDGER_ENGINE!$H$2:$H$546,$J450)),"")</f>
        <v/>
      </c>
      <c r="F450" s="150" t="str">
        <f aca="false">IF($J450="","",INDEX(LEDGER_ENGINE!$I$2:$I$546,$J450))</f>
        <v/>
      </c>
      <c r="G450" s="150" t="str">
        <f aca="false">IF($J450="","",INDEX(LEDGER_ENGINE!$J$2:$J$546,$J450))</f>
        <v/>
      </c>
      <c r="H450" s="150" t="str">
        <f aca="false">IF($J450="","",INDEX(LEDGER_ENGINE!$L$2:$L$546,$J450))</f>
        <v/>
      </c>
      <c r="I450" s="150" t="str">
        <f aca="false">IF(A450="","",I449+H450)</f>
        <v/>
      </c>
      <c r="J450" s="101" t="str">
        <f aca="false">IFERROR(MATCH(LIBRI_I_MADH!$B$4&amp;"|"&amp;ROWS($A$6:A450),LEDGER_ENGINE!$U$2:$U$546,0),"")</f>
        <v/>
      </c>
    </row>
    <row r="451" customFormat="false" ht="15" hidden="false" customHeight="true" outlineLevel="0" collapsed="false">
      <c r="A451" s="148" t="str">
        <f aca="false">IF($J451="","",INDEX(LEDGER_ENGINE!$B$2:$B$546,$J451))</f>
        <v/>
      </c>
      <c r="B451" s="149" t="str">
        <f aca="false">IF($J451="","",INDEX(LEDGER_ENGINE!$C$2:$C$546,$J451))</f>
        <v/>
      </c>
      <c r="C451" s="149" t="str">
        <f aca="false">IF($J451="","",INDEX(LEDGER_ENGINE!$D$2:$D$546,$J451))</f>
        <v/>
      </c>
      <c r="D451" s="149" t="str">
        <f aca="false">IF($J451="","",INDEX(LEDGER_ENGINE!$G$2:$G$546,$J451))</f>
        <v/>
      </c>
      <c r="E451" s="149" t="str">
        <f aca="false">IFERROR(IF($J451="","",INDEX(LEDGER_ENGINE!$H$2:$H$546,$J451)),"")</f>
        <v/>
      </c>
      <c r="F451" s="150" t="str">
        <f aca="false">IF($J451="","",INDEX(LEDGER_ENGINE!$I$2:$I$546,$J451))</f>
        <v/>
      </c>
      <c r="G451" s="150" t="str">
        <f aca="false">IF($J451="","",INDEX(LEDGER_ENGINE!$J$2:$J$546,$J451))</f>
        <v/>
      </c>
      <c r="H451" s="150" t="str">
        <f aca="false">IF($J451="","",INDEX(LEDGER_ENGINE!$L$2:$L$546,$J451))</f>
        <v/>
      </c>
      <c r="I451" s="150" t="str">
        <f aca="false">IF(A451="","",I450+H451)</f>
        <v/>
      </c>
      <c r="J451" s="101" t="str">
        <f aca="false">IFERROR(MATCH(LIBRI_I_MADH!$B$4&amp;"|"&amp;ROWS($A$6:A451),LEDGER_ENGINE!$U$2:$U$546,0),"")</f>
        <v/>
      </c>
    </row>
    <row r="452" customFormat="false" ht="15" hidden="false" customHeight="true" outlineLevel="0" collapsed="false">
      <c r="A452" s="148" t="str">
        <f aca="false">IF($J452="","",INDEX(LEDGER_ENGINE!$B$2:$B$546,$J452))</f>
        <v/>
      </c>
      <c r="B452" s="149" t="str">
        <f aca="false">IF($J452="","",INDEX(LEDGER_ENGINE!$C$2:$C$546,$J452))</f>
        <v/>
      </c>
      <c r="C452" s="149" t="str">
        <f aca="false">IF($J452="","",INDEX(LEDGER_ENGINE!$D$2:$D$546,$J452))</f>
        <v/>
      </c>
      <c r="D452" s="149" t="str">
        <f aca="false">IF($J452="","",INDEX(LEDGER_ENGINE!$G$2:$G$546,$J452))</f>
        <v/>
      </c>
      <c r="E452" s="149" t="str">
        <f aca="false">IFERROR(IF($J452="","",INDEX(LEDGER_ENGINE!$H$2:$H$546,$J452)),"")</f>
        <v/>
      </c>
      <c r="F452" s="150" t="str">
        <f aca="false">IF($J452="","",INDEX(LEDGER_ENGINE!$I$2:$I$546,$J452))</f>
        <v/>
      </c>
      <c r="G452" s="150" t="str">
        <f aca="false">IF($J452="","",INDEX(LEDGER_ENGINE!$J$2:$J$546,$J452))</f>
        <v/>
      </c>
      <c r="H452" s="150" t="str">
        <f aca="false">IF($J452="","",INDEX(LEDGER_ENGINE!$L$2:$L$546,$J452))</f>
        <v/>
      </c>
      <c r="I452" s="150" t="str">
        <f aca="false">IF(A452="","",I451+H452)</f>
        <v/>
      </c>
      <c r="J452" s="101" t="str">
        <f aca="false">IFERROR(MATCH(LIBRI_I_MADH!$B$4&amp;"|"&amp;ROWS($A$6:A452),LEDGER_ENGINE!$U$2:$U$546,0),"")</f>
        <v/>
      </c>
    </row>
    <row r="453" customFormat="false" ht="15" hidden="false" customHeight="true" outlineLevel="0" collapsed="false">
      <c r="A453" s="148" t="str">
        <f aca="false">IF($J453="","",INDEX(LEDGER_ENGINE!$B$2:$B$546,$J453))</f>
        <v/>
      </c>
      <c r="B453" s="149" t="str">
        <f aca="false">IF($J453="","",INDEX(LEDGER_ENGINE!$C$2:$C$546,$J453))</f>
        <v/>
      </c>
      <c r="C453" s="149" t="str">
        <f aca="false">IF($J453="","",INDEX(LEDGER_ENGINE!$D$2:$D$546,$J453))</f>
        <v/>
      </c>
      <c r="D453" s="149" t="str">
        <f aca="false">IF($J453="","",INDEX(LEDGER_ENGINE!$G$2:$G$546,$J453))</f>
        <v/>
      </c>
      <c r="E453" s="149" t="str">
        <f aca="false">IFERROR(IF($J453="","",INDEX(LEDGER_ENGINE!$H$2:$H$546,$J453)),"")</f>
        <v/>
      </c>
      <c r="F453" s="150" t="str">
        <f aca="false">IF($J453="","",INDEX(LEDGER_ENGINE!$I$2:$I$546,$J453))</f>
        <v/>
      </c>
      <c r="G453" s="150" t="str">
        <f aca="false">IF($J453="","",INDEX(LEDGER_ENGINE!$J$2:$J$546,$J453))</f>
        <v/>
      </c>
      <c r="H453" s="150" t="str">
        <f aca="false">IF($J453="","",INDEX(LEDGER_ENGINE!$L$2:$L$546,$J453))</f>
        <v/>
      </c>
      <c r="I453" s="150" t="str">
        <f aca="false">IF(A453="","",I452+H453)</f>
        <v/>
      </c>
      <c r="J453" s="101" t="str">
        <f aca="false">IFERROR(MATCH(LIBRI_I_MADH!$B$4&amp;"|"&amp;ROWS($A$6:A453),LEDGER_ENGINE!$U$2:$U$546,0),"")</f>
        <v/>
      </c>
    </row>
    <row r="454" customFormat="false" ht="15" hidden="false" customHeight="true" outlineLevel="0" collapsed="false">
      <c r="A454" s="148" t="str">
        <f aca="false">IF($J454="","",INDEX(LEDGER_ENGINE!$B$2:$B$546,$J454))</f>
        <v/>
      </c>
      <c r="B454" s="149" t="str">
        <f aca="false">IF($J454="","",INDEX(LEDGER_ENGINE!$C$2:$C$546,$J454))</f>
        <v/>
      </c>
      <c r="C454" s="149" t="str">
        <f aca="false">IF($J454="","",INDEX(LEDGER_ENGINE!$D$2:$D$546,$J454))</f>
        <v/>
      </c>
      <c r="D454" s="149" t="str">
        <f aca="false">IF($J454="","",INDEX(LEDGER_ENGINE!$G$2:$G$546,$J454))</f>
        <v/>
      </c>
      <c r="E454" s="149" t="str">
        <f aca="false">IFERROR(IF($J454="","",INDEX(LEDGER_ENGINE!$H$2:$H$546,$J454)),"")</f>
        <v/>
      </c>
      <c r="F454" s="150" t="str">
        <f aca="false">IF($J454="","",INDEX(LEDGER_ENGINE!$I$2:$I$546,$J454))</f>
        <v/>
      </c>
      <c r="G454" s="150" t="str">
        <f aca="false">IF($J454="","",INDEX(LEDGER_ENGINE!$J$2:$J$546,$J454))</f>
        <v/>
      </c>
      <c r="H454" s="150" t="str">
        <f aca="false">IF($J454="","",INDEX(LEDGER_ENGINE!$L$2:$L$546,$J454))</f>
        <v/>
      </c>
      <c r="I454" s="150" t="str">
        <f aca="false">IF(A454="","",I453+H454)</f>
        <v/>
      </c>
      <c r="J454" s="101" t="str">
        <f aca="false">IFERROR(MATCH(LIBRI_I_MADH!$B$4&amp;"|"&amp;ROWS($A$6:A454),LEDGER_ENGINE!$U$2:$U$546,0),"")</f>
        <v/>
      </c>
    </row>
    <row r="455" customFormat="false" ht="15" hidden="false" customHeight="true" outlineLevel="0" collapsed="false">
      <c r="A455" s="148" t="str">
        <f aca="false">IF($J455="","",INDEX(LEDGER_ENGINE!$B$2:$B$546,$J455))</f>
        <v/>
      </c>
      <c r="B455" s="149" t="str">
        <f aca="false">IF($J455="","",INDEX(LEDGER_ENGINE!$C$2:$C$546,$J455))</f>
        <v/>
      </c>
      <c r="C455" s="149" t="str">
        <f aca="false">IF($J455="","",INDEX(LEDGER_ENGINE!$D$2:$D$546,$J455))</f>
        <v/>
      </c>
      <c r="D455" s="149" t="str">
        <f aca="false">IF($J455="","",INDEX(LEDGER_ENGINE!$G$2:$G$546,$J455))</f>
        <v/>
      </c>
      <c r="E455" s="149" t="str">
        <f aca="false">IFERROR(IF($J455="","",INDEX(LEDGER_ENGINE!$H$2:$H$546,$J455)),"")</f>
        <v/>
      </c>
      <c r="F455" s="150" t="str">
        <f aca="false">IF($J455="","",INDEX(LEDGER_ENGINE!$I$2:$I$546,$J455))</f>
        <v/>
      </c>
      <c r="G455" s="150" t="str">
        <f aca="false">IF($J455="","",INDEX(LEDGER_ENGINE!$J$2:$J$546,$J455))</f>
        <v/>
      </c>
      <c r="H455" s="150" t="str">
        <f aca="false">IF($J455="","",INDEX(LEDGER_ENGINE!$L$2:$L$546,$J455))</f>
        <v/>
      </c>
      <c r="I455" s="150" t="str">
        <f aca="false">IF(A455="","",I454+H455)</f>
        <v/>
      </c>
      <c r="J455" s="101" t="str">
        <f aca="false">IFERROR(MATCH(LIBRI_I_MADH!$B$4&amp;"|"&amp;ROWS($A$6:A455),LEDGER_ENGINE!$U$2:$U$546,0),"")</f>
        <v/>
      </c>
    </row>
    <row r="456" customFormat="false" ht="15" hidden="false" customHeight="true" outlineLevel="0" collapsed="false">
      <c r="A456" s="148" t="str">
        <f aca="false">IF($J456="","",INDEX(LEDGER_ENGINE!$B$2:$B$546,$J456))</f>
        <v/>
      </c>
      <c r="B456" s="149" t="str">
        <f aca="false">IF($J456="","",INDEX(LEDGER_ENGINE!$C$2:$C$546,$J456))</f>
        <v/>
      </c>
      <c r="C456" s="149" t="str">
        <f aca="false">IF($J456="","",INDEX(LEDGER_ENGINE!$D$2:$D$546,$J456))</f>
        <v/>
      </c>
      <c r="D456" s="149" t="str">
        <f aca="false">IF($J456="","",INDEX(LEDGER_ENGINE!$G$2:$G$546,$J456))</f>
        <v/>
      </c>
      <c r="E456" s="149" t="str">
        <f aca="false">IFERROR(IF($J456="","",INDEX(LEDGER_ENGINE!$H$2:$H$546,$J456)),"")</f>
        <v/>
      </c>
      <c r="F456" s="150" t="str">
        <f aca="false">IF($J456="","",INDEX(LEDGER_ENGINE!$I$2:$I$546,$J456))</f>
        <v/>
      </c>
      <c r="G456" s="150" t="str">
        <f aca="false">IF($J456="","",INDEX(LEDGER_ENGINE!$J$2:$J$546,$J456))</f>
        <v/>
      </c>
      <c r="H456" s="150" t="str">
        <f aca="false">IF($J456="","",INDEX(LEDGER_ENGINE!$L$2:$L$546,$J456))</f>
        <v/>
      </c>
      <c r="I456" s="150" t="str">
        <f aca="false">IF(A456="","",I455+H456)</f>
        <v/>
      </c>
      <c r="J456" s="101" t="str">
        <f aca="false">IFERROR(MATCH(LIBRI_I_MADH!$B$4&amp;"|"&amp;ROWS($A$6:A456),LEDGER_ENGINE!$U$2:$U$546,0),"")</f>
        <v/>
      </c>
    </row>
    <row r="457" customFormat="false" ht="15" hidden="false" customHeight="true" outlineLevel="0" collapsed="false">
      <c r="A457" s="148" t="str">
        <f aca="false">IF($J457="","",INDEX(LEDGER_ENGINE!$B$2:$B$546,$J457))</f>
        <v/>
      </c>
      <c r="B457" s="149" t="str">
        <f aca="false">IF($J457="","",INDEX(LEDGER_ENGINE!$C$2:$C$546,$J457))</f>
        <v/>
      </c>
      <c r="C457" s="149" t="str">
        <f aca="false">IF($J457="","",INDEX(LEDGER_ENGINE!$D$2:$D$546,$J457))</f>
        <v/>
      </c>
      <c r="D457" s="149" t="str">
        <f aca="false">IF($J457="","",INDEX(LEDGER_ENGINE!$G$2:$G$546,$J457))</f>
        <v/>
      </c>
      <c r="E457" s="149" t="str">
        <f aca="false">IFERROR(IF($J457="","",INDEX(LEDGER_ENGINE!$H$2:$H$546,$J457)),"")</f>
        <v/>
      </c>
      <c r="F457" s="150" t="str">
        <f aca="false">IF($J457="","",INDEX(LEDGER_ENGINE!$I$2:$I$546,$J457))</f>
        <v/>
      </c>
      <c r="G457" s="150" t="str">
        <f aca="false">IF($J457="","",INDEX(LEDGER_ENGINE!$J$2:$J$546,$J457))</f>
        <v/>
      </c>
      <c r="H457" s="150" t="str">
        <f aca="false">IF($J457="","",INDEX(LEDGER_ENGINE!$L$2:$L$546,$J457))</f>
        <v/>
      </c>
      <c r="I457" s="150" t="str">
        <f aca="false">IF(A457="","",I456+H457)</f>
        <v/>
      </c>
      <c r="J457" s="101" t="str">
        <f aca="false">IFERROR(MATCH(LIBRI_I_MADH!$B$4&amp;"|"&amp;ROWS($A$6:A457),LEDGER_ENGINE!$U$2:$U$546,0),"")</f>
        <v/>
      </c>
    </row>
    <row r="458" customFormat="false" ht="15" hidden="false" customHeight="true" outlineLevel="0" collapsed="false">
      <c r="A458" s="148" t="str">
        <f aca="false">IF($J458="","",INDEX(LEDGER_ENGINE!$B$2:$B$546,$J458))</f>
        <v/>
      </c>
      <c r="B458" s="149" t="str">
        <f aca="false">IF($J458="","",INDEX(LEDGER_ENGINE!$C$2:$C$546,$J458))</f>
        <v/>
      </c>
      <c r="C458" s="149" t="str">
        <f aca="false">IF($J458="","",INDEX(LEDGER_ENGINE!$D$2:$D$546,$J458))</f>
        <v/>
      </c>
      <c r="D458" s="149" t="str">
        <f aca="false">IF($J458="","",INDEX(LEDGER_ENGINE!$G$2:$G$546,$J458))</f>
        <v/>
      </c>
      <c r="E458" s="149" t="str">
        <f aca="false">IFERROR(IF($J458="","",INDEX(LEDGER_ENGINE!$H$2:$H$546,$J458)),"")</f>
        <v/>
      </c>
      <c r="F458" s="150" t="str">
        <f aca="false">IF($J458="","",INDEX(LEDGER_ENGINE!$I$2:$I$546,$J458))</f>
        <v/>
      </c>
      <c r="G458" s="150" t="str">
        <f aca="false">IF($J458="","",INDEX(LEDGER_ENGINE!$J$2:$J$546,$J458))</f>
        <v/>
      </c>
      <c r="H458" s="150" t="str">
        <f aca="false">IF($J458="","",INDEX(LEDGER_ENGINE!$L$2:$L$546,$J458))</f>
        <v/>
      </c>
      <c r="I458" s="150" t="str">
        <f aca="false">IF(A458="","",I457+H458)</f>
        <v/>
      </c>
      <c r="J458" s="101" t="str">
        <f aca="false">IFERROR(MATCH(LIBRI_I_MADH!$B$4&amp;"|"&amp;ROWS($A$6:A458),LEDGER_ENGINE!$U$2:$U$546,0),"")</f>
        <v/>
      </c>
    </row>
    <row r="459" customFormat="false" ht="15" hidden="false" customHeight="true" outlineLevel="0" collapsed="false">
      <c r="A459" s="148" t="str">
        <f aca="false">IF($J459="","",INDEX(LEDGER_ENGINE!$B$2:$B$546,$J459))</f>
        <v/>
      </c>
      <c r="B459" s="149" t="str">
        <f aca="false">IF($J459="","",INDEX(LEDGER_ENGINE!$C$2:$C$546,$J459))</f>
        <v/>
      </c>
      <c r="C459" s="149" t="str">
        <f aca="false">IF($J459="","",INDEX(LEDGER_ENGINE!$D$2:$D$546,$J459))</f>
        <v/>
      </c>
      <c r="D459" s="149" t="str">
        <f aca="false">IF($J459="","",INDEX(LEDGER_ENGINE!$G$2:$G$546,$J459))</f>
        <v/>
      </c>
      <c r="E459" s="149" t="str">
        <f aca="false">IFERROR(IF($J459="","",INDEX(LEDGER_ENGINE!$H$2:$H$546,$J459)),"")</f>
        <v/>
      </c>
      <c r="F459" s="150" t="str">
        <f aca="false">IF($J459="","",INDEX(LEDGER_ENGINE!$I$2:$I$546,$J459))</f>
        <v/>
      </c>
      <c r="G459" s="150" t="str">
        <f aca="false">IF($J459="","",INDEX(LEDGER_ENGINE!$J$2:$J$546,$J459))</f>
        <v/>
      </c>
      <c r="H459" s="150" t="str">
        <f aca="false">IF($J459="","",INDEX(LEDGER_ENGINE!$L$2:$L$546,$J459))</f>
        <v/>
      </c>
      <c r="I459" s="150" t="str">
        <f aca="false">IF(A459="","",I458+H459)</f>
        <v/>
      </c>
      <c r="J459" s="101" t="str">
        <f aca="false">IFERROR(MATCH(LIBRI_I_MADH!$B$4&amp;"|"&amp;ROWS($A$6:A459),LEDGER_ENGINE!$U$2:$U$546,0),"")</f>
        <v/>
      </c>
    </row>
    <row r="460" customFormat="false" ht="15" hidden="false" customHeight="true" outlineLevel="0" collapsed="false">
      <c r="A460" s="148" t="str">
        <f aca="false">IF($J460="","",INDEX(LEDGER_ENGINE!$B$2:$B$546,$J460))</f>
        <v/>
      </c>
      <c r="B460" s="149" t="str">
        <f aca="false">IF($J460="","",INDEX(LEDGER_ENGINE!$C$2:$C$546,$J460))</f>
        <v/>
      </c>
      <c r="C460" s="149" t="str">
        <f aca="false">IF($J460="","",INDEX(LEDGER_ENGINE!$D$2:$D$546,$J460))</f>
        <v/>
      </c>
      <c r="D460" s="149" t="str">
        <f aca="false">IF($J460="","",INDEX(LEDGER_ENGINE!$G$2:$G$546,$J460))</f>
        <v/>
      </c>
      <c r="E460" s="149" t="str">
        <f aca="false">IFERROR(IF($J460="","",INDEX(LEDGER_ENGINE!$H$2:$H$546,$J460)),"")</f>
        <v/>
      </c>
      <c r="F460" s="150" t="str">
        <f aca="false">IF($J460="","",INDEX(LEDGER_ENGINE!$I$2:$I$546,$J460))</f>
        <v/>
      </c>
      <c r="G460" s="150" t="str">
        <f aca="false">IF($J460="","",INDEX(LEDGER_ENGINE!$J$2:$J$546,$J460))</f>
        <v/>
      </c>
      <c r="H460" s="150" t="str">
        <f aca="false">IF($J460="","",INDEX(LEDGER_ENGINE!$L$2:$L$546,$J460))</f>
        <v/>
      </c>
      <c r="I460" s="150" t="str">
        <f aca="false">IF(A460="","",I459+H460)</f>
        <v/>
      </c>
      <c r="J460" s="101" t="str">
        <f aca="false">IFERROR(MATCH(LIBRI_I_MADH!$B$4&amp;"|"&amp;ROWS($A$6:A460),LEDGER_ENGINE!$U$2:$U$546,0),"")</f>
        <v/>
      </c>
    </row>
    <row r="461" customFormat="false" ht="15" hidden="false" customHeight="true" outlineLevel="0" collapsed="false">
      <c r="A461" s="148" t="str">
        <f aca="false">IF($J461="","",INDEX(LEDGER_ENGINE!$B$2:$B$546,$J461))</f>
        <v/>
      </c>
      <c r="B461" s="149" t="str">
        <f aca="false">IF($J461="","",INDEX(LEDGER_ENGINE!$C$2:$C$546,$J461))</f>
        <v/>
      </c>
      <c r="C461" s="149" t="str">
        <f aca="false">IF($J461="","",INDEX(LEDGER_ENGINE!$D$2:$D$546,$J461))</f>
        <v/>
      </c>
      <c r="D461" s="149" t="str">
        <f aca="false">IF($J461="","",INDEX(LEDGER_ENGINE!$G$2:$G$546,$J461))</f>
        <v/>
      </c>
      <c r="E461" s="149" t="str">
        <f aca="false">IFERROR(IF($J461="","",INDEX(LEDGER_ENGINE!$H$2:$H$546,$J461)),"")</f>
        <v/>
      </c>
      <c r="F461" s="150" t="str">
        <f aca="false">IF($J461="","",INDEX(LEDGER_ENGINE!$I$2:$I$546,$J461))</f>
        <v/>
      </c>
      <c r="G461" s="150" t="str">
        <f aca="false">IF($J461="","",INDEX(LEDGER_ENGINE!$J$2:$J$546,$J461))</f>
        <v/>
      </c>
      <c r="H461" s="150" t="str">
        <f aca="false">IF($J461="","",INDEX(LEDGER_ENGINE!$L$2:$L$546,$J461))</f>
        <v/>
      </c>
      <c r="I461" s="150" t="str">
        <f aca="false">IF(A461="","",I460+H461)</f>
        <v/>
      </c>
      <c r="J461" s="101" t="str">
        <f aca="false">IFERROR(MATCH(LIBRI_I_MADH!$B$4&amp;"|"&amp;ROWS($A$6:A461),LEDGER_ENGINE!$U$2:$U$546,0),"")</f>
        <v/>
      </c>
    </row>
    <row r="462" customFormat="false" ht="15" hidden="false" customHeight="true" outlineLevel="0" collapsed="false">
      <c r="A462" s="148" t="str">
        <f aca="false">IF($J462="","",INDEX(LEDGER_ENGINE!$B$2:$B$546,$J462))</f>
        <v/>
      </c>
      <c r="B462" s="149" t="str">
        <f aca="false">IF($J462="","",INDEX(LEDGER_ENGINE!$C$2:$C$546,$J462))</f>
        <v/>
      </c>
      <c r="C462" s="149" t="str">
        <f aca="false">IF($J462="","",INDEX(LEDGER_ENGINE!$D$2:$D$546,$J462))</f>
        <v/>
      </c>
      <c r="D462" s="149" t="str">
        <f aca="false">IF($J462="","",INDEX(LEDGER_ENGINE!$G$2:$G$546,$J462))</f>
        <v/>
      </c>
      <c r="E462" s="149" t="str">
        <f aca="false">IFERROR(IF($J462="","",INDEX(LEDGER_ENGINE!$H$2:$H$546,$J462)),"")</f>
        <v/>
      </c>
      <c r="F462" s="150" t="str">
        <f aca="false">IF($J462="","",INDEX(LEDGER_ENGINE!$I$2:$I$546,$J462))</f>
        <v/>
      </c>
      <c r="G462" s="150" t="str">
        <f aca="false">IF($J462="","",INDEX(LEDGER_ENGINE!$J$2:$J$546,$J462))</f>
        <v/>
      </c>
      <c r="H462" s="150" t="str">
        <f aca="false">IF($J462="","",INDEX(LEDGER_ENGINE!$L$2:$L$546,$J462))</f>
        <v/>
      </c>
      <c r="I462" s="150" t="str">
        <f aca="false">IF(A462="","",I461+H462)</f>
        <v/>
      </c>
      <c r="J462" s="101" t="str">
        <f aca="false">IFERROR(MATCH(LIBRI_I_MADH!$B$4&amp;"|"&amp;ROWS($A$6:A462),LEDGER_ENGINE!$U$2:$U$546,0),"")</f>
        <v/>
      </c>
    </row>
    <row r="463" customFormat="false" ht="15" hidden="false" customHeight="true" outlineLevel="0" collapsed="false">
      <c r="A463" s="148" t="str">
        <f aca="false">IF($J463="","",INDEX(LEDGER_ENGINE!$B$2:$B$546,$J463))</f>
        <v/>
      </c>
      <c r="B463" s="149" t="str">
        <f aca="false">IF($J463="","",INDEX(LEDGER_ENGINE!$C$2:$C$546,$J463))</f>
        <v/>
      </c>
      <c r="C463" s="149" t="str">
        <f aca="false">IF($J463="","",INDEX(LEDGER_ENGINE!$D$2:$D$546,$J463))</f>
        <v/>
      </c>
      <c r="D463" s="149" t="str">
        <f aca="false">IF($J463="","",INDEX(LEDGER_ENGINE!$G$2:$G$546,$J463))</f>
        <v/>
      </c>
      <c r="E463" s="149" t="str">
        <f aca="false">IFERROR(IF($J463="","",INDEX(LEDGER_ENGINE!$H$2:$H$546,$J463)),"")</f>
        <v/>
      </c>
      <c r="F463" s="150" t="str">
        <f aca="false">IF($J463="","",INDEX(LEDGER_ENGINE!$I$2:$I$546,$J463))</f>
        <v/>
      </c>
      <c r="G463" s="150" t="str">
        <f aca="false">IF($J463="","",INDEX(LEDGER_ENGINE!$J$2:$J$546,$J463))</f>
        <v/>
      </c>
      <c r="H463" s="150" t="str">
        <f aca="false">IF($J463="","",INDEX(LEDGER_ENGINE!$L$2:$L$546,$J463))</f>
        <v/>
      </c>
      <c r="I463" s="150" t="str">
        <f aca="false">IF(A463="","",I462+H463)</f>
        <v/>
      </c>
      <c r="J463" s="101" t="str">
        <f aca="false">IFERROR(MATCH(LIBRI_I_MADH!$B$4&amp;"|"&amp;ROWS($A$6:A463),LEDGER_ENGINE!$U$2:$U$546,0),"")</f>
        <v/>
      </c>
    </row>
    <row r="464" customFormat="false" ht="15" hidden="false" customHeight="true" outlineLevel="0" collapsed="false">
      <c r="A464" s="148" t="str">
        <f aca="false">IF($J464="","",INDEX(LEDGER_ENGINE!$B$2:$B$546,$J464))</f>
        <v/>
      </c>
      <c r="B464" s="149" t="str">
        <f aca="false">IF($J464="","",INDEX(LEDGER_ENGINE!$C$2:$C$546,$J464))</f>
        <v/>
      </c>
      <c r="C464" s="149" t="str">
        <f aca="false">IF($J464="","",INDEX(LEDGER_ENGINE!$D$2:$D$546,$J464))</f>
        <v/>
      </c>
      <c r="D464" s="149" t="str">
        <f aca="false">IF($J464="","",INDEX(LEDGER_ENGINE!$G$2:$G$546,$J464))</f>
        <v/>
      </c>
      <c r="E464" s="149" t="str">
        <f aca="false">IFERROR(IF($J464="","",INDEX(LEDGER_ENGINE!$H$2:$H$546,$J464)),"")</f>
        <v/>
      </c>
      <c r="F464" s="150" t="str">
        <f aca="false">IF($J464="","",INDEX(LEDGER_ENGINE!$I$2:$I$546,$J464))</f>
        <v/>
      </c>
      <c r="G464" s="150" t="str">
        <f aca="false">IF($J464="","",INDEX(LEDGER_ENGINE!$J$2:$J$546,$J464))</f>
        <v/>
      </c>
      <c r="H464" s="150" t="str">
        <f aca="false">IF($J464="","",INDEX(LEDGER_ENGINE!$L$2:$L$546,$J464))</f>
        <v/>
      </c>
      <c r="I464" s="150" t="str">
        <f aca="false">IF(A464="","",I463+H464)</f>
        <v/>
      </c>
      <c r="J464" s="101" t="str">
        <f aca="false">IFERROR(MATCH(LIBRI_I_MADH!$B$4&amp;"|"&amp;ROWS($A$6:A464),LEDGER_ENGINE!$U$2:$U$546,0),"")</f>
        <v/>
      </c>
    </row>
    <row r="465" customFormat="false" ht="15" hidden="false" customHeight="true" outlineLevel="0" collapsed="false">
      <c r="A465" s="148" t="str">
        <f aca="false">IF($J465="","",INDEX(LEDGER_ENGINE!$B$2:$B$546,$J465))</f>
        <v/>
      </c>
      <c r="B465" s="149" t="str">
        <f aca="false">IF($J465="","",INDEX(LEDGER_ENGINE!$C$2:$C$546,$J465))</f>
        <v/>
      </c>
      <c r="C465" s="149" t="str">
        <f aca="false">IF($J465="","",INDEX(LEDGER_ENGINE!$D$2:$D$546,$J465))</f>
        <v/>
      </c>
      <c r="D465" s="149" t="str">
        <f aca="false">IF($J465="","",INDEX(LEDGER_ENGINE!$G$2:$G$546,$J465))</f>
        <v/>
      </c>
      <c r="E465" s="149" t="str">
        <f aca="false">IFERROR(IF($J465="","",INDEX(LEDGER_ENGINE!$H$2:$H$546,$J465)),"")</f>
        <v/>
      </c>
      <c r="F465" s="150" t="str">
        <f aca="false">IF($J465="","",INDEX(LEDGER_ENGINE!$I$2:$I$546,$J465))</f>
        <v/>
      </c>
      <c r="G465" s="150" t="str">
        <f aca="false">IF($J465="","",INDEX(LEDGER_ENGINE!$J$2:$J$546,$J465))</f>
        <v/>
      </c>
      <c r="H465" s="150" t="str">
        <f aca="false">IF($J465="","",INDEX(LEDGER_ENGINE!$L$2:$L$546,$J465))</f>
        <v/>
      </c>
      <c r="I465" s="150" t="str">
        <f aca="false">IF(A465="","",I464+H465)</f>
        <v/>
      </c>
      <c r="J465" s="101" t="str">
        <f aca="false">IFERROR(MATCH(LIBRI_I_MADH!$B$4&amp;"|"&amp;ROWS($A$6:A465),LEDGER_ENGINE!$U$2:$U$546,0),"")</f>
        <v/>
      </c>
    </row>
    <row r="466" customFormat="false" ht="15" hidden="false" customHeight="true" outlineLevel="0" collapsed="false">
      <c r="A466" s="148" t="str">
        <f aca="false">IF($J466="","",INDEX(LEDGER_ENGINE!$B$2:$B$546,$J466))</f>
        <v/>
      </c>
      <c r="B466" s="149" t="str">
        <f aca="false">IF($J466="","",INDEX(LEDGER_ENGINE!$C$2:$C$546,$J466))</f>
        <v/>
      </c>
      <c r="C466" s="149" t="str">
        <f aca="false">IF($J466="","",INDEX(LEDGER_ENGINE!$D$2:$D$546,$J466))</f>
        <v/>
      </c>
      <c r="D466" s="149" t="str">
        <f aca="false">IF($J466="","",INDEX(LEDGER_ENGINE!$G$2:$G$546,$J466))</f>
        <v/>
      </c>
      <c r="E466" s="149" t="str">
        <f aca="false">IFERROR(IF($J466="","",INDEX(LEDGER_ENGINE!$H$2:$H$546,$J466)),"")</f>
        <v/>
      </c>
      <c r="F466" s="150" t="str">
        <f aca="false">IF($J466="","",INDEX(LEDGER_ENGINE!$I$2:$I$546,$J466))</f>
        <v/>
      </c>
      <c r="G466" s="150" t="str">
        <f aca="false">IF($J466="","",INDEX(LEDGER_ENGINE!$J$2:$J$546,$J466))</f>
        <v/>
      </c>
      <c r="H466" s="150" t="str">
        <f aca="false">IF($J466="","",INDEX(LEDGER_ENGINE!$L$2:$L$546,$J466))</f>
        <v/>
      </c>
      <c r="I466" s="150" t="str">
        <f aca="false">IF(A466="","",I465+H466)</f>
        <v/>
      </c>
      <c r="J466" s="101" t="str">
        <f aca="false">IFERROR(MATCH(LIBRI_I_MADH!$B$4&amp;"|"&amp;ROWS($A$6:A466),LEDGER_ENGINE!$U$2:$U$546,0),"")</f>
        <v/>
      </c>
    </row>
    <row r="467" customFormat="false" ht="15" hidden="false" customHeight="true" outlineLevel="0" collapsed="false">
      <c r="A467" s="148" t="str">
        <f aca="false">IF($J467="","",INDEX(LEDGER_ENGINE!$B$2:$B$546,$J467))</f>
        <v/>
      </c>
      <c r="B467" s="149" t="str">
        <f aca="false">IF($J467="","",INDEX(LEDGER_ENGINE!$C$2:$C$546,$J467))</f>
        <v/>
      </c>
      <c r="C467" s="149" t="str">
        <f aca="false">IF($J467="","",INDEX(LEDGER_ENGINE!$D$2:$D$546,$J467))</f>
        <v/>
      </c>
      <c r="D467" s="149" t="str">
        <f aca="false">IF($J467="","",INDEX(LEDGER_ENGINE!$G$2:$G$546,$J467))</f>
        <v/>
      </c>
      <c r="E467" s="149" t="str">
        <f aca="false">IFERROR(IF($J467="","",INDEX(LEDGER_ENGINE!$H$2:$H$546,$J467)),"")</f>
        <v/>
      </c>
      <c r="F467" s="150" t="str">
        <f aca="false">IF($J467="","",INDEX(LEDGER_ENGINE!$I$2:$I$546,$J467))</f>
        <v/>
      </c>
      <c r="G467" s="150" t="str">
        <f aca="false">IF($J467="","",INDEX(LEDGER_ENGINE!$J$2:$J$546,$J467))</f>
        <v/>
      </c>
      <c r="H467" s="150" t="str">
        <f aca="false">IF($J467="","",INDEX(LEDGER_ENGINE!$L$2:$L$546,$J467))</f>
        <v/>
      </c>
      <c r="I467" s="150" t="str">
        <f aca="false">IF(A467="","",I466+H467)</f>
        <v/>
      </c>
      <c r="J467" s="101" t="str">
        <f aca="false">IFERROR(MATCH(LIBRI_I_MADH!$B$4&amp;"|"&amp;ROWS($A$6:A467),LEDGER_ENGINE!$U$2:$U$546,0),"")</f>
        <v/>
      </c>
    </row>
    <row r="468" customFormat="false" ht="15" hidden="false" customHeight="true" outlineLevel="0" collapsed="false">
      <c r="A468" s="148" t="str">
        <f aca="false">IF($J468="","",INDEX(LEDGER_ENGINE!$B$2:$B$546,$J468))</f>
        <v/>
      </c>
      <c r="B468" s="149" t="str">
        <f aca="false">IF($J468="","",INDEX(LEDGER_ENGINE!$C$2:$C$546,$J468))</f>
        <v/>
      </c>
      <c r="C468" s="149" t="str">
        <f aca="false">IF($J468="","",INDEX(LEDGER_ENGINE!$D$2:$D$546,$J468))</f>
        <v/>
      </c>
      <c r="D468" s="149" t="str">
        <f aca="false">IF($J468="","",INDEX(LEDGER_ENGINE!$G$2:$G$546,$J468))</f>
        <v/>
      </c>
      <c r="E468" s="149" t="str">
        <f aca="false">IFERROR(IF($J468="","",INDEX(LEDGER_ENGINE!$H$2:$H$546,$J468)),"")</f>
        <v/>
      </c>
      <c r="F468" s="150" t="str">
        <f aca="false">IF($J468="","",INDEX(LEDGER_ENGINE!$I$2:$I$546,$J468))</f>
        <v/>
      </c>
      <c r="G468" s="150" t="str">
        <f aca="false">IF($J468="","",INDEX(LEDGER_ENGINE!$J$2:$J$546,$J468))</f>
        <v/>
      </c>
      <c r="H468" s="150" t="str">
        <f aca="false">IF($J468="","",INDEX(LEDGER_ENGINE!$L$2:$L$546,$J468))</f>
        <v/>
      </c>
      <c r="I468" s="150" t="str">
        <f aca="false">IF(A468="","",I467+H468)</f>
        <v/>
      </c>
      <c r="J468" s="101" t="str">
        <f aca="false">IFERROR(MATCH(LIBRI_I_MADH!$B$4&amp;"|"&amp;ROWS($A$6:A468),LEDGER_ENGINE!$U$2:$U$546,0),"")</f>
        <v/>
      </c>
    </row>
    <row r="469" customFormat="false" ht="15" hidden="false" customHeight="true" outlineLevel="0" collapsed="false">
      <c r="A469" s="148" t="str">
        <f aca="false">IF($J469="","",INDEX(LEDGER_ENGINE!$B$2:$B$546,$J469))</f>
        <v/>
      </c>
      <c r="B469" s="149" t="str">
        <f aca="false">IF($J469="","",INDEX(LEDGER_ENGINE!$C$2:$C$546,$J469))</f>
        <v/>
      </c>
      <c r="C469" s="149" t="str">
        <f aca="false">IF($J469="","",INDEX(LEDGER_ENGINE!$D$2:$D$546,$J469))</f>
        <v/>
      </c>
      <c r="D469" s="149" t="str">
        <f aca="false">IF($J469="","",INDEX(LEDGER_ENGINE!$G$2:$G$546,$J469))</f>
        <v/>
      </c>
      <c r="E469" s="149" t="str">
        <f aca="false">IFERROR(IF($J469="","",INDEX(LEDGER_ENGINE!$H$2:$H$546,$J469)),"")</f>
        <v/>
      </c>
      <c r="F469" s="150" t="str">
        <f aca="false">IF($J469="","",INDEX(LEDGER_ENGINE!$I$2:$I$546,$J469))</f>
        <v/>
      </c>
      <c r="G469" s="150" t="str">
        <f aca="false">IF($J469="","",INDEX(LEDGER_ENGINE!$J$2:$J$546,$J469))</f>
        <v/>
      </c>
      <c r="H469" s="150" t="str">
        <f aca="false">IF($J469="","",INDEX(LEDGER_ENGINE!$L$2:$L$546,$J469))</f>
        <v/>
      </c>
      <c r="I469" s="150" t="str">
        <f aca="false">IF(A469="","",I468+H469)</f>
        <v/>
      </c>
      <c r="J469" s="101" t="str">
        <f aca="false">IFERROR(MATCH(LIBRI_I_MADH!$B$4&amp;"|"&amp;ROWS($A$6:A469),LEDGER_ENGINE!$U$2:$U$546,0),"")</f>
        <v/>
      </c>
    </row>
    <row r="470" customFormat="false" ht="15" hidden="false" customHeight="true" outlineLevel="0" collapsed="false">
      <c r="A470" s="148" t="str">
        <f aca="false">IF($J470="","",INDEX(LEDGER_ENGINE!$B$2:$B$546,$J470))</f>
        <v/>
      </c>
      <c r="B470" s="149" t="str">
        <f aca="false">IF($J470="","",INDEX(LEDGER_ENGINE!$C$2:$C$546,$J470))</f>
        <v/>
      </c>
      <c r="C470" s="149" t="str">
        <f aca="false">IF($J470="","",INDEX(LEDGER_ENGINE!$D$2:$D$546,$J470))</f>
        <v/>
      </c>
      <c r="D470" s="149" t="str">
        <f aca="false">IF($J470="","",INDEX(LEDGER_ENGINE!$G$2:$G$546,$J470))</f>
        <v/>
      </c>
      <c r="E470" s="149" t="str">
        <f aca="false">IFERROR(IF($J470="","",INDEX(LEDGER_ENGINE!$H$2:$H$546,$J470)),"")</f>
        <v/>
      </c>
      <c r="F470" s="150" t="str">
        <f aca="false">IF($J470="","",INDEX(LEDGER_ENGINE!$I$2:$I$546,$J470))</f>
        <v/>
      </c>
      <c r="G470" s="150" t="str">
        <f aca="false">IF($J470="","",INDEX(LEDGER_ENGINE!$J$2:$J$546,$J470))</f>
        <v/>
      </c>
      <c r="H470" s="150" t="str">
        <f aca="false">IF($J470="","",INDEX(LEDGER_ENGINE!$L$2:$L$546,$J470))</f>
        <v/>
      </c>
      <c r="I470" s="150" t="str">
        <f aca="false">IF(A470="","",I469+H470)</f>
        <v/>
      </c>
      <c r="J470" s="101" t="str">
        <f aca="false">IFERROR(MATCH(LIBRI_I_MADH!$B$4&amp;"|"&amp;ROWS($A$6:A470),LEDGER_ENGINE!$U$2:$U$546,0),"")</f>
        <v/>
      </c>
    </row>
    <row r="471" customFormat="false" ht="15" hidden="false" customHeight="true" outlineLevel="0" collapsed="false">
      <c r="A471" s="148" t="str">
        <f aca="false">IF($J471="","",INDEX(LEDGER_ENGINE!$B$2:$B$546,$J471))</f>
        <v/>
      </c>
      <c r="B471" s="149" t="str">
        <f aca="false">IF($J471="","",INDEX(LEDGER_ENGINE!$C$2:$C$546,$J471))</f>
        <v/>
      </c>
      <c r="C471" s="149" t="str">
        <f aca="false">IF($J471="","",INDEX(LEDGER_ENGINE!$D$2:$D$546,$J471))</f>
        <v/>
      </c>
      <c r="D471" s="149" t="str">
        <f aca="false">IF($J471="","",INDEX(LEDGER_ENGINE!$G$2:$G$546,$J471))</f>
        <v/>
      </c>
      <c r="E471" s="149" t="str">
        <f aca="false">IFERROR(IF($J471="","",INDEX(LEDGER_ENGINE!$H$2:$H$546,$J471)),"")</f>
        <v/>
      </c>
      <c r="F471" s="150" t="str">
        <f aca="false">IF($J471="","",INDEX(LEDGER_ENGINE!$I$2:$I$546,$J471))</f>
        <v/>
      </c>
      <c r="G471" s="150" t="str">
        <f aca="false">IF($J471="","",INDEX(LEDGER_ENGINE!$J$2:$J$546,$J471))</f>
        <v/>
      </c>
      <c r="H471" s="150" t="str">
        <f aca="false">IF($J471="","",INDEX(LEDGER_ENGINE!$L$2:$L$546,$J471))</f>
        <v/>
      </c>
      <c r="I471" s="150" t="str">
        <f aca="false">IF(A471="","",I470+H471)</f>
        <v/>
      </c>
      <c r="J471" s="101" t="str">
        <f aca="false">IFERROR(MATCH(LIBRI_I_MADH!$B$4&amp;"|"&amp;ROWS($A$6:A471),LEDGER_ENGINE!$U$2:$U$546,0),"")</f>
        <v/>
      </c>
    </row>
    <row r="472" customFormat="false" ht="15" hidden="false" customHeight="true" outlineLevel="0" collapsed="false">
      <c r="A472" s="148" t="str">
        <f aca="false">IF($J472="","",INDEX(LEDGER_ENGINE!$B$2:$B$546,$J472))</f>
        <v/>
      </c>
      <c r="B472" s="149" t="str">
        <f aca="false">IF($J472="","",INDEX(LEDGER_ENGINE!$C$2:$C$546,$J472))</f>
        <v/>
      </c>
      <c r="C472" s="149" t="str">
        <f aca="false">IF($J472="","",INDEX(LEDGER_ENGINE!$D$2:$D$546,$J472))</f>
        <v/>
      </c>
      <c r="D472" s="149" t="str">
        <f aca="false">IF($J472="","",INDEX(LEDGER_ENGINE!$G$2:$G$546,$J472))</f>
        <v/>
      </c>
      <c r="E472" s="149" t="str">
        <f aca="false">IFERROR(IF($J472="","",INDEX(LEDGER_ENGINE!$H$2:$H$546,$J472)),"")</f>
        <v/>
      </c>
      <c r="F472" s="150" t="str">
        <f aca="false">IF($J472="","",INDEX(LEDGER_ENGINE!$I$2:$I$546,$J472))</f>
        <v/>
      </c>
      <c r="G472" s="150" t="str">
        <f aca="false">IF($J472="","",INDEX(LEDGER_ENGINE!$J$2:$J$546,$J472))</f>
        <v/>
      </c>
      <c r="H472" s="150" t="str">
        <f aca="false">IF($J472="","",INDEX(LEDGER_ENGINE!$L$2:$L$546,$J472))</f>
        <v/>
      </c>
      <c r="I472" s="150" t="str">
        <f aca="false">IF(A472="","",I471+H472)</f>
        <v/>
      </c>
      <c r="J472" s="101" t="str">
        <f aca="false">IFERROR(MATCH(LIBRI_I_MADH!$B$4&amp;"|"&amp;ROWS($A$6:A472),LEDGER_ENGINE!$U$2:$U$546,0),"")</f>
        <v/>
      </c>
    </row>
    <row r="473" customFormat="false" ht="15" hidden="false" customHeight="true" outlineLevel="0" collapsed="false">
      <c r="A473" s="148" t="str">
        <f aca="false">IF($J473="","",INDEX(LEDGER_ENGINE!$B$2:$B$546,$J473))</f>
        <v/>
      </c>
      <c r="B473" s="149" t="str">
        <f aca="false">IF($J473="","",INDEX(LEDGER_ENGINE!$C$2:$C$546,$J473))</f>
        <v/>
      </c>
      <c r="C473" s="149" t="str">
        <f aca="false">IF($J473="","",INDEX(LEDGER_ENGINE!$D$2:$D$546,$J473))</f>
        <v/>
      </c>
      <c r="D473" s="149" t="str">
        <f aca="false">IF($J473="","",INDEX(LEDGER_ENGINE!$G$2:$G$546,$J473))</f>
        <v/>
      </c>
      <c r="E473" s="149" t="str">
        <f aca="false">IFERROR(IF($J473="","",INDEX(LEDGER_ENGINE!$H$2:$H$546,$J473)),"")</f>
        <v/>
      </c>
      <c r="F473" s="150" t="str">
        <f aca="false">IF($J473="","",INDEX(LEDGER_ENGINE!$I$2:$I$546,$J473))</f>
        <v/>
      </c>
      <c r="G473" s="150" t="str">
        <f aca="false">IF($J473="","",INDEX(LEDGER_ENGINE!$J$2:$J$546,$J473))</f>
        <v/>
      </c>
      <c r="H473" s="150" t="str">
        <f aca="false">IF($J473="","",INDEX(LEDGER_ENGINE!$L$2:$L$546,$J473))</f>
        <v/>
      </c>
      <c r="I473" s="150" t="str">
        <f aca="false">IF(A473="","",I472+H473)</f>
        <v/>
      </c>
      <c r="J473" s="101" t="str">
        <f aca="false">IFERROR(MATCH(LIBRI_I_MADH!$B$4&amp;"|"&amp;ROWS($A$6:A473),LEDGER_ENGINE!$U$2:$U$546,0),"")</f>
        <v/>
      </c>
    </row>
    <row r="474" customFormat="false" ht="15" hidden="false" customHeight="true" outlineLevel="0" collapsed="false">
      <c r="A474" s="148" t="str">
        <f aca="false">IF($J474="","",INDEX(LEDGER_ENGINE!$B$2:$B$546,$J474))</f>
        <v/>
      </c>
      <c r="B474" s="149" t="str">
        <f aca="false">IF($J474="","",INDEX(LEDGER_ENGINE!$C$2:$C$546,$J474))</f>
        <v/>
      </c>
      <c r="C474" s="149" t="str">
        <f aca="false">IF($J474="","",INDEX(LEDGER_ENGINE!$D$2:$D$546,$J474))</f>
        <v/>
      </c>
      <c r="D474" s="149" t="str">
        <f aca="false">IF($J474="","",INDEX(LEDGER_ENGINE!$G$2:$G$546,$J474))</f>
        <v/>
      </c>
      <c r="E474" s="149" t="str">
        <f aca="false">IFERROR(IF($J474="","",INDEX(LEDGER_ENGINE!$H$2:$H$546,$J474)),"")</f>
        <v/>
      </c>
      <c r="F474" s="150" t="str">
        <f aca="false">IF($J474="","",INDEX(LEDGER_ENGINE!$I$2:$I$546,$J474))</f>
        <v/>
      </c>
      <c r="G474" s="150" t="str">
        <f aca="false">IF($J474="","",INDEX(LEDGER_ENGINE!$J$2:$J$546,$J474))</f>
        <v/>
      </c>
      <c r="H474" s="150" t="str">
        <f aca="false">IF($J474="","",INDEX(LEDGER_ENGINE!$L$2:$L$546,$J474))</f>
        <v/>
      </c>
      <c r="I474" s="150" t="str">
        <f aca="false">IF(A474="","",I473+H474)</f>
        <v/>
      </c>
      <c r="J474" s="101" t="str">
        <f aca="false">IFERROR(MATCH(LIBRI_I_MADH!$B$4&amp;"|"&amp;ROWS($A$6:A474),LEDGER_ENGINE!$U$2:$U$546,0),"")</f>
        <v/>
      </c>
    </row>
    <row r="475" customFormat="false" ht="15" hidden="false" customHeight="true" outlineLevel="0" collapsed="false">
      <c r="A475" s="148" t="str">
        <f aca="false">IF($J475="","",INDEX(LEDGER_ENGINE!$B$2:$B$546,$J475))</f>
        <v/>
      </c>
      <c r="B475" s="149" t="str">
        <f aca="false">IF($J475="","",INDEX(LEDGER_ENGINE!$C$2:$C$546,$J475))</f>
        <v/>
      </c>
      <c r="C475" s="149" t="str">
        <f aca="false">IF($J475="","",INDEX(LEDGER_ENGINE!$D$2:$D$546,$J475))</f>
        <v/>
      </c>
      <c r="D475" s="149" t="str">
        <f aca="false">IF($J475="","",INDEX(LEDGER_ENGINE!$G$2:$G$546,$J475))</f>
        <v/>
      </c>
      <c r="E475" s="149" t="str">
        <f aca="false">IFERROR(IF($J475="","",INDEX(LEDGER_ENGINE!$H$2:$H$546,$J475)),"")</f>
        <v/>
      </c>
      <c r="F475" s="150" t="str">
        <f aca="false">IF($J475="","",INDEX(LEDGER_ENGINE!$I$2:$I$546,$J475))</f>
        <v/>
      </c>
      <c r="G475" s="150" t="str">
        <f aca="false">IF($J475="","",INDEX(LEDGER_ENGINE!$J$2:$J$546,$J475))</f>
        <v/>
      </c>
      <c r="H475" s="150" t="str">
        <f aca="false">IF($J475="","",INDEX(LEDGER_ENGINE!$L$2:$L$546,$J475))</f>
        <v/>
      </c>
      <c r="I475" s="150" t="str">
        <f aca="false">IF(A475="","",I474+H475)</f>
        <v/>
      </c>
      <c r="J475" s="101" t="str">
        <f aca="false">IFERROR(MATCH(LIBRI_I_MADH!$B$4&amp;"|"&amp;ROWS($A$6:A475),LEDGER_ENGINE!$U$2:$U$546,0),"")</f>
        <v/>
      </c>
    </row>
    <row r="476" customFormat="false" ht="15" hidden="false" customHeight="true" outlineLevel="0" collapsed="false">
      <c r="A476" s="148" t="str">
        <f aca="false">IF($J476="","",INDEX(LEDGER_ENGINE!$B$2:$B$546,$J476))</f>
        <v/>
      </c>
      <c r="B476" s="149" t="str">
        <f aca="false">IF($J476="","",INDEX(LEDGER_ENGINE!$C$2:$C$546,$J476))</f>
        <v/>
      </c>
      <c r="C476" s="149" t="str">
        <f aca="false">IF($J476="","",INDEX(LEDGER_ENGINE!$D$2:$D$546,$J476))</f>
        <v/>
      </c>
      <c r="D476" s="149" t="str">
        <f aca="false">IF($J476="","",INDEX(LEDGER_ENGINE!$G$2:$G$546,$J476))</f>
        <v/>
      </c>
      <c r="E476" s="149" t="str">
        <f aca="false">IFERROR(IF($J476="","",INDEX(LEDGER_ENGINE!$H$2:$H$546,$J476)),"")</f>
        <v/>
      </c>
      <c r="F476" s="150" t="str">
        <f aca="false">IF($J476="","",INDEX(LEDGER_ENGINE!$I$2:$I$546,$J476))</f>
        <v/>
      </c>
      <c r="G476" s="150" t="str">
        <f aca="false">IF($J476="","",INDEX(LEDGER_ENGINE!$J$2:$J$546,$J476))</f>
        <v/>
      </c>
      <c r="H476" s="150" t="str">
        <f aca="false">IF($J476="","",INDEX(LEDGER_ENGINE!$L$2:$L$546,$J476))</f>
        <v/>
      </c>
      <c r="I476" s="150" t="str">
        <f aca="false">IF(A476="","",I475+H476)</f>
        <v/>
      </c>
      <c r="J476" s="101" t="str">
        <f aca="false">IFERROR(MATCH(LIBRI_I_MADH!$B$4&amp;"|"&amp;ROWS($A$6:A476),LEDGER_ENGINE!$U$2:$U$546,0),"")</f>
        <v/>
      </c>
    </row>
    <row r="477" customFormat="false" ht="15" hidden="false" customHeight="true" outlineLevel="0" collapsed="false">
      <c r="A477" s="148" t="str">
        <f aca="false">IF($J477="","",INDEX(LEDGER_ENGINE!$B$2:$B$546,$J477))</f>
        <v/>
      </c>
      <c r="B477" s="149" t="str">
        <f aca="false">IF($J477="","",INDEX(LEDGER_ENGINE!$C$2:$C$546,$J477))</f>
        <v/>
      </c>
      <c r="C477" s="149" t="str">
        <f aca="false">IF($J477="","",INDEX(LEDGER_ENGINE!$D$2:$D$546,$J477))</f>
        <v/>
      </c>
      <c r="D477" s="149" t="str">
        <f aca="false">IF($J477="","",INDEX(LEDGER_ENGINE!$G$2:$G$546,$J477))</f>
        <v/>
      </c>
      <c r="E477" s="149" t="str">
        <f aca="false">IFERROR(IF($J477="","",INDEX(LEDGER_ENGINE!$H$2:$H$546,$J477)),"")</f>
        <v/>
      </c>
      <c r="F477" s="150" t="str">
        <f aca="false">IF($J477="","",INDEX(LEDGER_ENGINE!$I$2:$I$546,$J477))</f>
        <v/>
      </c>
      <c r="G477" s="150" t="str">
        <f aca="false">IF($J477="","",INDEX(LEDGER_ENGINE!$J$2:$J$546,$J477))</f>
        <v/>
      </c>
      <c r="H477" s="150" t="str">
        <f aca="false">IF($J477="","",INDEX(LEDGER_ENGINE!$L$2:$L$546,$J477))</f>
        <v/>
      </c>
      <c r="I477" s="150" t="str">
        <f aca="false">IF(A477="","",I476+H477)</f>
        <v/>
      </c>
      <c r="J477" s="101" t="str">
        <f aca="false">IFERROR(MATCH(LIBRI_I_MADH!$B$4&amp;"|"&amp;ROWS($A$6:A477),LEDGER_ENGINE!$U$2:$U$546,0),"")</f>
        <v/>
      </c>
    </row>
    <row r="478" customFormat="false" ht="15" hidden="false" customHeight="true" outlineLevel="0" collapsed="false">
      <c r="A478" s="148" t="str">
        <f aca="false">IF($J478="","",INDEX(LEDGER_ENGINE!$B$2:$B$546,$J478))</f>
        <v/>
      </c>
      <c r="B478" s="149" t="str">
        <f aca="false">IF($J478="","",INDEX(LEDGER_ENGINE!$C$2:$C$546,$J478))</f>
        <v/>
      </c>
      <c r="C478" s="149" t="str">
        <f aca="false">IF($J478="","",INDEX(LEDGER_ENGINE!$D$2:$D$546,$J478))</f>
        <v/>
      </c>
      <c r="D478" s="149" t="str">
        <f aca="false">IF($J478="","",INDEX(LEDGER_ENGINE!$G$2:$G$546,$J478))</f>
        <v/>
      </c>
      <c r="E478" s="149" t="str">
        <f aca="false">IFERROR(IF($J478="","",INDEX(LEDGER_ENGINE!$H$2:$H$546,$J478)),"")</f>
        <v/>
      </c>
      <c r="F478" s="150" t="str">
        <f aca="false">IF($J478="","",INDEX(LEDGER_ENGINE!$I$2:$I$546,$J478))</f>
        <v/>
      </c>
      <c r="G478" s="150" t="str">
        <f aca="false">IF($J478="","",INDEX(LEDGER_ENGINE!$J$2:$J$546,$J478))</f>
        <v/>
      </c>
      <c r="H478" s="150" t="str">
        <f aca="false">IF($J478="","",INDEX(LEDGER_ENGINE!$L$2:$L$546,$J478))</f>
        <v/>
      </c>
      <c r="I478" s="150" t="str">
        <f aca="false">IF(A478="","",I477+H478)</f>
        <v/>
      </c>
      <c r="J478" s="101" t="str">
        <f aca="false">IFERROR(MATCH(LIBRI_I_MADH!$B$4&amp;"|"&amp;ROWS($A$6:A478),LEDGER_ENGINE!$U$2:$U$546,0),"")</f>
        <v/>
      </c>
    </row>
    <row r="479" customFormat="false" ht="15" hidden="false" customHeight="true" outlineLevel="0" collapsed="false">
      <c r="A479" s="148" t="str">
        <f aca="false">IF($J479="","",INDEX(LEDGER_ENGINE!$B$2:$B$546,$J479))</f>
        <v/>
      </c>
      <c r="B479" s="149" t="str">
        <f aca="false">IF($J479="","",INDEX(LEDGER_ENGINE!$C$2:$C$546,$J479))</f>
        <v/>
      </c>
      <c r="C479" s="149" t="str">
        <f aca="false">IF($J479="","",INDEX(LEDGER_ENGINE!$D$2:$D$546,$J479))</f>
        <v/>
      </c>
      <c r="D479" s="149" t="str">
        <f aca="false">IF($J479="","",INDEX(LEDGER_ENGINE!$G$2:$G$546,$J479))</f>
        <v/>
      </c>
      <c r="E479" s="149" t="str">
        <f aca="false">IFERROR(IF($J479="","",INDEX(LEDGER_ENGINE!$H$2:$H$546,$J479)),"")</f>
        <v/>
      </c>
      <c r="F479" s="150" t="str">
        <f aca="false">IF($J479="","",INDEX(LEDGER_ENGINE!$I$2:$I$546,$J479))</f>
        <v/>
      </c>
      <c r="G479" s="150" t="str">
        <f aca="false">IF($J479="","",INDEX(LEDGER_ENGINE!$J$2:$J$546,$J479))</f>
        <v/>
      </c>
      <c r="H479" s="150" t="str">
        <f aca="false">IF($J479="","",INDEX(LEDGER_ENGINE!$L$2:$L$546,$J479))</f>
        <v/>
      </c>
      <c r="I479" s="150" t="str">
        <f aca="false">IF(A479="","",I478+H479)</f>
        <v/>
      </c>
      <c r="J479" s="101" t="str">
        <f aca="false">IFERROR(MATCH(LIBRI_I_MADH!$B$4&amp;"|"&amp;ROWS($A$6:A479),LEDGER_ENGINE!$U$2:$U$546,0),"")</f>
        <v/>
      </c>
    </row>
    <row r="480" customFormat="false" ht="15" hidden="false" customHeight="true" outlineLevel="0" collapsed="false">
      <c r="A480" s="148" t="str">
        <f aca="false">IF($J480="","",INDEX(LEDGER_ENGINE!$B$2:$B$546,$J480))</f>
        <v/>
      </c>
      <c r="B480" s="149" t="str">
        <f aca="false">IF($J480="","",INDEX(LEDGER_ENGINE!$C$2:$C$546,$J480))</f>
        <v/>
      </c>
      <c r="C480" s="149" t="str">
        <f aca="false">IF($J480="","",INDEX(LEDGER_ENGINE!$D$2:$D$546,$J480))</f>
        <v/>
      </c>
      <c r="D480" s="149" t="str">
        <f aca="false">IF($J480="","",INDEX(LEDGER_ENGINE!$G$2:$G$546,$J480))</f>
        <v/>
      </c>
      <c r="E480" s="149" t="str">
        <f aca="false">IFERROR(IF($J480="","",INDEX(LEDGER_ENGINE!$H$2:$H$546,$J480)),"")</f>
        <v/>
      </c>
      <c r="F480" s="150" t="str">
        <f aca="false">IF($J480="","",INDEX(LEDGER_ENGINE!$I$2:$I$546,$J480))</f>
        <v/>
      </c>
      <c r="G480" s="150" t="str">
        <f aca="false">IF($J480="","",INDEX(LEDGER_ENGINE!$J$2:$J$546,$J480))</f>
        <v/>
      </c>
      <c r="H480" s="150" t="str">
        <f aca="false">IF($J480="","",INDEX(LEDGER_ENGINE!$L$2:$L$546,$J480))</f>
        <v/>
      </c>
      <c r="I480" s="150" t="str">
        <f aca="false">IF(A480="","",I479+H480)</f>
        <v/>
      </c>
      <c r="J480" s="101" t="str">
        <f aca="false">IFERROR(MATCH(LIBRI_I_MADH!$B$4&amp;"|"&amp;ROWS($A$6:A480),LEDGER_ENGINE!$U$2:$U$546,0),"")</f>
        <v/>
      </c>
    </row>
    <row r="481" customFormat="false" ht="15" hidden="false" customHeight="true" outlineLevel="0" collapsed="false">
      <c r="A481" s="148" t="str">
        <f aca="false">IF($J481="","",INDEX(LEDGER_ENGINE!$B$2:$B$546,$J481))</f>
        <v/>
      </c>
      <c r="B481" s="149" t="str">
        <f aca="false">IF($J481="","",INDEX(LEDGER_ENGINE!$C$2:$C$546,$J481))</f>
        <v/>
      </c>
      <c r="C481" s="149" t="str">
        <f aca="false">IF($J481="","",INDEX(LEDGER_ENGINE!$D$2:$D$546,$J481))</f>
        <v/>
      </c>
      <c r="D481" s="149" t="str">
        <f aca="false">IF($J481="","",INDEX(LEDGER_ENGINE!$G$2:$G$546,$J481))</f>
        <v/>
      </c>
      <c r="E481" s="149" t="str">
        <f aca="false">IFERROR(IF($J481="","",INDEX(LEDGER_ENGINE!$H$2:$H$546,$J481)),"")</f>
        <v/>
      </c>
      <c r="F481" s="150" t="str">
        <f aca="false">IF($J481="","",INDEX(LEDGER_ENGINE!$I$2:$I$546,$J481))</f>
        <v/>
      </c>
      <c r="G481" s="150" t="str">
        <f aca="false">IF($J481="","",INDEX(LEDGER_ENGINE!$J$2:$J$546,$J481))</f>
        <v/>
      </c>
      <c r="H481" s="150" t="str">
        <f aca="false">IF($J481="","",INDEX(LEDGER_ENGINE!$L$2:$L$546,$J481))</f>
        <v/>
      </c>
      <c r="I481" s="150" t="str">
        <f aca="false">IF(A481="","",I480+H481)</f>
        <v/>
      </c>
      <c r="J481" s="101" t="str">
        <f aca="false">IFERROR(MATCH(LIBRI_I_MADH!$B$4&amp;"|"&amp;ROWS($A$6:A481),LEDGER_ENGINE!$U$2:$U$546,0),"")</f>
        <v/>
      </c>
    </row>
    <row r="482" customFormat="false" ht="15" hidden="false" customHeight="true" outlineLevel="0" collapsed="false">
      <c r="A482" s="148" t="str">
        <f aca="false">IF($J482="","",INDEX(LEDGER_ENGINE!$B$2:$B$546,$J482))</f>
        <v/>
      </c>
      <c r="B482" s="149" t="str">
        <f aca="false">IF($J482="","",INDEX(LEDGER_ENGINE!$C$2:$C$546,$J482))</f>
        <v/>
      </c>
      <c r="C482" s="149" t="str">
        <f aca="false">IF($J482="","",INDEX(LEDGER_ENGINE!$D$2:$D$546,$J482))</f>
        <v/>
      </c>
      <c r="D482" s="149" t="str">
        <f aca="false">IF($J482="","",INDEX(LEDGER_ENGINE!$G$2:$G$546,$J482))</f>
        <v/>
      </c>
      <c r="E482" s="149" t="str">
        <f aca="false">IFERROR(IF($J482="","",INDEX(LEDGER_ENGINE!$H$2:$H$546,$J482)),"")</f>
        <v/>
      </c>
      <c r="F482" s="150" t="str">
        <f aca="false">IF($J482="","",INDEX(LEDGER_ENGINE!$I$2:$I$546,$J482))</f>
        <v/>
      </c>
      <c r="G482" s="150" t="str">
        <f aca="false">IF($J482="","",INDEX(LEDGER_ENGINE!$J$2:$J$546,$J482))</f>
        <v/>
      </c>
      <c r="H482" s="150" t="str">
        <f aca="false">IF($J482="","",INDEX(LEDGER_ENGINE!$L$2:$L$546,$J482))</f>
        <v/>
      </c>
      <c r="I482" s="150" t="str">
        <f aca="false">IF(A482="","",I481+H482)</f>
        <v/>
      </c>
      <c r="J482" s="101" t="str">
        <f aca="false">IFERROR(MATCH(LIBRI_I_MADH!$B$4&amp;"|"&amp;ROWS($A$6:A482),LEDGER_ENGINE!$U$2:$U$546,0),"")</f>
        <v/>
      </c>
    </row>
    <row r="483" customFormat="false" ht="15" hidden="false" customHeight="true" outlineLevel="0" collapsed="false">
      <c r="A483" s="148" t="str">
        <f aca="false">IF($J483="","",INDEX(LEDGER_ENGINE!$B$2:$B$546,$J483))</f>
        <v/>
      </c>
      <c r="B483" s="149" t="str">
        <f aca="false">IF($J483="","",INDEX(LEDGER_ENGINE!$C$2:$C$546,$J483))</f>
        <v/>
      </c>
      <c r="C483" s="149" t="str">
        <f aca="false">IF($J483="","",INDEX(LEDGER_ENGINE!$D$2:$D$546,$J483))</f>
        <v/>
      </c>
      <c r="D483" s="149" t="str">
        <f aca="false">IF($J483="","",INDEX(LEDGER_ENGINE!$G$2:$G$546,$J483))</f>
        <v/>
      </c>
      <c r="E483" s="149" t="str">
        <f aca="false">IFERROR(IF($J483="","",INDEX(LEDGER_ENGINE!$H$2:$H$546,$J483)),"")</f>
        <v/>
      </c>
      <c r="F483" s="150" t="str">
        <f aca="false">IF($J483="","",INDEX(LEDGER_ENGINE!$I$2:$I$546,$J483))</f>
        <v/>
      </c>
      <c r="G483" s="150" t="str">
        <f aca="false">IF($J483="","",INDEX(LEDGER_ENGINE!$J$2:$J$546,$J483))</f>
        <v/>
      </c>
      <c r="H483" s="150" t="str">
        <f aca="false">IF($J483="","",INDEX(LEDGER_ENGINE!$L$2:$L$546,$J483))</f>
        <v/>
      </c>
      <c r="I483" s="150" t="str">
        <f aca="false">IF(A483="","",I482+H483)</f>
        <v/>
      </c>
      <c r="J483" s="101" t="str">
        <f aca="false">IFERROR(MATCH(LIBRI_I_MADH!$B$4&amp;"|"&amp;ROWS($A$6:A483),LEDGER_ENGINE!$U$2:$U$546,0),"")</f>
        <v/>
      </c>
    </row>
    <row r="484" customFormat="false" ht="15" hidden="false" customHeight="true" outlineLevel="0" collapsed="false">
      <c r="A484" s="148" t="str">
        <f aca="false">IF($J484="","",INDEX(LEDGER_ENGINE!$B$2:$B$546,$J484))</f>
        <v/>
      </c>
      <c r="B484" s="149" t="str">
        <f aca="false">IF($J484="","",INDEX(LEDGER_ENGINE!$C$2:$C$546,$J484))</f>
        <v/>
      </c>
      <c r="C484" s="149" t="str">
        <f aca="false">IF($J484="","",INDEX(LEDGER_ENGINE!$D$2:$D$546,$J484))</f>
        <v/>
      </c>
      <c r="D484" s="149" t="str">
        <f aca="false">IF($J484="","",INDEX(LEDGER_ENGINE!$G$2:$G$546,$J484))</f>
        <v/>
      </c>
      <c r="E484" s="149" t="str">
        <f aca="false">IFERROR(IF($J484="","",INDEX(LEDGER_ENGINE!$H$2:$H$546,$J484)),"")</f>
        <v/>
      </c>
      <c r="F484" s="150" t="str">
        <f aca="false">IF($J484="","",INDEX(LEDGER_ENGINE!$I$2:$I$546,$J484))</f>
        <v/>
      </c>
      <c r="G484" s="150" t="str">
        <f aca="false">IF($J484="","",INDEX(LEDGER_ENGINE!$J$2:$J$546,$J484))</f>
        <v/>
      </c>
      <c r="H484" s="150" t="str">
        <f aca="false">IF($J484="","",INDEX(LEDGER_ENGINE!$L$2:$L$546,$J484))</f>
        <v/>
      </c>
      <c r="I484" s="150" t="str">
        <f aca="false">IF(A484="","",I483+H484)</f>
        <v/>
      </c>
      <c r="J484" s="101" t="str">
        <f aca="false">IFERROR(MATCH(LIBRI_I_MADH!$B$4&amp;"|"&amp;ROWS($A$6:A484),LEDGER_ENGINE!$U$2:$U$546,0),"")</f>
        <v/>
      </c>
    </row>
    <row r="485" customFormat="false" ht="15" hidden="false" customHeight="true" outlineLevel="0" collapsed="false">
      <c r="A485" s="148" t="str">
        <f aca="false">IF($J485="","",INDEX(LEDGER_ENGINE!$B$2:$B$546,$J485))</f>
        <v/>
      </c>
      <c r="B485" s="149" t="str">
        <f aca="false">IF($J485="","",INDEX(LEDGER_ENGINE!$C$2:$C$546,$J485))</f>
        <v/>
      </c>
      <c r="C485" s="149" t="str">
        <f aca="false">IF($J485="","",INDEX(LEDGER_ENGINE!$D$2:$D$546,$J485))</f>
        <v/>
      </c>
      <c r="D485" s="149" t="str">
        <f aca="false">IF($J485="","",INDEX(LEDGER_ENGINE!$G$2:$G$546,$J485))</f>
        <v/>
      </c>
      <c r="E485" s="149" t="str">
        <f aca="false">IFERROR(IF($J485="","",INDEX(LEDGER_ENGINE!$H$2:$H$546,$J485)),"")</f>
        <v/>
      </c>
      <c r="F485" s="150" t="str">
        <f aca="false">IF($J485="","",INDEX(LEDGER_ENGINE!$I$2:$I$546,$J485))</f>
        <v/>
      </c>
      <c r="G485" s="150" t="str">
        <f aca="false">IF($J485="","",INDEX(LEDGER_ENGINE!$J$2:$J$546,$J485))</f>
        <v/>
      </c>
      <c r="H485" s="150" t="str">
        <f aca="false">IF($J485="","",INDEX(LEDGER_ENGINE!$L$2:$L$546,$J485))</f>
        <v/>
      </c>
      <c r="I485" s="150" t="str">
        <f aca="false">IF(A485="","",I484+H485)</f>
        <v/>
      </c>
      <c r="J485" s="101" t="str">
        <f aca="false">IFERROR(MATCH(LIBRI_I_MADH!$B$4&amp;"|"&amp;ROWS($A$6:A485),LEDGER_ENGINE!$U$2:$U$546,0),"")</f>
        <v/>
      </c>
    </row>
    <row r="486" customFormat="false" ht="15" hidden="false" customHeight="true" outlineLevel="0" collapsed="false">
      <c r="A486" s="148" t="str">
        <f aca="false">IF($J486="","",INDEX(LEDGER_ENGINE!$B$2:$B$546,$J486))</f>
        <v/>
      </c>
      <c r="B486" s="149" t="str">
        <f aca="false">IF($J486="","",INDEX(LEDGER_ENGINE!$C$2:$C$546,$J486))</f>
        <v/>
      </c>
      <c r="C486" s="149" t="str">
        <f aca="false">IF($J486="","",INDEX(LEDGER_ENGINE!$D$2:$D$546,$J486))</f>
        <v/>
      </c>
      <c r="D486" s="149" t="str">
        <f aca="false">IF($J486="","",INDEX(LEDGER_ENGINE!$G$2:$G$546,$J486))</f>
        <v/>
      </c>
      <c r="E486" s="149" t="str">
        <f aca="false">IFERROR(IF($J486="","",INDEX(LEDGER_ENGINE!$H$2:$H$546,$J486)),"")</f>
        <v/>
      </c>
      <c r="F486" s="150" t="str">
        <f aca="false">IF($J486="","",INDEX(LEDGER_ENGINE!$I$2:$I$546,$J486))</f>
        <v/>
      </c>
      <c r="G486" s="150" t="str">
        <f aca="false">IF($J486="","",INDEX(LEDGER_ENGINE!$J$2:$J$546,$J486))</f>
        <v/>
      </c>
      <c r="H486" s="150" t="str">
        <f aca="false">IF($J486="","",INDEX(LEDGER_ENGINE!$L$2:$L$546,$J486))</f>
        <v/>
      </c>
      <c r="I486" s="150" t="str">
        <f aca="false">IF(A486="","",I485+H486)</f>
        <v/>
      </c>
      <c r="J486" s="101" t="str">
        <f aca="false">IFERROR(MATCH(LIBRI_I_MADH!$B$4&amp;"|"&amp;ROWS($A$6:A486),LEDGER_ENGINE!$U$2:$U$546,0),"")</f>
        <v/>
      </c>
    </row>
    <row r="487" customFormat="false" ht="15" hidden="false" customHeight="true" outlineLevel="0" collapsed="false">
      <c r="A487" s="148" t="str">
        <f aca="false">IF($J487="","",INDEX(LEDGER_ENGINE!$B$2:$B$546,$J487))</f>
        <v/>
      </c>
      <c r="B487" s="149" t="str">
        <f aca="false">IF($J487="","",INDEX(LEDGER_ENGINE!$C$2:$C$546,$J487))</f>
        <v/>
      </c>
      <c r="C487" s="149" t="str">
        <f aca="false">IF($J487="","",INDEX(LEDGER_ENGINE!$D$2:$D$546,$J487))</f>
        <v/>
      </c>
      <c r="D487" s="149" t="str">
        <f aca="false">IF($J487="","",INDEX(LEDGER_ENGINE!$G$2:$G$546,$J487))</f>
        <v/>
      </c>
      <c r="E487" s="149" t="str">
        <f aca="false">IFERROR(IF($J487="","",INDEX(LEDGER_ENGINE!$H$2:$H$546,$J487)),"")</f>
        <v/>
      </c>
      <c r="F487" s="150" t="str">
        <f aca="false">IF($J487="","",INDEX(LEDGER_ENGINE!$I$2:$I$546,$J487))</f>
        <v/>
      </c>
      <c r="G487" s="150" t="str">
        <f aca="false">IF($J487="","",INDEX(LEDGER_ENGINE!$J$2:$J$546,$J487))</f>
        <v/>
      </c>
      <c r="H487" s="150" t="str">
        <f aca="false">IF($J487="","",INDEX(LEDGER_ENGINE!$L$2:$L$546,$J487))</f>
        <v/>
      </c>
      <c r="I487" s="150" t="str">
        <f aca="false">IF(A487="","",I486+H487)</f>
        <v/>
      </c>
      <c r="J487" s="101" t="str">
        <f aca="false">IFERROR(MATCH(LIBRI_I_MADH!$B$4&amp;"|"&amp;ROWS($A$6:A487),LEDGER_ENGINE!$U$2:$U$546,0),"")</f>
        <v/>
      </c>
    </row>
    <row r="488" customFormat="false" ht="15" hidden="false" customHeight="true" outlineLevel="0" collapsed="false">
      <c r="A488" s="148" t="str">
        <f aca="false">IF($J488="","",INDEX(LEDGER_ENGINE!$B$2:$B$546,$J488))</f>
        <v/>
      </c>
      <c r="B488" s="149" t="str">
        <f aca="false">IF($J488="","",INDEX(LEDGER_ENGINE!$C$2:$C$546,$J488))</f>
        <v/>
      </c>
      <c r="C488" s="149" t="str">
        <f aca="false">IF($J488="","",INDEX(LEDGER_ENGINE!$D$2:$D$546,$J488))</f>
        <v/>
      </c>
      <c r="D488" s="149" t="str">
        <f aca="false">IF($J488="","",INDEX(LEDGER_ENGINE!$G$2:$G$546,$J488))</f>
        <v/>
      </c>
      <c r="E488" s="149" t="str">
        <f aca="false">IFERROR(IF($J488="","",INDEX(LEDGER_ENGINE!$H$2:$H$546,$J488)),"")</f>
        <v/>
      </c>
      <c r="F488" s="150" t="str">
        <f aca="false">IF($J488="","",INDEX(LEDGER_ENGINE!$I$2:$I$546,$J488))</f>
        <v/>
      </c>
      <c r="G488" s="150" t="str">
        <f aca="false">IF($J488="","",INDEX(LEDGER_ENGINE!$J$2:$J$546,$J488))</f>
        <v/>
      </c>
      <c r="H488" s="150" t="str">
        <f aca="false">IF($J488="","",INDEX(LEDGER_ENGINE!$L$2:$L$546,$J488))</f>
        <v/>
      </c>
      <c r="I488" s="150" t="str">
        <f aca="false">IF(A488="","",I487+H488)</f>
        <v/>
      </c>
      <c r="J488" s="101" t="str">
        <f aca="false">IFERROR(MATCH(LIBRI_I_MADH!$B$4&amp;"|"&amp;ROWS($A$6:A488),LEDGER_ENGINE!$U$2:$U$546,0),"")</f>
        <v/>
      </c>
    </row>
    <row r="489" customFormat="false" ht="15" hidden="false" customHeight="true" outlineLevel="0" collapsed="false">
      <c r="A489" s="148" t="str">
        <f aca="false">IF($J489="","",INDEX(LEDGER_ENGINE!$B$2:$B$546,$J489))</f>
        <v/>
      </c>
      <c r="B489" s="149" t="str">
        <f aca="false">IF($J489="","",INDEX(LEDGER_ENGINE!$C$2:$C$546,$J489))</f>
        <v/>
      </c>
      <c r="C489" s="149" t="str">
        <f aca="false">IF($J489="","",INDEX(LEDGER_ENGINE!$D$2:$D$546,$J489))</f>
        <v/>
      </c>
      <c r="D489" s="149" t="str">
        <f aca="false">IF($J489="","",INDEX(LEDGER_ENGINE!$G$2:$G$546,$J489))</f>
        <v/>
      </c>
      <c r="E489" s="149" t="str">
        <f aca="false">IFERROR(IF($J489="","",INDEX(LEDGER_ENGINE!$H$2:$H$546,$J489)),"")</f>
        <v/>
      </c>
      <c r="F489" s="150" t="str">
        <f aca="false">IF($J489="","",INDEX(LEDGER_ENGINE!$I$2:$I$546,$J489))</f>
        <v/>
      </c>
      <c r="G489" s="150" t="str">
        <f aca="false">IF($J489="","",INDEX(LEDGER_ENGINE!$J$2:$J$546,$J489))</f>
        <v/>
      </c>
      <c r="H489" s="150" t="str">
        <f aca="false">IF($J489="","",INDEX(LEDGER_ENGINE!$L$2:$L$546,$J489))</f>
        <v/>
      </c>
      <c r="I489" s="150" t="str">
        <f aca="false">IF(A489="","",I488+H489)</f>
        <v/>
      </c>
      <c r="J489" s="101" t="str">
        <f aca="false">IFERROR(MATCH(LIBRI_I_MADH!$B$4&amp;"|"&amp;ROWS($A$6:A489),LEDGER_ENGINE!$U$2:$U$546,0),"")</f>
        <v/>
      </c>
    </row>
    <row r="490" customFormat="false" ht="15" hidden="false" customHeight="true" outlineLevel="0" collapsed="false">
      <c r="A490" s="148" t="str">
        <f aca="false">IF($J490="","",INDEX(LEDGER_ENGINE!$B$2:$B$546,$J490))</f>
        <v/>
      </c>
      <c r="B490" s="149" t="str">
        <f aca="false">IF($J490="","",INDEX(LEDGER_ENGINE!$C$2:$C$546,$J490))</f>
        <v/>
      </c>
      <c r="C490" s="149" t="str">
        <f aca="false">IF($J490="","",INDEX(LEDGER_ENGINE!$D$2:$D$546,$J490))</f>
        <v/>
      </c>
      <c r="D490" s="149" t="str">
        <f aca="false">IF($J490="","",INDEX(LEDGER_ENGINE!$G$2:$G$546,$J490))</f>
        <v/>
      </c>
      <c r="E490" s="149" t="str">
        <f aca="false">IFERROR(IF($J490="","",INDEX(LEDGER_ENGINE!$H$2:$H$546,$J490)),"")</f>
        <v/>
      </c>
      <c r="F490" s="150" t="str">
        <f aca="false">IF($J490="","",INDEX(LEDGER_ENGINE!$I$2:$I$546,$J490))</f>
        <v/>
      </c>
      <c r="G490" s="150" t="str">
        <f aca="false">IF($J490="","",INDEX(LEDGER_ENGINE!$J$2:$J$546,$J490))</f>
        <v/>
      </c>
      <c r="H490" s="150" t="str">
        <f aca="false">IF($J490="","",INDEX(LEDGER_ENGINE!$L$2:$L$546,$J490))</f>
        <v/>
      </c>
      <c r="I490" s="150" t="str">
        <f aca="false">IF(A490="","",I489+H490)</f>
        <v/>
      </c>
      <c r="J490" s="101" t="str">
        <f aca="false">IFERROR(MATCH(LIBRI_I_MADH!$B$4&amp;"|"&amp;ROWS($A$6:A490),LEDGER_ENGINE!$U$2:$U$546,0),"")</f>
        <v/>
      </c>
    </row>
    <row r="491" customFormat="false" ht="15" hidden="false" customHeight="true" outlineLevel="0" collapsed="false">
      <c r="A491" s="148" t="str">
        <f aca="false">IF($J491="","",INDEX(LEDGER_ENGINE!$B$2:$B$546,$J491))</f>
        <v/>
      </c>
      <c r="B491" s="149" t="str">
        <f aca="false">IF($J491="","",INDEX(LEDGER_ENGINE!$C$2:$C$546,$J491))</f>
        <v/>
      </c>
      <c r="C491" s="149" t="str">
        <f aca="false">IF($J491="","",INDEX(LEDGER_ENGINE!$D$2:$D$546,$J491))</f>
        <v/>
      </c>
      <c r="D491" s="149" t="str">
        <f aca="false">IF($J491="","",INDEX(LEDGER_ENGINE!$G$2:$G$546,$J491))</f>
        <v/>
      </c>
      <c r="E491" s="149" t="str">
        <f aca="false">IFERROR(IF($J491="","",INDEX(LEDGER_ENGINE!$H$2:$H$546,$J491)),"")</f>
        <v/>
      </c>
      <c r="F491" s="150" t="str">
        <f aca="false">IF($J491="","",INDEX(LEDGER_ENGINE!$I$2:$I$546,$J491))</f>
        <v/>
      </c>
      <c r="G491" s="150" t="str">
        <f aca="false">IF($J491="","",INDEX(LEDGER_ENGINE!$J$2:$J$546,$J491))</f>
        <v/>
      </c>
      <c r="H491" s="150" t="str">
        <f aca="false">IF($J491="","",INDEX(LEDGER_ENGINE!$L$2:$L$546,$J491))</f>
        <v/>
      </c>
      <c r="I491" s="150" t="str">
        <f aca="false">IF(A491="","",I490+H491)</f>
        <v/>
      </c>
      <c r="J491" s="101" t="str">
        <f aca="false">IFERROR(MATCH(LIBRI_I_MADH!$B$4&amp;"|"&amp;ROWS($A$6:A491),LEDGER_ENGINE!$U$2:$U$546,0),"")</f>
        <v/>
      </c>
    </row>
    <row r="492" customFormat="false" ht="15" hidden="false" customHeight="true" outlineLevel="0" collapsed="false">
      <c r="A492" s="148" t="str">
        <f aca="false">IF($J492="","",INDEX(LEDGER_ENGINE!$B$2:$B$546,$J492))</f>
        <v/>
      </c>
      <c r="B492" s="149" t="str">
        <f aca="false">IF($J492="","",INDEX(LEDGER_ENGINE!$C$2:$C$546,$J492))</f>
        <v/>
      </c>
      <c r="C492" s="149" t="str">
        <f aca="false">IF($J492="","",INDEX(LEDGER_ENGINE!$D$2:$D$546,$J492))</f>
        <v/>
      </c>
      <c r="D492" s="149" t="str">
        <f aca="false">IF($J492="","",INDEX(LEDGER_ENGINE!$G$2:$G$546,$J492))</f>
        <v/>
      </c>
      <c r="E492" s="149" t="str">
        <f aca="false">IFERROR(IF($J492="","",INDEX(LEDGER_ENGINE!$H$2:$H$546,$J492)),"")</f>
        <v/>
      </c>
      <c r="F492" s="150" t="str">
        <f aca="false">IF($J492="","",INDEX(LEDGER_ENGINE!$I$2:$I$546,$J492))</f>
        <v/>
      </c>
      <c r="G492" s="150" t="str">
        <f aca="false">IF($J492="","",INDEX(LEDGER_ENGINE!$J$2:$J$546,$J492))</f>
        <v/>
      </c>
      <c r="H492" s="150" t="str">
        <f aca="false">IF($J492="","",INDEX(LEDGER_ENGINE!$L$2:$L$546,$J492))</f>
        <v/>
      </c>
      <c r="I492" s="150" t="str">
        <f aca="false">IF(A492="","",I491+H492)</f>
        <v/>
      </c>
      <c r="J492" s="101" t="str">
        <f aca="false">IFERROR(MATCH(LIBRI_I_MADH!$B$4&amp;"|"&amp;ROWS($A$6:A492),LEDGER_ENGINE!$U$2:$U$546,0),"")</f>
        <v/>
      </c>
    </row>
    <row r="493" customFormat="false" ht="15" hidden="false" customHeight="true" outlineLevel="0" collapsed="false">
      <c r="A493" s="148" t="str">
        <f aca="false">IF($J493="","",INDEX(LEDGER_ENGINE!$B$2:$B$546,$J493))</f>
        <v/>
      </c>
      <c r="B493" s="149" t="str">
        <f aca="false">IF($J493="","",INDEX(LEDGER_ENGINE!$C$2:$C$546,$J493))</f>
        <v/>
      </c>
      <c r="C493" s="149" t="str">
        <f aca="false">IF($J493="","",INDEX(LEDGER_ENGINE!$D$2:$D$546,$J493))</f>
        <v/>
      </c>
      <c r="D493" s="149" t="str">
        <f aca="false">IF($J493="","",INDEX(LEDGER_ENGINE!$G$2:$G$546,$J493))</f>
        <v/>
      </c>
      <c r="E493" s="149" t="str">
        <f aca="false">IFERROR(IF($J493="","",INDEX(LEDGER_ENGINE!$H$2:$H$546,$J493)),"")</f>
        <v/>
      </c>
      <c r="F493" s="150" t="str">
        <f aca="false">IF($J493="","",INDEX(LEDGER_ENGINE!$I$2:$I$546,$J493))</f>
        <v/>
      </c>
      <c r="G493" s="150" t="str">
        <f aca="false">IF($J493="","",INDEX(LEDGER_ENGINE!$J$2:$J$546,$J493))</f>
        <v/>
      </c>
      <c r="H493" s="150" t="str">
        <f aca="false">IF($J493="","",INDEX(LEDGER_ENGINE!$L$2:$L$546,$J493))</f>
        <v/>
      </c>
      <c r="I493" s="150" t="str">
        <f aca="false">IF(A493="","",I492+H493)</f>
        <v/>
      </c>
      <c r="J493" s="101" t="str">
        <f aca="false">IFERROR(MATCH(LIBRI_I_MADH!$B$4&amp;"|"&amp;ROWS($A$6:A493),LEDGER_ENGINE!$U$2:$U$546,0),"")</f>
        <v/>
      </c>
    </row>
    <row r="494" customFormat="false" ht="15" hidden="false" customHeight="true" outlineLevel="0" collapsed="false">
      <c r="A494" s="148" t="str">
        <f aca="false">IF($J494="","",INDEX(LEDGER_ENGINE!$B$2:$B$546,$J494))</f>
        <v/>
      </c>
      <c r="B494" s="149" t="str">
        <f aca="false">IF($J494="","",INDEX(LEDGER_ENGINE!$C$2:$C$546,$J494))</f>
        <v/>
      </c>
      <c r="C494" s="149" t="str">
        <f aca="false">IF($J494="","",INDEX(LEDGER_ENGINE!$D$2:$D$546,$J494))</f>
        <v/>
      </c>
      <c r="D494" s="149" t="str">
        <f aca="false">IF($J494="","",INDEX(LEDGER_ENGINE!$G$2:$G$546,$J494))</f>
        <v/>
      </c>
      <c r="E494" s="149" t="str">
        <f aca="false">IFERROR(IF($J494="","",INDEX(LEDGER_ENGINE!$H$2:$H$546,$J494)),"")</f>
        <v/>
      </c>
      <c r="F494" s="150" t="str">
        <f aca="false">IF($J494="","",INDEX(LEDGER_ENGINE!$I$2:$I$546,$J494))</f>
        <v/>
      </c>
      <c r="G494" s="150" t="str">
        <f aca="false">IF($J494="","",INDEX(LEDGER_ENGINE!$J$2:$J$546,$J494))</f>
        <v/>
      </c>
      <c r="H494" s="150" t="str">
        <f aca="false">IF($J494="","",INDEX(LEDGER_ENGINE!$L$2:$L$546,$J494))</f>
        <v/>
      </c>
      <c r="I494" s="150" t="str">
        <f aca="false">IF(A494="","",I493+H494)</f>
        <v/>
      </c>
      <c r="J494" s="101" t="str">
        <f aca="false">IFERROR(MATCH(LIBRI_I_MADH!$B$4&amp;"|"&amp;ROWS($A$6:A494),LEDGER_ENGINE!$U$2:$U$546,0),"")</f>
        <v/>
      </c>
    </row>
    <row r="495" customFormat="false" ht="15" hidden="false" customHeight="true" outlineLevel="0" collapsed="false">
      <c r="A495" s="148" t="str">
        <f aca="false">IF($J495="","",INDEX(LEDGER_ENGINE!$B$2:$B$546,$J495))</f>
        <v/>
      </c>
      <c r="B495" s="149" t="str">
        <f aca="false">IF($J495="","",INDEX(LEDGER_ENGINE!$C$2:$C$546,$J495))</f>
        <v/>
      </c>
      <c r="C495" s="149" t="str">
        <f aca="false">IF($J495="","",INDEX(LEDGER_ENGINE!$D$2:$D$546,$J495))</f>
        <v/>
      </c>
      <c r="D495" s="149" t="str">
        <f aca="false">IF($J495="","",INDEX(LEDGER_ENGINE!$G$2:$G$546,$J495))</f>
        <v/>
      </c>
      <c r="E495" s="149" t="str">
        <f aca="false">IFERROR(IF($J495="","",INDEX(LEDGER_ENGINE!$H$2:$H$546,$J495)),"")</f>
        <v/>
      </c>
      <c r="F495" s="150" t="str">
        <f aca="false">IF($J495="","",INDEX(LEDGER_ENGINE!$I$2:$I$546,$J495))</f>
        <v/>
      </c>
      <c r="G495" s="150" t="str">
        <f aca="false">IF($J495="","",INDEX(LEDGER_ENGINE!$J$2:$J$546,$J495))</f>
        <v/>
      </c>
      <c r="H495" s="150" t="str">
        <f aca="false">IF($J495="","",INDEX(LEDGER_ENGINE!$L$2:$L$546,$J495))</f>
        <v/>
      </c>
      <c r="I495" s="150" t="str">
        <f aca="false">IF(A495="","",I494+H495)</f>
        <v/>
      </c>
      <c r="J495" s="101" t="str">
        <f aca="false">IFERROR(MATCH(LIBRI_I_MADH!$B$4&amp;"|"&amp;ROWS($A$6:A495),LEDGER_ENGINE!$U$2:$U$546,0),"")</f>
        <v/>
      </c>
    </row>
    <row r="496" customFormat="false" ht="15" hidden="false" customHeight="true" outlineLevel="0" collapsed="false">
      <c r="A496" s="148" t="str">
        <f aca="false">IF($J496="","",INDEX(LEDGER_ENGINE!$B$2:$B$546,$J496))</f>
        <v/>
      </c>
      <c r="B496" s="149" t="str">
        <f aca="false">IF($J496="","",INDEX(LEDGER_ENGINE!$C$2:$C$546,$J496))</f>
        <v/>
      </c>
      <c r="C496" s="149" t="str">
        <f aca="false">IF($J496="","",INDEX(LEDGER_ENGINE!$D$2:$D$546,$J496))</f>
        <v/>
      </c>
      <c r="D496" s="149" t="str">
        <f aca="false">IF($J496="","",INDEX(LEDGER_ENGINE!$G$2:$G$546,$J496))</f>
        <v/>
      </c>
      <c r="E496" s="149" t="str">
        <f aca="false">IFERROR(IF($J496="","",INDEX(LEDGER_ENGINE!$H$2:$H$546,$J496)),"")</f>
        <v/>
      </c>
      <c r="F496" s="150" t="str">
        <f aca="false">IF($J496="","",INDEX(LEDGER_ENGINE!$I$2:$I$546,$J496))</f>
        <v/>
      </c>
      <c r="G496" s="150" t="str">
        <f aca="false">IF($J496="","",INDEX(LEDGER_ENGINE!$J$2:$J$546,$J496))</f>
        <v/>
      </c>
      <c r="H496" s="150" t="str">
        <f aca="false">IF($J496="","",INDEX(LEDGER_ENGINE!$L$2:$L$546,$J496))</f>
        <v/>
      </c>
      <c r="I496" s="150" t="str">
        <f aca="false">IF(A496="","",I495+H496)</f>
        <v/>
      </c>
      <c r="J496" s="101" t="str">
        <f aca="false">IFERROR(MATCH(LIBRI_I_MADH!$B$4&amp;"|"&amp;ROWS($A$6:A496),LEDGER_ENGINE!$U$2:$U$546,0),"")</f>
        <v/>
      </c>
    </row>
    <row r="497" customFormat="false" ht="15" hidden="false" customHeight="true" outlineLevel="0" collapsed="false">
      <c r="A497" s="148" t="str">
        <f aca="false">IF($J497="","",INDEX(LEDGER_ENGINE!$B$2:$B$546,$J497))</f>
        <v/>
      </c>
      <c r="B497" s="149" t="str">
        <f aca="false">IF($J497="","",INDEX(LEDGER_ENGINE!$C$2:$C$546,$J497))</f>
        <v/>
      </c>
      <c r="C497" s="149" t="str">
        <f aca="false">IF($J497="","",INDEX(LEDGER_ENGINE!$D$2:$D$546,$J497))</f>
        <v/>
      </c>
      <c r="D497" s="149" t="str">
        <f aca="false">IF($J497="","",INDEX(LEDGER_ENGINE!$G$2:$G$546,$J497))</f>
        <v/>
      </c>
      <c r="E497" s="149" t="str">
        <f aca="false">IFERROR(IF($J497="","",INDEX(LEDGER_ENGINE!$H$2:$H$546,$J497)),"")</f>
        <v/>
      </c>
      <c r="F497" s="150" t="str">
        <f aca="false">IF($J497="","",INDEX(LEDGER_ENGINE!$I$2:$I$546,$J497))</f>
        <v/>
      </c>
      <c r="G497" s="150" t="str">
        <f aca="false">IF($J497="","",INDEX(LEDGER_ENGINE!$J$2:$J$546,$J497))</f>
        <v/>
      </c>
      <c r="H497" s="150" t="str">
        <f aca="false">IF($J497="","",INDEX(LEDGER_ENGINE!$L$2:$L$546,$J497))</f>
        <v/>
      </c>
      <c r="I497" s="150" t="str">
        <f aca="false">IF(A497="","",I496+H497)</f>
        <v/>
      </c>
      <c r="J497" s="101" t="str">
        <f aca="false">IFERROR(MATCH(LIBRI_I_MADH!$B$4&amp;"|"&amp;ROWS($A$6:A497),LEDGER_ENGINE!$U$2:$U$546,0),"")</f>
        <v/>
      </c>
    </row>
    <row r="498" customFormat="false" ht="15" hidden="false" customHeight="true" outlineLevel="0" collapsed="false">
      <c r="A498" s="148" t="str">
        <f aca="false">IF($J498="","",INDEX(LEDGER_ENGINE!$B$2:$B$546,$J498))</f>
        <v/>
      </c>
      <c r="B498" s="149" t="str">
        <f aca="false">IF($J498="","",INDEX(LEDGER_ENGINE!$C$2:$C$546,$J498))</f>
        <v/>
      </c>
      <c r="C498" s="149" t="str">
        <f aca="false">IF($J498="","",INDEX(LEDGER_ENGINE!$D$2:$D$546,$J498))</f>
        <v/>
      </c>
      <c r="D498" s="149" t="str">
        <f aca="false">IF($J498="","",INDEX(LEDGER_ENGINE!$G$2:$G$546,$J498))</f>
        <v/>
      </c>
      <c r="E498" s="149" t="str">
        <f aca="false">IFERROR(IF($J498="","",INDEX(LEDGER_ENGINE!$H$2:$H$546,$J498)),"")</f>
        <v/>
      </c>
      <c r="F498" s="150" t="str">
        <f aca="false">IF($J498="","",INDEX(LEDGER_ENGINE!$I$2:$I$546,$J498))</f>
        <v/>
      </c>
      <c r="G498" s="150" t="str">
        <f aca="false">IF($J498="","",INDEX(LEDGER_ENGINE!$J$2:$J$546,$J498))</f>
        <v/>
      </c>
      <c r="H498" s="150" t="str">
        <f aca="false">IF($J498="","",INDEX(LEDGER_ENGINE!$L$2:$L$546,$J498))</f>
        <v/>
      </c>
      <c r="I498" s="150" t="str">
        <f aca="false">IF(A498="","",I497+H498)</f>
        <v/>
      </c>
      <c r="J498" s="101" t="str">
        <f aca="false">IFERROR(MATCH(LIBRI_I_MADH!$B$4&amp;"|"&amp;ROWS($A$6:A498),LEDGER_ENGINE!$U$2:$U$546,0),"")</f>
        <v/>
      </c>
    </row>
    <row r="499" customFormat="false" ht="15" hidden="false" customHeight="true" outlineLevel="0" collapsed="false">
      <c r="A499" s="148" t="str">
        <f aca="false">IF($J499="","",INDEX(LEDGER_ENGINE!$B$2:$B$546,$J499))</f>
        <v/>
      </c>
      <c r="B499" s="149" t="str">
        <f aca="false">IF($J499="","",INDEX(LEDGER_ENGINE!$C$2:$C$546,$J499))</f>
        <v/>
      </c>
      <c r="C499" s="149" t="str">
        <f aca="false">IF($J499="","",INDEX(LEDGER_ENGINE!$D$2:$D$546,$J499))</f>
        <v/>
      </c>
      <c r="D499" s="149" t="str">
        <f aca="false">IF($J499="","",INDEX(LEDGER_ENGINE!$G$2:$G$546,$J499))</f>
        <v/>
      </c>
      <c r="E499" s="149" t="str">
        <f aca="false">IFERROR(IF($J499="","",INDEX(LEDGER_ENGINE!$H$2:$H$546,$J499)),"")</f>
        <v/>
      </c>
      <c r="F499" s="150" t="str">
        <f aca="false">IF($J499="","",INDEX(LEDGER_ENGINE!$I$2:$I$546,$J499))</f>
        <v/>
      </c>
      <c r="G499" s="150" t="str">
        <f aca="false">IF($J499="","",INDEX(LEDGER_ENGINE!$J$2:$J$546,$J499))</f>
        <v/>
      </c>
      <c r="H499" s="150" t="str">
        <f aca="false">IF($J499="","",INDEX(LEDGER_ENGINE!$L$2:$L$546,$J499))</f>
        <v/>
      </c>
      <c r="I499" s="150" t="str">
        <f aca="false">IF(A499="","",I498+H499)</f>
        <v/>
      </c>
      <c r="J499" s="101" t="str">
        <f aca="false">IFERROR(MATCH(LIBRI_I_MADH!$B$4&amp;"|"&amp;ROWS($A$6:A499),LEDGER_ENGINE!$U$2:$U$546,0),"")</f>
        <v/>
      </c>
    </row>
    <row r="500" customFormat="false" ht="15" hidden="false" customHeight="true" outlineLevel="0" collapsed="false">
      <c r="A500" s="148" t="str">
        <f aca="false">IF($J500="","",INDEX(LEDGER_ENGINE!$B$2:$B$546,$J500))</f>
        <v/>
      </c>
      <c r="B500" s="149" t="str">
        <f aca="false">IF($J500="","",INDEX(LEDGER_ENGINE!$C$2:$C$546,$J500))</f>
        <v/>
      </c>
      <c r="C500" s="149" t="str">
        <f aca="false">IF($J500="","",INDEX(LEDGER_ENGINE!$D$2:$D$546,$J500))</f>
        <v/>
      </c>
      <c r="D500" s="149" t="str">
        <f aca="false">IF($J500="","",INDEX(LEDGER_ENGINE!$G$2:$G$546,$J500))</f>
        <v/>
      </c>
      <c r="E500" s="149" t="str">
        <f aca="false">IFERROR(IF($J500="","",INDEX(LEDGER_ENGINE!$H$2:$H$546,$J500)),"")</f>
        <v/>
      </c>
      <c r="F500" s="150" t="str">
        <f aca="false">IF($J500="","",INDEX(LEDGER_ENGINE!$I$2:$I$546,$J500))</f>
        <v/>
      </c>
      <c r="G500" s="150" t="str">
        <f aca="false">IF($J500="","",INDEX(LEDGER_ENGINE!$J$2:$J$546,$J500))</f>
        <v/>
      </c>
      <c r="H500" s="150" t="str">
        <f aca="false">IF($J500="","",INDEX(LEDGER_ENGINE!$L$2:$L$546,$J500))</f>
        <v/>
      </c>
      <c r="I500" s="150" t="str">
        <f aca="false">IF(A500="","",I499+H500)</f>
        <v/>
      </c>
      <c r="J500" s="101" t="str">
        <f aca="false">IFERROR(MATCH(LIBRI_I_MADH!$B$4&amp;"|"&amp;ROWS($A$6:A500),LEDGER_ENGINE!$U$2:$U$546,0),"")</f>
        <v/>
      </c>
    </row>
  </sheetData>
  <sheetProtection sheet="true" password="91db" formatCells="false" formatColumns="false" formatRows="false" sort="false" autoFilter="false"/>
  <mergeCells count="1">
    <mergeCell ref="A1:I1"/>
  </mergeCells>
  <hyperlinks>
    <hyperlink ref="K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sheetData>
    <row r="1" customFormat="false" ht="15" hidden="false" customHeight="true" outlineLevel="0" collapsed="false">
      <c r="A1" s="1" t="s">
        <v>183</v>
      </c>
      <c r="B1" s="1" t="s">
        <v>184</v>
      </c>
      <c r="C1" s="1" t="s">
        <v>193</v>
      </c>
    </row>
    <row r="2" customFormat="false" ht="15" hidden="false" customHeight="true" outlineLevel="0" collapsed="false">
      <c r="A2" s="1" t="s">
        <v>204</v>
      </c>
      <c r="B2" s="1" t="s">
        <v>205</v>
      </c>
      <c r="C2" s="1" t="s">
        <v>1347</v>
      </c>
    </row>
    <row r="3" customFormat="false" ht="15" hidden="false" customHeight="true" outlineLevel="0" collapsed="false">
      <c r="A3" s="1" t="s">
        <v>209</v>
      </c>
      <c r="B3" s="1" t="s">
        <v>210</v>
      </c>
      <c r="C3" s="1" t="s">
        <v>1481</v>
      </c>
    </row>
    <row r="4" customFormat="false" ht="15" hidden="false" customHeight="true" outlineLevel="0" collapsed="false">
      <c r="A4" s="1" t="s">
        <v>215</v>
      </c>
      <c r="B4" s="1" t="s">
        <v>216</v>
      </c>
      <c r="C4" s="1" t="s">
        <v>1482</v>
      </c>
    </row>
    <row r="5" customFormat="false" ht="15" hidden="false" customHeight="true" outlineLevel="0" collapsed="false">
      <c r="A5" s="1" t="s">
        <v>218</v>
      </c>
      <c r="B5" s="1" t="s">
        <v>219</v>
      </c>
      <c r="C5" s="1" t="s">
        <v>1483</v>
      </c>
    </row>
    <row r="6" customFormat="false" ht="15" hidden="false" customHeight="true" outlineLevel="0" collapsed="false">
      <c r="A6" s="1" t="s">
        <v>221</v>
      </c>
      <c r="B6" s="1" t="s">
        <v>222</v>
      </c>
      <c r="C6" s="1" t="s">
        <v>1352</v>
      </c>
    </row>
    <row r="7" customFormat="false" ht="15" hidden="false" customHeight="true" outlineLevel="0" collapsed="false">
      <c r="A7" s="1" t="s">
        <v>224</v>
      </c>
      <c r="B7" s="1" t="s">
        <v>225</v>
      </c>
      <c r="C7" s="1" t="s">
        <v>1484</v>
      </c>
    </row>
    <row r="8" customFormat="false" ht="15" hidden="false" customHeight="true" outlineLevel="0" collapsed="false">
      <c r="A8" s="1" t="s">
        <v>226</v>
      </c>
      <c r="B8" s="1" t="s">
        <v>227</v>
      </c>
      <c r="C8" s="1" t="s">
        <v>1355</v>
      </c>
    </row>
    <row r="9" customFormat="false" ht="15" hidden="false" customHeight="true" outlineLevel="0" collapsed="false">
      <c r="A9" s="1" t="s">
        <v>231</v>
      </c>
      <c r="B9" s="1" t="s">
        <v>232</v>
      </c>
      <c r="C9" s="1" t="s">
        <v>1485</v>
      </c>
    </row>
    <row r="10" customFormat="false" ht="15" hidden="false" customHeight="true" outlineLevel="0" collapsed="false">
      <c r="A10" s="1" t="s">
        <v>238</v>
      </c>
      <c r="B10" s="1" t="s">
        <v>239</v>
      </c>
      <c r="C10" s="1" t="s">
        <v>1486</v>
      </c>
    </row>
    <row r="11" customFormat="false" ht="15" hidden="false" customHeight="true" outlineLevel="0" collapsed="false">
      <c r="A11" s="1" t="s">
        <v>241</v>
      </c>
      <c r="B11" s="1" t="s">
        <v>242</v>
      </c>
      <c r="C11" s="1" t="s">
        <v>1487</v>
      </c>
    </row>
    <row r="12" customFormat="false" ht="15" hidden="false" customHeight="true" outlineLevel="0" collapsed="false">
      <c r="A12" s="1" t="s">
        <v>243</v>
      </c>
      <c r="B12" s="1" t="s">
        <v>244</v>
      </c>
      <c r="C12" s="1" t="s">
        <v>1488</v>
      </c>
    </row>
    <row r="13" customFormat="false" ht="15" hidden="false" customHeight="true" outlineLevel="0" collapsed="false">
      <c r="A13" s="1" t="s">
        <v>245</v>
      </c>
      <c r="B13" s="1" t="s">
        <v>246</v>
      </c>
      <c r="C13" s="1" t="s">
        <v>1489</v>
      </c>
    </row>
    <row r="14" customFormat="false" ht="15" hidden="false" customHeight="true" outlineLevel="0" collapsed="false">
      <c r="A14" s="1" t="s">
        <v>249</v>
      </c>
      <c r="B14" s="1" t="s">
        <v>250</v>
      </c>
      <c r="C14" s="1" t="s">
        <v>1360</v>
      </c>
    </row>
    <row r="15" customFormat="false" ht="15" hidden="false" customHeight="true" outlineLevel="0" collapsed="false">
      <c r="A15" s="1" t="s">
        <v>251</v>
      </c>
      <c r="B15" s="1" t="s">
        <v>252</v>
      </c>
      <c r="C15" s="1" t="s">
        <v>1363</v>
      </c>
    </row>
    <row r="16" customFormat="false" ht="15" hidden="false" customHeight="true" outlineLevel="0" collapsed="false">
      <c r="A16" s="1" t="s">
        <v>253</v>
      </c>
      <c r="B16" s="1" t="s">
        <v>254</v>
      </c>
      <c r="C16" s="1" t="s">
        <v>1369</v>
      </c>
    </row>
    <row r="17" customFormat="false" ht="15" hidden="false" customHeight="true" outlineLevel="0" collapsed="false">
      <c r="A17" s="1" t="s">
        <v>255</v>
      </c>
      <c r="B17" s="1" t="s">
        <v>256</v>
      </c>
      <c r="C17" s="1" t="s">
        <v>1370</v>
      </c>
    </row>
    <row r="18" customFormat="false" ht="15" hidden="false" customHeight="true" outlineLevel="0" collapsed="false">
      <c r="A18" s="1" t="s">
        <v>257</v>
      </c>
      <c r="B18" s="1" t="s">
        <v>258</v>
      </c>
      <c r="C18" s="1" t="s">
        <v>1373</v>
      </c>
    </row>
    <row r="19" customFormat="false" ht="15" hidden="false" customHeight="true" outlineLevel="0" collapsed="false">
      <c r="A19" s="1" t="s">
        <v>261</v>
      </c>
      <c r="B19" s="1" t="s">
        <v>262</v>
      </c>
      <c r="C19" s="1" t="s">
        <v>1490</v>
      </c>
    </row>
    <row r="20" customFormat="false" ht="15" hidden="false" customHeight="true" outlineLevel="0" collapsed="false">
      <c r="A20" s="1" t="s">
        <v>263</v>
      </c>
      <c r="B20" s="1" t="s">
        <v>264</v>
      </c>
      <c r="C20" s="1" t="s">
        <v>1491</v>
      </c>
    </row>
    <row r="21" customFormat="false" ht="15" hidden="false" customHeight="true" outlineLevel="0" collapsed="false">
      <c r="A21" s="1" t="s">
        <v>265</v>
      </c>
      <c r="B21" s="1" t="s">
        <v>266</v>
      </c>
      <c r="C21" s="1" t="s">
        <v>1492</v>
      </c>
    </row>
    <row r="22" customFormat="false" ht="15" hidden="false" customHeight="true" outlineLevel="0" collapsed="false">
      <c r="A22" s="1" t="s">
        <v>268</v>
      </c>
      <c r="B22" s="1" t="s">
        <v>269</v>
      </c>
      <c r="C22" s="1" t="s">
        <v>1377</v>
      </c>
    </row>
    <row r="23" customFormat="false" ht="15" hidden="false" customHeight="true" outlineLevel="0" collapsed="false">
      <c r="A23" s="1" t="s">
        <v>271</v>
      </c>
      <c r="B23" s="1" t="s">
        <v>272</v>
      </c>
      <c r="C23" s="1" t="s">
        <v>1493</v>
      </c>
    </row>
    <row r="24" customFormat="false" ht="15" hidden="false" customHeight="true" outlineLevel="0" collapsed="false">
      <c r="A24" s="1" t="s">
        <v>273</v>
      </c>
      <c r="B24" s="1" t="s">
        <v>274</v>
      </c>
      <c r="C24" s="1" t="s">
        <v>1494</v>
      </c>
    </row>
    <row r="25" customFormat="false" ht="15" hidden="false" customHeight="true" outlineLevel="0" collapsed="false">
      <c r="A25" s="1" t="s">
        <v>275</v>
      </c>
      <c r="B25" s="1" t="s">
        <v>276</v>
      </c>
      <c r="C25" s="1" t="s">
        <v>1495</v>
      </c>
    </row>
    <row r="26" customFormat="false" ht="15" hidden="false" customHeight="true" outlineLevel="0" collapsed="false">
      <c r="A26" s="1" t="s">
        <v>277</v>
      </c>
      <c r="B26" s="1" t="s">
        <v>278</v>
      </c>
      <c r="C26" s="1" t="s">
        <v>1496</v>
      </c>
    </row>
    <row r="27" customFormat="false" ht="15" hidden="false" customHeight="true" outlineLevel="0" collapsed="false">
      <c r="A27" s="1" t="s">
        <v>284</v>
      </c>
      <c r="B27" s="1" t="s">
        <v>285</v>
      </c>
      <c r="C27" s="1" t="s">
        <v>1380</v>
      </c>
    </row>
    <row r="28" customFormat="false" ht="15" hidden="false" customHeight="true" outlineLevel="0" collapsed="false">
      <c r="A28" s="1" t="s">
        <v>286</v>
      </c>
      <c r="B28" s="1" t="s">
        <v>287</v>
      </c>
      <c r="C28" s="1" t="s">
        <v>1497</v>
      </c>
    </row>
    <row r="29" customFormat="false" ht="12.75" hidden="false" customHeight="true" outlineLevel="0" collapsed="false">
      <c r="A29" s="1" t="s">
        <v>290</v>
      </c>
      <c r="B29" s="1" t="s">
        <v>291</v>
      </c>
      <c r="C29" s="1" t="s">
        <v>1498</v>
      </c>
    </row>
    <row r="30" customFormat="false" ht="12.75" hidden="false" customHeight="true" outlineLevel="0" collapsed="false">
      <c r="A30" s="1" t="s">
        <v>292</v>
      </c>
      <c r="B30" s="1" t="s">
        <v>293</v>
      </c>
      <c r="C30" s="1" t="s">
        <v>1499</v>
      </c>
    </row>
    <row r="31" customFormat="false" ht="12.75" hidden="false" customHeight="true" outlineLevel="0" collapsed="false">
      <c r="A31" s="1" t="s">
        <v>296</v>
      </c>
      <c r="B31" s="1" t="s">
        <v>295</v>
      </c>
      <c r="C31" s="1" t="s">
        <v>1391</v>
      </c>
    </row>
    <row r="32" customFormat="false" ht="12.75" hidden="false" customHeight="true" outlineLevel="0" collapsed="false">
      <c r="A32" s="1" t="s">
        <v>297</v>
      </c>
      <c r="B32" s="1" t="s">
        <v>298</v>
      </c>
      <c r="C32" s="1" t="s">
        <v>1500</v>
      </c>
    </row>
    <row r="33" customFormat="false" ht="12.75" hidden="false" customHeight="true" outlineLevel="0" collapsed="false">
      <c r="A33" s="1" t="s">
        <v>301</v>
      </c>
      <c r="B33" s="1" t="s">
        <v>302</v>
      </c>
      <c r="C33" s="1" t="s">
        <v>1394</v>
      </c>
    </row>
    <row r="34" customFormat="false" ht="12.75" hidden="false" customHeight="true" outlineLevel="0" collapsed="false">
      <c r="A34" s="1" t="s">
        <v>303</v>
      </c>
      <c r="B34" s="1" t="s">
        <v>304</v>
      </c>
      <c r="C34" s="1" t="s">
        <v>1501</v>
      </c>
    </row>
    <row r="35" customFormat="false" ht="12.75" hidden="false" customHeight="true" outlineLevel="0" collapsed="false">
      <c r="A35" s="1" t="s">
        <v>307</v>
      </c>
      <c r="B35" s="1" t="s">
        <v>306</v>
      </c>
      <c r="C35" s="1" t="s">
        <v>1502</v>
      </c>
    </row>
    <row r="36" customFormat="false" ht="12.75" hidden="false" customHeight="true" outlineLevel="0" collapsed="false">
      <c r="A36" s="1" t="s">
        <v>310</v>
      </c>
      <c r="B36" s="1" t="s">
        <v>311</v>
      </c>
      <c r="C36" s="1" t="s">
        <v>1503</v>
      </c>
    </row>
    <row r="37" customFormat="false" ht="12.75" hidden="false" customHeight="true" outlineLevel="0" collapsed="false">
      <c r="A37" s="1" t="s">
        <v>312</v>
      </c>
      <c r="B37" s="1" t="s">
        <v>313</v>
      </c>
      <c r="C37" s="1" t="s">
        <v>1504</v>
      </c>
    </row>
    <row r="38" customFormat="false" ht="12.75" hidden="false" customHeight="true" outlineLevel="0" collapsed="false">
      <c r="A38" s="1" t="s">
        <v>314</v>
      </c>
      <c r="B38" s="1" t="s">
        <v>315</v>
      </c>
      <c r="C38" s="1" t="s">
        <v>1505</v>
      </c>
    </row>
    <row r="39" customFormat="false" ht="12.75" hidden="false" customHeight="true" outlineLevel="0" collapsed="false">
      <c r="A39" s="1" t="s">
        <v>316</v>
      </c>
      <c r="B39" s="1" t="s">
        <v>317</v>
      </c>
      <c r="C39" s="1" t="s">
        <v>1506</v>
      </c>
    </row>
    <row r="40" customFormat="false" ht="12.75" hidden="false" customHeight="true" outlineLevel="0" collapsed="false">
      <c r="A40" s="1" t="s">
        <v>320</v>
      </c>
      <c r="B40" s="1" t="s">
        <v>321</v>
      </c>
      <c r="C40" s="1" t="s">
        <v>1507</v>
      </c>
    </row>
    <row r="41" customFormat="false" ht="12.75" hidden="false" customHeight="true" outlineLevel="0" collapsed="false">
      <c r="A41" s="1" t="s">
        <v>323</v>
      </c>
      <c r="B41" s="1" t="s">
        <v>324</v>
      </c>
      <c r="C41" s="1" t="s">
        <v>1508</v>
      </c>
    </row>
    <row r="42" customFormat="false" ht="12.75" hidden="false" customHeight="true" outlineLevel="0" collapsed="false">
      <c r="A42" s="1" t="s">
        <v>325</v>
      </c>
      <c r="B42" s="1" t="s">
        <v>326</v>
      </c>
      <c r="C42" s="1" t="s">
        <v>1509</v>
      </c>
    </row>
    <row r="43" customFormat="false" ht="12.75" hidden="false" customHeight="true" outlineLevel="0" collapsed="false">
      <c r="A43" s="1" t="s">
        <v>331</v>
      </c>
      <c r="B43" s="1" t="s">
        <v>332</v>
      </c>
      <c r="C43" s="1" t="s">
        <v>1397</v>
      </c>
    </row>
    <row r="44" customFormat="false" ht="12.75" hidden="false" customHeight="true" outlineLevel="0" collapsed="false">
      <c r="A44" s="1" t="s">
        <v>335</v>
      </c>
      <c r="B44" s="1" t="s">
        <v>336</v>
      </c>
      <c r="C44" s="1" t="s">
        <v>1510</v>
      </c>
    </row>
    <row r="45" customFormat="false" ht="12.75" hidden="false" customHeight="true" outlineLevel="0" collapsed="false">
      <c r="A45" s="1" t="s">
        <v>337</v>
      </c>
      <c r="B45" s="1" t="s">
        <v>338</v>
      </c>
      <c r="C45" s="1" t="s">
        <v>1511</v>
      </c>
    </row>
    <row r="46" customFormat="false" ht="12.75" hidden="false" customHeight="true" outlineLevel="0" collapsed="false">
      <c r="A46" s="1" t="s">
        <v>339</v>
      </c>
      <c r="B46" s="1" t="s">
        <v>340</v>
      </c>
      <c r="C46" s="1" t="s">
        <v>1512</v>
      </c>
    </row>
    <row r="47" customFormat="false" ht="12.75" hidden="false" customHeight="true" outlineLevel="0" collapsed="false">
      <c r="A47" s="1" t="s">
        <v>341</v>
      </c>
      <c r="B47" s="1" t="s">
        <v>342</v>
      </c>
      <c r="C47" s="1" t="s">
        <v>1513</v>
      </c>
    </row>
    <row r="48" customFormat="false" ht="12.75" hidden="false" customHeight="true" outlineLevel="0" collapsed="false">
      <c r="A48" s="1" t="s">
        <v>345</v>
      </c>
      <c r="B48" s="1" t="s">
        <v>346</v>
      </c>
      <c r="C48" s="1" t="s">
        <v>1404</v>
      </c>
    </row>
    <row r="49" customFormat="false" ht="12.75" hidden="false" customHeight="true" outlineLevel="0" collapsed="false">
      <c r="A49" s="1" t="s">
        <v>348</v>
      </c>
      <c r="B49" s="1" t="s">
        <v>349</v>
      </c>
      <c r="C49" s="1" t="s">
        <v>1514</v>
      </c>
    </row>
    <row r="50" customFormat="false" ht="12.75" hidden="false" customHeight="true" outlineLevel="0" collapsed="false">
      <c r="A50" s="1" t="s">
        <v>350</v>
      </c>
      <c r="B50" s="1" t="s">
        <v>351</v>
      </c>
      <c r="C50" s="1" t="s">
        <v>1515</v>
      </c>
    </row>
    <row r="51" customFormat="false" ht="12.75" hidden="false" customHeight="true" outlineLevel="0" collapsed="false">
      <c r="A51" s="1" t="s">
        <v>352</v>
      </c>
      <c r="B51" s="1" t="s">
        <v>353</v>
      </c>
      <c r="C51" s="1" t="s">
        <v>1516</v>
      </c>
    </row>
    <row r="52" customFormat="false" ht="12.75" hidden="false" customHeight="true" outlineLevel="0" collapsed="false">
      <c r="A52" s="1" t="s">
        <v>356</v>
      </c>
      <c r="B52" s="1" t="s">
        <v>357</v>
      </c>
      <c r="C52" s="1" t="s">
        <v>1412</v>
      </c>
    </row>
    <row r="53" customFormat="false" ht="12.75" hidden="false" customHeight="true" outlineLevel="0" collapsed="false">
      <c r="A53" s="1" t="s">
        <v>359</v>
      </c>
      <c r="B53" s="1" t="s">
        <v>360</v>
      </c>
      <c r="C53" s="1" t="s">
        <v>1517</v>
      </c>
    </row>
    <row r="54" customFormat="false" ht="12.75" hidden="false" customHeight="true" outlineLevel="0" collapsed="false">
      <c r="A54" s="1" t="s">
        <v>363</v>
      </c>
      <c r="B54" s="1" t="s">
        <v>364</v>
      </c>
      <c r="C54" s="1" t="s">
        <v>1419</v>
      </c>
    </row>
    <row r="55" customFormat="false" ht="12.75" hidden="false" customHeight="true" outlineLevel="0" collapsed="false">
      <c r="A55" s="1" t="s">
        <v>367</v>
      </c>
      <c r="B55" s="1" t="s">
        <v>368</v>
      </c>
      <c r="C55" s="1" t="s">
        <v>1518</v>
      </c>
    </row>
    <row r="56" customFormat="false" ht="12.75" hidden="false" customHeight="true" outlineLevel="0" collapsed="false">
      <c r="A56" s="1" t="s">
        <v>369</v>
      </c>
      <c r="B56" s="1" t="s">
        <v>370</v>
      </c>
      <c r="C56" s="1" t="s">
        <v>1420</v>
      </c>
    </row>
    <row r="57" customFormat="false" ht="12.75" hidden="false" customHeight="true" outlineLevel="0" collapsed="false">
      <c r="A57" s="1" t="s">
        <v>373</v>
      </c>
      <c r="B57" s="1" t="s">
        <v>374</v>
      </c>
      <c r="C57" s="1" t="s">
        <v>1519</v>
      </c>
    </row>
    <row r="58" customFormat="false" ht="12.75" hidden="false" customHeight="true" outlineLevel="0" collapsed="false">
      <c r="A58" s="1" t="s">
        <v>376</v>
      </c>
      <c r="B58" s="1" t="s">
        <v>377</v>
      </c>
      <c r="C58" s="1" t="s">
        <v>1520</v>
      </c>
    </row>
    <row r="59" customFormat="false" ht="12.75" hidden="false" customHeight="true" outlineLevel="0" collapsed="false">
      <c r="A59" s="1" t="s">
        <v>378</v>
      </c>
      <c r="B59" s="1" t="s">
        <v>379</v>
      </c>
      <c r="C59" s="1" t="s">
        <v>1521</v>
      </c>
    </row>
    <row r="60" customFormat="false" ht="12.75" hidden="false" customHeight="true" outlineLevel="0" collapsed="false">
      <c r="A60" s="1" t="s">
        <v>380</v>
      </c>
      <c r="B60" s="1" t="s">
        <v>381</v>
      </c>
      <c r="C60" s="1" t="s">
        <v>1522</v>
      </c>
    </row>
    <row r="61" customFormat="false" ht="12.75" hidden="false" customHeight="true" outlineLevel="0" collapsed="false">
      <c r="A61" s="1" t="s">
        <v>384</v>
      </c>
      <c r="B61" s="1" t="s">
        <v>385</v>
      </c>
      <c r="C61" s="1" t="s">
        <v>1463</v>
      </c>
    </row>
    <row r="62" customFormat="false" ht="12.75" hidden="false" customHeight="true" outlineLevel="0" collapsed="false">
      <c r="A62" s="1" t="s">
        <v>387</v>
      </c>
      <c r="B62" s="1" t="s">
        <v>388</v>
      </c>
      <c r="C62" s="1" t="s">
        <v>1464</v>
      </c>
    </row>
    <row r="63" customFormat="false" ht="12.75" hidden="false" customHeight="true" outlineLevel="0" collapsed="false">
      <c r="A63" s="1" t="s">
        <v>389</v>
      </c>
      <c r="B63" s="1" t="s">
        <v>390</v>
      </c>
      <c r="C63" s="1" t="s">
        <v>1523</v>
      </c>
    </row>
    <row r="64" customFormat="false" ht="12.75" hidden="false" customHeight="true" outlineLevel="0" collapsed="false">
      <c r="A64" s="1" t="s">
        <v>391</v>
      </c>
      <c r="B64" s="1" t="s">
        <v>392</v>
      </c>
      <c r="C64" s="1" t="s">
        <v>1524</v>
      </c>
    </row>
    <row r="65" customFormat="false" ht="12.75" hidden="false" customHeight="true" outlineLevel="0" collapsed="false">
      <c r="A65" s="1" t="s">
        <v>393</v>
      </c>
      <c r="B65" s="1" t="s">
        <v>394</v>
      </c>
      <c r="C65" s="1" t="s">
        <v>1525</v>
      </c>
    </row>
    <row r="66" customFormat="false" ht="12.75" hidden="false" customHeight="true" outlineLevel="0" collapsed="false">
      <c r="A66" s="1" t="s">
        <v>395</v>
      </c>
      <c r="B66" s="1" t="s">
        <v>396</v>
      </c>
      <c r="C66" s="1" t="s">
        <v>1526</v>
      </c>
    </row>
    <row r="67" customFormat="false" ht="12.75" hidden="false" customHeight="true" outlineLevel="0" collapsed="false">
      <c r="A67" s="1" t="s">
        <v>397</v>
      </c>
      <c r="B67" s="1" t="s">
        <v>398</v>
      </c>
      <c r="C67" s="1" t="s">
        <v>1527</v>
      </c>
    </row>
    <row r="68" customFormat="false" ht="12.75" hidden="false" customHeight="true" outlineLevel="0" collapsed="false">
      <c r="A68" s="1" t="s">
        <v>399</v>
      </c>
      <c r="B68" s="1" t="s">
        <v>400</v>
      </c>
      <c r="C68" s="1" t="s">
        <v>1528</v>
      </c>
    </row>
    <row r="69" customFormat="false" ht="12.75" hidden="false" customHeight="true" outlineLevel="0" collapsed="false">
      <c r="A69" s="1" t="s">
        <v>401</v>
      </c>
      <c r="B69" s="1" t="s">
        <v>402</v>
      </c>
      <c r="C69" s="1" t="s">
        <v>1421</v>
      </c>
    </row>
    <row r="70" customFormat="false" ht="12.75" hidden="false" customHeight="true" outlineLevel="0" collapsed="false">
      <c r="A70" s="1" t="s">
        <v>405</v>
      </c>
      <c r="B70" s="1" t="s">
        <v>406</v>
      </c>
      <c r="C70" s="1" t="s">
        <v>1529</v>
      </c>
    </row>
    <row r="71" customFormat="false" ht="12.75" hidden="false" customHeight="true" outlineLevel="0" collapsed="false">
      <c r="A71" s="1" t="s">
        <v>410</v>
      </c>
      <c r="B71" s="1" t="s">
        <v>404</v>
      </c>
      <c r="C71" s="1" t="s">
        <v>1530</v>
      </c>
    </row>
    <row r="72" customFormat="false" ht="12.75" hidden="false" customHeight="true" outlineLevel="0" collapsed="false">
      <c r="A72" s="1" t="s">
        <v>412</v>
      </c>
      <c r="B72" s="1" t="s">
        <v>413</v>
      </c>
      <c r="C72" s="1" t="s">
        <v>1531</v>
      </c>
    </row>
    <row r="73" customFormat="false" ht="12.75" hidden="false" customHeight="true" outlineLevel="0" collapsed="false">
      <c r="A73" s="1" t="s">
        <v>414</v>
      </c>
      <c r="B73" s="1" t="s">
        <v>415</v>
      </c>
      <c r="C73" s="1" t="s">
        <v>1532</v>
      </c>
    </row>
    <row r="74" customFormat="false" ht="12.75" hidden="false" customHeight="true" outlineLevel="0" collapsed="false">
      <c r="A74" s="1" t="s">
        <v>418</v>
      </c>
      <c r="B74" s="1" t="s">
        <v>419</v>
      </c>
      <c r="C74" s="1" t="s">
        <v>1533</v>
      </c>
    </row>
    <row r="75" customFormat="false" ht="12.75" hidden="false" customHeight="true" outlineLevel="0" collapsed="false">
      <c r="A75" s="1" t="s">
        <v>422</v>
      </c>
      <c r="B75" s="1" t="s">
        <v>423</v>
      </c>
      <c r="C75" s="1" t="s">
        <v>1534</v>
      </c>
    </row>
    <row r="76" customFormat="false" ht="12.75" hidden="false" customHeight="true" outlineLevel="0" collapsed="false">
      <c r="A76" s="1" t="s">
        <v>426</v>
      </c>
      <c r="B76" s="1" t="s">
        <v>427</v>
      </c>
      <c r="C76" s="1" t="s">
        <v>1535</v>
      </c>
    </row>
    <row r="77" customFormat="false" ht="12.75" hidden="false" customHeight="true" outlineLevel="0" collapsed="false">
      <c r="A77" s="1" t="s">
        <v>429</v>
      </c>
      <c r="B77" s="1" t="s">
        <v>430</v>
      </c>
      <c r="C77" s="1" t="s">
        <v>1536</v>
      </c>
    </row>
    <row r="78" customFormat="false" ht="12.75" hidden="false" customHeight="true" outlineLevel="0" collapsed="false">
      <c r="A78" s="1" t="s">
        <v>433</v>
      </c>
      <c r="B78" s="1" t="s">
        <v>434</v>
      </c>
      <c r="C78" s="1" t="s">
        <v>1537</v>
      </c>
    </row>
    <row r="79" customFormat="false" ht="12.75" hidden="false" customHeight="true" outlineLevel="0" collapsed="false">
      <c r="A79" s="1" t="s">
        <v>436</v>
      </c>
      <c r="B79" s="1" t="s">
        <v>437</v>
      </c>
      <c r="C79" s="1" t="s">
        <v>1538</v>
      </c>
    </row>
    <row r="80" customFormat="false" ht="12.75" hidden="false" customHeight="true" outlineLevel="0" collapsed="false">
      <c r="A80" s="1" t="s">
        <v>438</v>
      </c>
      <c r="B80" s="1" t="s">
        <v>439</v>
      </c>
      <c r="C80" s="1" t="s">
        <v>1539</v>
      </c>
    </row>
    <row r="81" customFormat="false" ht="12.75" hidden="false" customHeight="true" outlineLevel="0" collapsed="false">
      <c r="A81" s="1" t="s">
        <v>440</v>
      </c>
      <c r="B81" s="1" t="s">
        <v>441</v>
      </c>
      <c r="C81" s="1" t="s">
        <v>1540</v>
      </c>
    </row>
    <row r="82" customFormat="false" ht="12.75" hidden="false" customHeight="true" outlineLevel="0" collapsed="false">
      <c r="A82" s="1" t="s">
        <v>444</v>
      </c>
      <c r="B82" s="1" t="s">
        <v>445</v>
      </c>
      <c r="C82" s="1" t="s">
        <v>1541</v>
      </c>
    </row>
    <row r="83" customFormat="false" ht="12.75" hidden="false" customHeight="true" outlineLevel="0" collapsed="false">
      <c r="A83" s="1" t="s">
        <v>448</v>
      </c>
      <c r="B83" s="1" t="s">
        <v>449</v>
      </c>
      <c r="C83" s="1" t="s">
        <v>1542</v>
      </c>
    </row>
    <row r="84" customFormat="false" ht="12.75" hidden="false" customHeight="true" outlineLevel="0" collapsed="false">
      <c r="A84" s="1" t="s">
        <v>450</v>
      </c>
      <c r="B84" s="1" t="s">
        <v>451</v>
      </c>
      <c r="C84" s="1" t="s">
        <v>1543</v>
      </c>
    </row>
    <row r="85" customFormat="false" ht="12.75" hidden="false" customHeight="true" outlineLevel="0" collapsed="false">
      <c r="A85" s="1" t="s">
        <v>457</v>
      </c>
      <c r="B85" s="1" t="s">
        <v>458</v>
      </c>
      <c r="C85" s="1" t="s">
        <v>1544</v>
      </c>
    </row>
    <row r="86" customFormat="false" ht="12.75" hidden="false" customHeight="true" outlineLevel="0" collapsed="false">
      <c r="A86" s="1" t="s">
        <v>460</v>
      </c>
      <c r="B86" s="1" t="s">
        <v>461</v>
      </c>
      <c r="C86" s="1" t="s">
        <v>1424</v>
      </c>
    </row>
    <row r="87" customFormat="false" ht="12.75" hidden="false" customHeight="true" outlineLevel="0" collapsed="false">
      <c r="A87" s="1" t="s">
        <v>462</v>
      </c>
      <c r="B87" s="1" t="s">
        <v>463</v>
      </c>
      <c r="C87" s="1" t="s">
        <v>1545</v>
      </c>
    </row>
    <row r="88" customFormat="false" ht="12.75" hidden="false" customHeight="true" outlineLevel="0" collapsed="false">
      <c r="A88" s="1" t="s">
        <v>464</v>
      </c>
      <c r="B88" s="1" t="s">
        <v>465</v>
      </c>
      <c r="C88" s="1" t="s">
        <v>1546</v>
      </c>
    </row>
    <row r="89" customFormat="false" ht="12.75" hidden="false" customHeight="true" outlineLevel="0" collapsed="false">
      <c r="A89" s="1" t="s">
        <v>466</v>
      </c>
      <c r="B89" s="1" t="s">
        <v>467</v>
      </c>
      <c r="C89" s="1" t="s">
        <v>1547</v>
      </c>
    </row>
    <row r="90" customFormat="false" ht="12.75" hidden="false" customHeight="true" outlineLevel="0" collapsed="false">
      <c r="A90" s="1" t="s">
        <v>470</v>
      </c>
      <c r="B90" s="1" t="s">
        <v>469</v>
      </c>
      <c r="C90" s="1" t="s">
        <v>1443</v>
      </c>
    </row>
    <row r="91" customFormat="false" ht="12.75" hidden="false" customHeight="true" outlineLevel="0" collapsed="false">
      <c r="A91" s="1" t="s">
        <v>471</v>
      </c>
      <c r="B91" s="1" t="s">
        <v>472</v>
      </c>
      <c r="C91" s="1" t="s">
        <v>1548</v>
      </c>
    </row>
    <row r="92" customFormat="false" ht="12.75" hidden="false" customHeight="true" outlineLevel="0" collapsed="false">
      <c r="A92" s="1" t="s">
        <v>473</v>
      </c>
      <c r="B92" s="1" t="s">
        <v>474</v>
      </c>
      <c r="C92" s="1" t="s">
        <v>1549</v>
      </c>
    </row>
    <row r="93" customFormat="false" ht="12.75" hidden="false" customHeight="true" outlineLevel="0" collapsed="false">
      <c r="A93" s="1" t="s">
        <v>477</v>
      </c>
      <c r="B93" s="1" t="s">
        <v>476</v>
      </c>
      <c r="C93" s="1" t="s">
        <v>1550</v>
      </c>
    </row>
    <row r="94" customFormat="false" ht="12.75" hidden="false" customHeight="true" outlineLevel="0" collapsed="false">
      <c r="A94" s="1" t="s">
        <v>484</v>
      </c>
      <c r="B94" s="1" t="s">
        <v>485</v>
      </c>
      <c r="C94" s="1" t="s">
        <v>1551</v>
      </c>
    </row>
    <row r="95" customFormat="false" ht="12.75" hidden="false" customHeight="true" outlineLevel="0" collapsed="false">
      <c r="A95" s="1" t="s">
        <v>488</v>
      </c>
      <c r="B95" s="1" t="s">
        <v>489</v>
      </c>
      <c r="C95" s="1" t="s">
        <v>1552</v>
      </c>
    </row>
    <row r="96" customFormat="false" ht="12.75" hidden="false" customHeight="true" outlineLevel="0" collapsed="false">
      <c r="A96" s="1" t="s">
        <v>490</v>
      </c>
      <c r="B96" s="1" t="s">
        <v>491</v>
      </c>
      <c r="C96" s="1" t="s">
        <v>1446</v>
      </c>
    </row>
    <row r="97" customFormat="false" ht="12.75" hidden="false" customHeight="true" outlineLevel="0" collapsed="false">
      <c r="A97" s="1" t="s">
        <v>493</v>
      </c>
      <c r="B97" s="1" t="s">
        <v>494</v>
      </c>
      <c r="C97" s="1" t="s">
        <v>1553</v>
      </c>
    </row>
    <row r="98" customFormat="false" ht="12.75" hidden="false" customHeight="true" outlineLevel="0" collapsed="false">
      <c r="A98" s="1" t="s">
        <v>495</v>
      </c>
      <c r="B98" s="1" t="s">
        <v>496</v>
      </c>
      <c r="C98" s="1" t="s">
        <v>1554</v>
      </c>
    </row>
    <row r="99" customFormat="false" ht="12.75" hidden="false" customHeight="true" outlineLevel="0" collapsed="false">
      <c r="A99" s="1" t="s">
        <v>497</v>
      </c>
      <c r="B99" s="1" t="s">
        <v>498</v>
      </c>
      <c r="C99" s="1" t="s">
        <v>1555</v>
      </c>
    </row>
    <row r="100" customFormat="false" ht="12.75" hidden="false" customHeight="true" outlineLevel="0" collapsed="false">
      <c r="A100" s="1" t="s">
        <v>499</v>
      </c>
      <c r="B100" s="1" t="s">
        <v>500</v>
      </c>
      <c r="C100" s="1" t="s">
        <v>1556</v>
      </c>
    </row>
    <row r="101" customFormat="false" ht="12.75" hidden="false" customHeight="true" outlineLevel="0" collapsed="false">
      <c r="A101" s="1" t="s">
        <v>501</v>
      </c>
      <c r="B101" s="1" t="s">
        <v>502</v>
      </c>
      <c r="C101" s="1" t="s">
        <v>1557</v>
      </c>
    </row>
    <row r="102" customFormat="false" ht="12.75" hidden="false" customHeight="true" outlineLevel="0" collapsed="false">
      <c r="A102" s="1" t="s">
        <v>503</v>
      </c>
      <c r="B102" s="1" t="s">
        <v>504</v>
      </c>
      <c r="C102" s="1" t="s">
        <v>1558</v>
      </c>
    </row>
    <row r="103" customFormat="false" ht="12.75" hidden="false" customHeight="true" outlineLevel="0" collapsed="false">
      <c r="A103" s="1" t="s">
        <v>508</v>
      </c>
      <c r="B103" s="1" t="s">
        <v>509</v>
      </c>
      <c r="C103" s="1" t="s">
        <v>1559</v>
      </c>
    </row>
    <row r="104" customFormat="false" ht="12.75" hidden="false" customHeight="true" outlineLevel="0" collapsed="false">
      <c r="A104" s="1" t="s">
        <v>511</v>
      </c>
      <c r="B104" s="1" t="s">
        <v>512</v>
      </c>
      <c r="C104" s="1" t="s">
        <v>1447</v>
      </c>
    </row>
    <row r="105" customFormat="false" ht="12.75" hidden="false" customHeight="true" outlineLevel="0" collapsed="false">
      <c r="A105" s="1" t="s">
        <v>513</v>
      </c>
      <c r="B105" s="1" t="s">
        <v>514</v>
      </c>
      <c r="C105" s="1" t="s">
        <v>1560</v>
      </c>
    </row>
    <row r="106" customFormat="false" ht="12.75" hidden="false" customHeight="true" outlineLevel="0" collapsed="false">
      <c r="A106" s="1" t="s">
        <v>515</v>
      </c>
      <c r="B106" s="1" t="s">
        <v>365</v>
      </c>
      <c r="C106" s="1" t="s">
        <v>1561</v>
      </c>
    </row>
    <row r="107" customFormat="false" ht="12.75" hidden="false" customHeight="true" outlineLevel="0" collapsed="false">
      <c r="A107" s="1" t="s">
        <v>516</v>
      </c>
      <c r="B107" s="1" t="s">
        <v>517</v>
      </c>
      <c r="C107" s="1" t="s">
        <v>1562</v>
      </c>
    </row>
    <row r="108" customFormat="false" ht="12.75" hidden="false" customHeight="true" outlineLevel="0" collapsed="false">
      <c r="A108" s="1" t="s">
        <v>518</v>
      </c>
      <c r="B108" s="1" t="s">
        <v>519</v>
      </c>
      <c r="C108" s="1" t="s">
        <v>1563</v>
      </c>
    </row>
    <row r="109" customFormat="false" ht="12.75" hidden="false" customHeight="true" outlineLevel="0" collapsed="false">
      <c r="A109" s="1" t="s">
        <v>522</v>
      </c>
      <c r="B109" s="1" t="s">
        <v>523</v>
      </c>
      <c r="C109" s="1" t="s">
        <v>1564</v>
      </c>
    </row>
    <row r="110" customFormat="false" ht="12.75" hidden="false" customHeight="true" outlineLevel="0" collapsed="false">
      <c r="A110" s="1" t="s">
        <v>524</v>
      </c>
      <c r="B110" s="1" t="s">
        <v>525</v>
      </c>
      <c r="C110" s="1" t="s">
        <v>1565</v>
      </c>
    </row>
    <row r="111" customFormat="false" ht="12.75" hidden="false" customHeight="true" outlineLevel="0" collapsed="false">
      <c r="A111" s="1" t="s">
        <v>526</v>
      </c>
      <c r="B111" s="1" t="s">
        <v>527</v>
      </c>
      <c r="C111" s="1" t="s">
        <v>1566</v>
      </c>
    </row>
    <row r="112" customFormat="false" ht="12.75" hidden="false" customHeight="true" outlineLevel="0" collapsed="false">
      <c r="A112" s="1" t="s">
        <v>528</v>
      </c>
      <c r="B112" s="1" t="s">
        <v>529</v>
      </c>
      <c r="C112" s="1" t="s">
        <v>1448</v>
      </c>
    </row>
    <row r="113" customFormat="false" ht="12.75" hidden="false" customHeight="true" outlineLevel="0" collapsed="false">
      <c r="A113" s="1" t="s">
        <v>530</v>
      </c>
      <c r="B113" s="1" t="s">
        <v>531</v>
      </c>
      <c r="C113" s="1" t="s">
        <v>1449</v>
      </c>
    </row>
    <row r="114" customFormat="false" ht="12.75" hidden="false" customHeight="true" outlineLevel="0" collapsed="false">
      <c r="A114" s="1" t="s">
        <v>532</v>
      </c>
      <c r="B114" s="1" t="s">
        <v>533</v>
      </c>
      <c r="C114" s="1" t="s">
        <v>1567</v>
      </c>
    </row>
    <row r="115" customFormat="false" ht="12.75" hidden="false" customHeight="true" outlineLevel="0" collapsed="false">
      <c r="A115" s="1" t="s">
        <v>534</v>
      </c>
      <c r="B115" s="1" t="s">
        <v>535</v>
      </c>
      <c r="C115" s="1" t="s">
        <v>1450</v>
      </c>
    </row>
    <row r="116" customFormat="false" ht="12.75" hidden="false" customHeight="true" outlineLevel="0" collapsed="false">
      <c r="A116" s="1" t="s">
        <v>536</v>
      </c>
      <c r="B116" s="1" t="s">
        <v>537</v>
      </c>
      <c r="C116" s="1" t="s">
        <v>1568</v>
      </c>
    </row>
    <row r="117" customFormat="false" ht="12.75" hidden="false" customHeight="true" outlineLevel="0" collapsed="false">
      <c r="A117" s="1" t="s">
        <v>538</v>
      </c>
      <c r="B117" s="1" t="s">
        <v>539</v>
      </c>
      <c r="C117" s="1" t="s">
        <v>1569</v>
      </c>
    </row>
    <row r="118" customFormat="false" ht="12.75" hidden="false" customHeight="true" outlineLevel="0" collapsed="false">
      <c r="A118" s="1" t="s">
        <v>540</v>
      </c>
      <c r="B118" s="1" t="s">
        <v>541</v>
      </c>
      <c r="C118" s="1" t="s">
        <v>1570</v>
      </c>
    </row>
    <row r="119" customFormat="false" ht="12.75" hidden="false" customHeight="true" outlineLevel="0" collapsed="false">
      <c r="A119" s="1" t="s">
        <v>544</v>
      </c>
      <c r="B119" s="1" t="s">
        <v>545</v>
      </c>
      <c r="C119" s="1" t="s">
        <v>1571</v>
      </c>
    </row>
    <row r="120" customFormat="false" ht="12.75" hidden="false" customHeight="true" outlineLevel="0" collapsed="false">
      <c r="A120" s="1" t="s">
        <v>546</v>
      </c>
      <c r="B120" s="1" t="s">
        <v>547</v>
      </c>
      <c r="C120" s="1" t="s">
        <v>1572</v>
      </c>
    </row>
    <row r="121" customFormat="false" ht="12.75" hidden="false" customHeight="true" outlineLevel="0" collapsed="false">
      <c r="A121" s="1" t="s">
        <v>548</v>
      </c>
      <c r="B121" s="1" t="s">
        <v>374</v>
      </c>
      <c r="C121" s="1" t="s">
        <v>1573</v>
      </c>
    </row>
    <row r="122" customFormat="false" ht="12.75" hidden="false" customHeight="true" outlineLevel="0" collapsed="false">
      <c r="A122" s="1" t="s">
        <v>549</v>
      </c>
      <c r="B122" s="1" t="s">
        <v>550</v>
      </c>
      <c r="C122" s="1" t="s">
        <v>1574</v>
      </c>
    </row>
    <row r="123" customFormat="false" ht="12.75" hidden="false" customHeight="true" outlineLevel="0" collapsed="false">
      <c r="A123" s="1" t="s">
        <v>551</v>
      </c>
      <c r="B123" s="1" t="s">
        <v>552</v>
      </c>
      <c r="C123" s="1" t="s">
        <v>1575</v>
      </c>
    </row>
    <row r="124" customFormat="false" ht="12.75" hidden="false" customHeight="true" outlineLevel="0" collapsed="false">
      <c r="A124" s="1" t="s">
        <v>555</v>
      </c>
      <c r="B124" s="1" t="s">
        <v>556</v>
      </c>
      <c r="C124" s="1" t="s">
        <v>1451</v>
      </c>
    </row>
    <row r="125" customFormat="false" ht="12.75" hidden="false" customHeight="true" outlineLevel="0" collapsed="false">
      <c r="A125" s="1" t="s">
        <v>558</v>
      </c>
      <c r="B125" s="1" t="s">
        <v>559</v>
      </c>
      <c r="C125" s="1" t="s">
        <v>1452</v>
      </c>
    </row>
    <row r="126" customFormat="false" ht="12.75" hidden="false" customHeight="true" outlineLevel="0" collapsed="false">
      <c r="A126" s="1" t="s">
        <v>560</v>
      </c>
      <c r="B126" s="1" t="s">
        <v>561</v>
      </c>
      <c r="C126" s="1" t="s">
        <v>1576</v>
      </c>
    </row>
    <row r="127" customFormat="false" ht="12.75" hidden="false" customHeight="true" outlineLevel="0" collapsed="false">
      <c r="A127" s="1" t="s">
        <v>562</v>
      </c>
      <c r="B127" s="1" t="s">
        <v>563</v>
      </c>
      <c r="C127" s="1" t="s">
        <v>1577</v>
      </c>
    </row>
    <row r="128" customFormat="false" ht="12.75" hidden="false" customHeight="true" outlineLevel="0" collapsed="false">
      <c r="A128" s="1" t="s">
        <v>566</v>
      </c>
      <c r="B128" s="1" t="s">
        <v>567</v>
      </c>
      <c r="C128" s="1" t="s">
        <v>1578</v>
      </c>
    </row>
    <row r="129" customFormat="false" ht="12.75" hidden="false" customHeight="true" outlineLevel="0" collapsed="false">
      <c r="A129" s="1" t="s">
        <v>568</v>
      </c>
      <c r="B129" s="1" t="s">
        <v>569</v>
      </c>
      <c r="C129" s="1" t="s">
        <v>1453</v>
      </c>
    </row>
    <row r="130" customFormat="false" ht="12.75" hidden="false" customHeight="true" outlineLevel="0" collapsed="false">
      <c r="A130" s="1" t="s">
        <v>570</v>
      </c>
      <c r="B130" s="1" t="s">
        <v>571</v>
      </c>
      <c r="C130" s="1" t="s">
        <v>1579</v>
      </c>
    </row>
    <row r="131" customFormat="false" ht="12.75" hidden="false" customHeight="true" outlineLevel="0" collapsed="false">
      <c r="A131" s="1" t="s">
        <v>572</v>
      </c>
      <c r="B131" s="1" t="s">
        <v>573</v>
      </c>
      <c r="C131" s="1" t="s">
        <v>1454</v>
      </c>
    </row>
    <row r="132" customFormat="false" ht="12.75" hidden="false" customHeight="true" outlineLevel="0" collapsed="false">
      <c r="A132" s="1" t="s">
        <v>574</v>
      </c>
      <c r="B132" s="1" t="s">
        <v>565</v>
      </c>
      <c r="C132" s="1" t="s">
        <v>1455</v>
      </c>
    </row>
    <row r="133" customFormat="false" ht="12.75" hidden="false" customHeight="true" outlineLevel="0" collapsed="false">
      <c r="A133" s="1" t="s">
        <v>577</v>
      </c>
      <c r="B133" s="1" t="s">
        <v>578</v>
      </c>
      <c r="C133" s="1" t="s">
        <v>1580</v>
      </c>
    </row>
    <row r="134" customFormat="false" ht="12.75" hidden="false" customHeight="true" outlineLevel="0" collapsed="false">
      <c r="A134" s="1" t="s">
        <v>579</v>
      </c>
      <c r="B134" s="1" t="s">
        <v>580</v>
      </c>
      <c r="C134" s="1" t="s">
        <v>1581</v>
      </c>
    </row>
    <row r="135" customFormat="false" ht="12.75" hidden="false" customHeight="true" outlineLevel="0" collapsed="false">
      <c r="A135" s="1" t="s">
        <v>581</v>
      </c>
      <c r="B135" s="1" t="s">
        <v>582</v>
      </c>
      <c r="C135" s="1" t="s">
        <v>1456</v>
      </c>
    </row>
    <row r="136" customFormat="false" ht="12.75" hidden="false" customHeight="true" outlineLevel="0" collapsed="false">
      <c r="A136" s="1" t="s">
        <v>583</v>
      </c>
      <c r="B136" s="1" t="s">
        <v>584</v>
      </c>
      <c r="C136" s="1" t="s">
        <v>1582</v>
      </c>
    </row>
    <row r="137" customFormat="false" ht="12.75" hidden="false" customHeight="true" outlineLevel="0" collapsed="false">
      <c r="A137" s="1" t="s">
        <v>585</v>
      </c>
      <c r="B137" s="1" t="s">
        <v>586</v>
      </c>
      <c r="C137" s="1" t="s">
        <v>1457</v>
      </c>
    </row>
    <row r="138" customFormat="false" ht="12.75" hidden="false" customHeight="true" outlineLevel="0" collapsed="false">
      <c r="A138" s="1" t="s">
        <v>589</v>
      </c>
      <c r="B138" s="1" t="s">
        <v>590</v>
      </c>
      <c r="C138" s="1" t="s">
        <v>1583</v>
      </c>
    </row>
    <row r="139" customFormat="false" ht="12.75" hidden="false" customHeight="true" outlineLevel="0" collapsed="false">
      <c r="A139" s="1" t="s">
        <v>592</v>
      </c>
      <c r="B139" s="1" t="s">
        <v>593</v>
      </c>
      <c r="C139" s="1" t="s">
        <v>1584</v>
      </c>
    </row>
    <row r="140" customFormat="false" ht="12.75" hidden="false" customHeight="true" outlineLevel="0" collapsed="false">
      <c r="A140" s="1" t="s">
        <v>596</v>
      </c>
      <c r="B140" s="1" t="s">
        <v>597</v>
      </c>
      <c r="C140" s="1" t="s">
        <v>1458</v>
      </c>
    </row>
    <row r="141" customFormat="false" ht="12.75" hidden="false" customHeight="true" outlineLevel="0" collapsed="false">
      <c r="A141" s="1" t="s">
        <v>599</v>
      </c>
      <c r="B141" s="1" t="s">
        <v>600</v>
      </c>
      <c r="C141" s="1" t="s">
        <v>1585</v>
      </c>
    </row>
    <row r="142" customFormat="false" ht="12.75" hidden="false" customHeight="true" outlineLevel="0" collapsed="false">
      <c r="A142" s="1" t="s">
        <v>601</v>
      </c>
      <c r="B142" s="1" t="s">
        <v>602</v>
      </c>
      <c r="C142" s="1" t="s">
        <v>1586</v>
      </c>
    </row>
    <row r="143" customFormat="false" ht="12.75" hidden="false" customHeight="true" outlineLevel="0" collapsed="false">
      <c r="A143" s="1" t="s">
        <v>603</v>
      </c>
      <c r="B143" s="1" t="s">
        <v>604</v>
      </c>
      <c r="C143" s="1" t="s">
        <v>1587</v>
      </c>
    </row>
    <row r="144" customFormat="false" ht="12.75" hidden="false" customHeight="true" outlineLevel="0" collapsed="false">
      <c r="A144" s="1" t="s">
        <v>605</v>
      </c>
      <c r="B144" s="1" t="s">
        <v>606</v>
      </c>
      <c r="C144" s="1" t="s">
        <v>1588</v>
      </c>
    </row>
    <row r="145" customFormat="false" ht="12.75" hidden="false" customHeight="true" outlineLevel="0" collapsed="false">
      <c r="A145" s="1" t="s">
        <v>608</v>
      </c>
      <c r="B145" s="1" t="s">
        <v>609</v>
      </c>
      <c r="C145" s="1" t="s">
        <v>1589</v>
      </c>
    </row>
    <row r="146" customFormat="false" ht="12.75" hidden="false" customHeight="true" outlineLevel="0" collapsed="false">
      <c r="A146" s="1" t="s">
        <v>612</v>
      </c>
      <c r="B146" s="1" t="s">
        <v>611</v>
      </c>
      <c r="C146" s="1" t="s">
        <v>1590</v>
      </c>
    </row>
    <row r="147" customFormat="false" ht="12.75" hidden="false" customHeight="true" outlineLevel="0" collapsed="false">
      <c r="A147" s="1" t="s">
        <v>619</v>
      </c>
      <c r="B147" s="1" t="s">
        <v>620</v>
      </c>
      <c r="C147" s="1" t="s">
        <v>1459</v>
      </c>
    </row>
    <row r="148" customFormat="false" ht="12.75" hidden="false" customHeight="true" outlineLevel="0" collapsed="false">
      <c r="A148" s="1" t="s">
        <v>622</v>
      </c>
      <c r="B148" s="1" t="s">
        <v>623</v>
      </c>
      <c r="C148" s="1" t="s">
        <v>1591</v>
      </c>
    </row>
    <row r="149" customFormat="false" ht="12.75" hidden="false" customHeight="true" outlineLevel="0" collapsed="false">
      <c r="A149" s="1" t="s">
        <v>624</v>
      </c>
      <c r="B149" s="1" t="s">
        <v>625</v>
      </c>
      <c r="C149" s="1" t="s">
        <v>1592</v>
      </c>
    </row>
    <row r="150" customFormat="false" ht="12.75" hidden="false" customHeight="true" outlineLevel="0" collapsed="false">
      <c r="A150" s="1" t="s">
        <v>626</v>
      </c>
      <c r="B150" s="1" t="s">
        <v>627</v>
      </c>
      <c r="C150" s="1" t="s">
        <v>1460</v>
      </c>
    </row>
    <row r="151" customFormat="false" ht="12.75" hidden="false" customHeight="true" outlineLevel="0" collapsed="false">
      <c r="A151" s="1" t="s">
        <v>628</v>
      </c>
      <c r="B151" s="1" t="s">
        <v>629</v>
      </c>
      <c r="C151" s="1" t="s">
        <v>1593</v>
      </c>
    </row>
    <row r="152" customFormat="false" ht="12.75" hidden="false" customHeight="true" outlineLevel="0" collapsed="false">
      <c r="A152" s="1" t="s">
        <v>630</v>
      </c>
      <c r="B152" s="1" t="s">
        <v>631</v>
      </c>
      <c r="C152" s="1" t="s">
        <v>1594</v>
      </c>
    </row>
    <row r="153" customFormat="false" ht="12.75" hidden="false" customHeight="true" outlineLevel="0" collapsed="false">
      <c r="A153" s="1" t="s">
        <v>633</v>
      </c>
      <c r="B153" s="1" t="s">
        <v>634</v>
      </c>
      <c r="C153" s="1" t="s">
        <v>1595</v>
      </c>
    </row>
    <row r="154" customFormat="false" ht="12.75" hidden="false" customHeight="true" outlineLevel="0" collapsed="false">
      <c r="A154" s="1" t="s">
        <v>635</v>
      </c>
      <c r="B154" s="1" t="s">
        <v>636</v>
      </c>
      <c r="C154" s="1" t="s">
        <v>1596</v>
      </c>
    </row>
    <row r="155" customFormat="false" ht="12.75" hidden="false" customHeight="true" outlineLevel="0" collapsed="false">
      <c r="A155" s="1" t="s">
        <v>639</v>
      </c>
      <c r="B155" s="1" t="s">
        <v>640</v>
      </c>
      <c r="C155" s="1" t="s">
        <v>1597</v>
      </c>
    </row>
    <row r="156" customFormat="false" ht="12.75" hidden="false" customHeight="true" outlineLevel="0" collapsed="false">
      <c r="A156" s="1" t="s">
        <v>644</v>
      </c>
      <c r="B156" s="1" t="s">
        <v>645</v>
      </c>
      <c r="C156" s="1" t="s">
        <v>1598</v>
      </c>
    </row>
    <row r="157" customFormat="false" ht="12.75" hidden="false" customHeight="true" outlineLevel="0" collapsed="false">
      <c r="A157" s="1" t="s">
        <v>648</v>
      </c>
      <c r="B157" s="1" t="s">
        <v>649</v>
      </c>
      <c r="C157" s="1" t="s">
        <v>1599</v>
      </c>
    </row>
    <row r="158" customFormat="false" ht="12.75" hidden="false" customHeight="true" outlineLevel="0" collapsed="false">
      <c r="A158" s="1" t="s">
        <v>651</v>
      </c>
      <c r="B158" s="1" t="s">
        <v>652</v>
      </c>
      <c r="C158" s="1" t="s">
        <v>1600</v>
      </c>
    </row>
    <row r="159" customFormat="false" ht="12.75" hidden="false" customHeight="true" outlineLevel="0" collapsed="false">
      <c r="A159" s="1" t="s">
        <v>655</v>
      </c>
      <c r="B159" s="1" t="s">
        <v>654</v>
      </c>
      <c r="C159" s="1" t="s">
        <v>1601</v>
      </c>
    </row>
    <row r="160" customFormat="false" ht="12.75" hidden="false" customHeight="true" outlineLevel="0" collapsed="false">
      <c r="A160" s="1" t="s">
        <v>659</v>
      </c>
      <c r="B160" s="1" t="s">
        <v>660</v>
      </c>
      <c r="C160" s="1" t="s">
        <v>1602</v>
      </c>
    </row>
    <row r="161" customFormat="false" ht="12.75" hidden="false" customHeight="true" outlineLevel="0" collapsed="false">
      <c r="A161" s="1" t="s">
        <v>662</v>
      </c>
      <c r="B161" s="1" t="s">
        <v>663</v>
      </c>
      <c r="C161" s="1" t="s">
        <v>1603</v>
      </c>
    </row>
    <row r="162" customFormat="false" ht="12.75" hidden="false" customHeight="true" outlineLevel="0" collapsed="false">
      <c r="A162" s="1" t="s">
        <v>664</v>
      </c>
      <c r="B162" s="1" t="s">
        <v>665</v>
      </c>
      <c r="C162" s="1" t="s">
        <v>1604</v>
      </c>
    </row>
    <row r="163" customFormat="false" ht="12.75" hidden="false" customHeight="true" outlineLevel="0" collapsed="false">
      <c r="A163" s="1" t="s">
        <v>666</v>
      </c>
      <c r="B163" s="1" t="s">
        <v>667</v>
      </c>
      <c r="C163" s="1" t="s">
        <v>1605</v>
      </c>
    </row>
    <row r="164" customFormat="false" ht="12.75" hidden="false" customHeight="true" outlineLevel="0" collapsed="false">
      <c r="A164" s="1" t="s">
        <v>670</v>
      </c>
      <c r="B164" s="1" t="s">
        <v>671</v>
      </c>
      <c r="C164" s="1" t="s">
        <v>1606</v>
      </c>
    </row>
    <row r="165" customFormat="false" ht="12.75" hidden="false" customHeight="true" outlineLevel="0" collapsed="false">
      <c r="A165" s="1" t="s">
        <v>672</v>
      </c>
      <c r="B165" s="1" t="s">
        <v>673</v>
      </c>
      <c r="C165" s="1" t="s">
        <v>1607</v>
      </c>
    </row>
    <row r="166" customFormat="false" ht="12.75" hidden="false" customHeight="true" outlineLevel="0" collapsed="false">
      <c r="A166" s="1" t="s">
        <v>674</v>
      </c>
      <c r="B166" s="1" t="s">
        <v>675</v>
      </c>
      <c r="C166" s="1" t="s">
        <v>1608</v>
      </c>
    </row>
    <row r="167" customFormat="false" ht="12.75" hidden="false" customHeight="true" outlineLevel="0" collapsed="false">
      <c r="A167" s="1" t="s">
        <v>676</v>
      </c>
      <c r="B167" s="1" t="s">
        <v>677</v>
      </c>
      <c r="C167" s="1" t="s">
        <v>1609</v>
      </c>
    </row>
    <row r="168" customFormat="false" ht="12.75" hidden="false" customHeight="true" outlineLevel="0" collapsed="false">
      <c r="A168" s="1" t="s">
        <v>678</v>
      </c>
      <c r="B168" s="1" t="s">
        <v>679</v>
      </c>
      <c r="C168" s="1" t="s">
        <v>1610</v>
      </c>
    </row>
    <row r="169" customFormat="false" ht="12.75" hidden="false" customHeight="true" outlineLevel="0" collapsed="false">
      <c r="A169" s="1" t="s">
        <v>680</v>
      </c>
      <c r="B169" s="1" t="s">
        <v>681</v>
      </c>
      <c r="C169" s="1" t="s">
        <v>1461</v>
      </c>
    </row>
    <row r="170" customFormat="false" ht="12.75" hidden="false" customHeight="true" outlineLevel="0" collapsed="false">
      <c r="A170" s="1" t="s">
        <v>682</v>
      </c>
      <c r="B170" s="1" t="s">
        <v>683</v>
      </c>
      <c r="C170" s="1" t="s">
        <v>1462</v>
      </c>
    </row>
    <row r="171" customFormat="false" ht="12.75" hidden="false" customHeight="true" outlineLevel="0" collapsed="false">
      <c r="A171" s="1" t="s">
        <v>684</v>
      </c>
      <c r="B171" s="1" t="s">
        <v>685</v>
      </c>
      <c r="C171" s="1" t="s">
        <v>1611</v>
      </c>
    </row>
    <row r="172" customFormat="false" ht="12.75" hidden="false" customHeight="true" outlineLevel="0" collapsed="false">
      <c r="A172" s="1" t="s">
        <v>688</v>
      </c>
      <c r="B172" s="1" t="s">
        <v>660</v>
      </c>
      <c r="C172" s="1" t="s">
        <v>1612</v>
      </c>
    </row>
    <row r="173" customFormat="false" ht="12.75" hidden="false" customHeight="true" outlineLevel="0" collapsed="false">
      <c r="A173" s="1" t="s">
        <v>690</v>
      </c>
      <c r="B173" s="1" t="s">
        <v>691</v>
      </c>
      <c r="C173" s="1" t="s">
        <v>1613</v>
      </c>
    </row>
    <row r="174" customFormat="false" ht="12.75" hidden="false" customHeight="true" outlineLevel="0" collapsed="false">
      <c r="A174" s="1" t="s">
        <v>694</v>
      </c>
      <c r="B174" s="1" t="s">
        <v>695</v>
      </c>
      <c r="C174" s="1" t="s">
        <v>1614</v>
      </c>
    </row>
    <row r="175" customFormat="false" ht="12.75" hidden="false" customHeight="true" outlineLevel="0" collapsed="false">
      <c r="A175" s="1" t="s">
        <v>697</v>
      </c>
      <c r="B175" s="1" t="s">
        <v>698</v>
      </c>
      <c r="C175" s="1" t="s">
        <v>1615</v>
      </c>
    </row>
    <row r="176" customFormat="false" ht="12.75" hidden="false" customHeight="true" outlineLevel="0" collapsed="false">
      <c r="A176" s="1" t="s">
        <v>705</v>
      </c>
      <c r="B176" s="1" t="s">
        <v>706</v>
      </c>
      <c r="C176" s="1" t="s">
        <v>1616</v>
      </c>
    </row>
    <row r="177" customFormat="false" ht="12.75" hidden="false" customHeight="true" outlineLevel="0" collapsed="false">
      <c r="A177" s="1" t="s">
        <v>707</v>
      </c>
      <c r="B177" s="1" t="s">
        <v>708</v>
      </c>
      <c r="C177" s="1" t="s">
        <v>1617</v>
      </c>
    </row>
    <row r="178" customFormat="false" ht="12.75" hidden="false" customHeight="true" outlineLevel="0" collapsed="false">
      <c r="A178" s="1" t="s">
        <v>714</v>
      </c>
      <c r="B178" s="1" t="s">
        <v>715</v>
      </c>
      <c r="C178" s="1" t="s">
        <v>1618</v>
      </c>
    </row>
    <row r="179" customFormat="false" ht="12.75" hidden="false" customHeight="true" outlineLevel="0" collapsed="false">
      <c r="A179" s="1" t="s">
        <v>716</v>
      </c>
      <c r="B179" s="1" t="s">
        <v>717</v>
      </c>
      <c r="C179" s="1" t="s">
        <v>1619</v>
      </c>
    </row>
    <row r="180" customFormat="false" ht="12.75" hidden="false" customHeight="true" outlineLevel="0" collapsed="false">
      <c r="A180" s="1" t="s">
        <v>720</v>
      </c>
      <c r="B180" s="1" t="s">
        <v>721</v>
      </c>
      <c r="C180" s="1" t="s">
        <v>1620</v>
      </c>
    </row>
    <row r="181" customFormat="false" ht="12.75" hidden="false" customHeight="true" outlineLevel="0" collapsed="false">
      <c r="A181" s="1" t="s">
        <v>722</v>
      </c>
      <c r="B181" s="1" t="s">
        <v>723</v>
      </c>
      <c r="C181" s="1" t="s">
        <v>1621</v>
      </c>
    </row>
    <row r="182" customFormat="false" ht="12.75" hidden="false" customHeight="true" outlineLevel="0" collapsed="false">
      <c r="A182" s="1"/>
      <c r="B182" s="1"/>
      <c r="C182" s="1"/>
    </row>
    <row r="183" customFormat="false" ht="12.75" hidden="false" customHeight="true" outlineLevel="0" collapsed="false">
      <c r="A183" s="1"/>
      <c r="B183" s="1"/>
      <c r="C183" s="1"/>
    </row>
  </sheetData>
  <sheetProtection sheet="true" password="91db" formatCells="false" formatColumns="false" formatRows="false" sort="false" autoFilter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38"/>
    <col collapsed="false" customWidth="true" hidden="false" outlineLevel="0" max="3" min="3" style="1" width="35"/>
    <col collapsed="false" customWidth="true" hidden="false" outlineLevel="0" max="4" min="4" style="1" width="18"/>
    <col collapsed="false" customWidth="true" hidden="false" outlineLevel="0" max="5" min="5" style="1" width="50"/>
  </cols>
  <sheetData>
    <row r="1" customFormat="false" ht="15" hidden="false" customHeight="true" outlineLevel="0" collapsed="false">
      <c r="A1" s="361" t="s">
        <v>1121</v>
      </c>
      <c r="B1" s="361" t="s">
        <v>1622</v>
      </c>
      <c r="C1" s="361" t="s">
        <v>1623</v>
      </c>
      <c r="D1" s="361" t="s">
        <v>1298</v>
      </c>
      <c r="E1" s="361" t="s">
        <v>81</v>
      </c>
    </row>
    <row r="2" customFormat="false" ht="15" hidden="false" customHeight="true" outlineLevel="0" collapsed="false">
      <c r="A2" s="1" t="s">
        <v>1129</v>
      </c>
      <c r="B2" s="1" t="s">
        <v>459</v>
      </c>
      <c r="C2" s="1" t="s">
        <v>1624</v>
      </c>
      <c r="D2" s="1" t="s">
        <v>1306</v>
      </c>
      <c r="E2" s="1" t="s">
        <v>1625</v>
      </c>
    </row>
    <row r="3" customFormat="false" ht="15" hidden="false" customHeight="true" outlineLevel="0" collapsed="false">
      <c r="A3" s="1" t="s">
        <v>1129</v>
      </c>
      <c r="B3" s="1" t="s">
        <v>1133</v>
      </c>
      <c r="C3" s="1" t="s">
        <v>1626</v>
      </c>
      <c r="D3" s="1" t="s">
        <v>1306</v>
      </c>
      <c r="E3" s="1" t="s">
        <v>1627</v>
      </c>
    </row>
    <row r="4" customFormat="false" ht="15" hidden="false" customHeight="true" outlineLevel="0" collapsed="false">
      <c r="A4" s="1" t="s">
        <v>1129</v>
      </c>
      <c r="B4" s="1" t="s">
        <v>1135</v>
      </c>
      <c r="C4" s="1" t="s">
        <v>1628</v>
      </c>
      <c r="D4" s="1" t="s">
        <v>1306</v>
      </c>
      <c r="E4" s="1" t="s">
        <v>1629</v>
      </c>
    </row>
    <row r="5" customFormat="false" ht="15" hidden="false" customHeight="true" outlineLevel="0" collapsed="false">
      <c r="A5" s="1" t="s">
        <v>1129</v>
      </c>
      <c r="B5" s="1" t="s">
        <v>1630</v>
      </c>
      <c r="C5" s="1" t="s">
        <v>1631</v>
      </c>
      <c r="D5" s="1" t="s">
        <v>1306</v>
      </c>
      <c r="E5" s="1" t="s">
        <v>1632</v>
      </c>
    </row>
    <row r="6" customFormat="false" ht="15" hidden="false" customHeight="true" outlineLevel="0" collapsed="false">
      <c r="A6" s="1" t="s">
        <v>234</v>
      </c>
      <c r="B6" s="1" t="s">
        <v>1633</v>
      </c>
      <c r="C6" s="1" t="s">
        <v>1634</v>
      </c>
      <c r="D6" s="1" t="s">
        <v>1306</v>
      </c>
      <c r="E6" s="1" t="s">
        <v>1635</v>
      </c>
    </row>
    <row r="7" customFormat="false" ht="15" hidden="false" customHeight="true" outlineLevel="0" collapsed="false">
      <c r="A7" s="1" t="s">
        <v>234</v>
      </c>
      <c r="B7" s="1" t="s">
        <v>1636</v>
      </c>
      <c r="C7" s="1" t="s">
        <v>1637</v>
      </c>
      <c r="D7" s="1" t="s">
        <v>1306</v>
      </c>
      <c r="E7" s="1" t="s">
        <v>1638</v>
      </c>
    </row>
    <row r="8" customFormat="false" ht="15" hidden="false" customHeight="true" outlineLevel="0" collapsed="false">
      <c r="A8" s="1" t="s">
        <v>234</v>
      </c>
      <c r="B8" s="1" t="s">
        <v>1639</v>
      </c>
      <c r="C8" s="1" t="s">
        <v>1640</v>
      </c>
      <c r="D8" s="1" t="s">
        <v>1300</v>
      </c>
      <c r="E8" s="1" t="s">
        <v>1641</v>
      </c>
    </row>
    <row r="9" customFormat="false" ht="15" hidden="false" customHeight="true" outlineLevel="0" collapsed="false">
      <c r="A9" s="1" t="s">
        <v>234</v>
      </c>
      <c r="B9" s="1" t="s">
        <v>1125</v>
      </c>
      <c r="C9" s="1" t="s">
        <v>1642</v>
      </c>
      <c r="D9" s="1" t="s">
        <v>1306</v>
      </c>
      <c r="E9" s="1" t="s">
        <v>1643</v>
      </c>
    </row>
    <row r="10" customFormat="false" ht="15" hidden="false" customHeight="true" outlineLevel="0" collapsed="false">
      <c r="A10" s="1" t="s">
        <v>234</v>
      </c>
      <c r="B10" s="1" t="s">
        <v>1126</v>
      </c>
      <c r="C10" s="1" t="s">
        <v>1644</v>
      </c>
      <c r="D10" s="1" t="s">
        <v>1306</v>
      </c>
      <c r="E10" s="1" t="s">
        <v>1643</v>
      </c>
    </row>
    <row r="11" customFormat="false" ht="15" hidden="false" customHeight="true" outlineLevel="0" collapsed="false">
      <c r="A11" s="1" t="s">
        <v>234</v>
      </c>
      <c r="B11" s="1" t="s">
        <v>1127</v>
      </c>
      <c r="C11" s="1" t="s">
        <v>1645</v>
      </c>
      <c r="D11" s="1" t="s">
        <v>1306</v>
      </c>
      <c r="E11" s="1" t="s">
        <v>1646</v>
      </c>
    </row>
    <row r="12" customFormat="false" ht="15" hidden="false" customHeight="true" outlineLevel="0" collapsed="false">
      <c r="A12" s="1" t="s">
        <v>234</v>
      </c>
      <c r="B12" s="1" t="s">
        <v>1647</v>
      </c>
      <c r="C12" s="1" t="s">
        <v>1648</v>
      </c>
      <c r="D12" s="1" t="s">
        <v>1306</v>
      </c>
      <c r="E12" s="1" t="s">
        <v>1649</v>
      </c>
    </row>
    <row r="13" customFormat="false" ht="15" hidden="false" customHeight="true" outlineLevel="0" collapsed="false">
      <c r="A13" s="1" t="s">
        <v>234</v>
      </c>
      <c r="B13" s="1" t="s">
        <v>1650</v>
      </c>
      <c r="C13" s="1" t="s">
        <v>1651</v>
      </c>
      <c r="D13" s="1" t="s">
        <v>1300</v>
      </c>
      <c r="E13" s="1" t="s">
        <v>1652</v>
      </c>
    </row>
    <row r="14" customFormat="false" ht="15" hidden="false" customHeight="true" outlineLevel="0" collapsed="false">
      <c r="A14" s="1" t="s">
        <v>334</v>
      </c>
      <c r="B14" s="1" t="s">
        <v>1653</v>
      </c>
      <c r="C14" s="1" t="s">
        <v>1654</v>
      </c>
      <c r="D14" s="1" t="s">
        <v>1300</v>
      </c>
      <c r="E14" s="1" t="s">
        <v>1655</v>
      </c>
    </row>
    <row r="15" customFormat="false" ht="15" hidden="false" customHeight="true" outlineLevel="0" collapsed="false">
      <c r="A15" s="1" t="s">
        <v>334</v>
      </c>
      <c r="B15" s="1" t="s">
        <v>330</v>
      </c>
      <c r="C15" s="1" t="s">
        <v>1656</v>
      </c>
      <c r="D15" s="1" t="s">
        <v>1300</v>
      </c>
      <c r="E15" s="1" t="s">
        <v>1657</v>
      </c>
    </row>
    <row r="16" customFormat="false" ht="15" hidden="false" customHeight="true" outlineLevel="0" collapsed="false">
      <c r="A16" s="1" t="s">
        <v>334</v>
      </c>
      <c r="B16" s="1" t="s">
        <v>1134</v>
      </c>
      <c r="C16" s="1" t="s">
        <v>1658</v>
      </c>
      <c r="D16" s="1" t="s">
        <v>1300</v>
      </c>
      <c r="E16" s="1" t="s">
        <v>1659</v>
      </c>
    </row>
    <row r="17" customFormat="false" ht="15" hidden="false" customHeight="true" outlineLevel="0" collapsed="false">
      <c r="A17" s="1" t="s">
        <v>334</v>
      </c>
      <c r="B17" s="1" t="s">
        <v>366</v>
      </c>
      <c r="C17" s="1" t="s">
        <v>1660</v>
      </c>
      <c r="D17" s="1" t="s">
        <v>1300</v>
      </c>
      <c r="E17" s="1" t="s">
        <v>543</v>
      </c>
    </row>
    <row r="18" customFormat="false" ht="15" hidden="false" customHeight="true" outlineLevel="0" collapsed="false">
      <c r="A18" s="1" t="s">
        <v>334</v>
      </c>
      <c r="B18" s="1" t="s">
        <v>1661</v>
      </c>
      <c r="C18" s="1" t="s">
        <v>1662</v>
      </c>
      <c r="D18" s="1" t="s">
        <v>1300</v>
      </c>
      <c r="E18" s="1" t="s">
        <v>1663</v>
      </c>
    </row>
    <row r="19" customFormat="false" ht="15" hidden="false" customHeight="true" outlineLevel="0" collapsed="false">
      <c r="A19" s="1" t="s">
        <v>334</v>
      </c>
      <c r="B19" s="1" t="s">
        <v>1664</v>
      </c>
      <c r="C19" s="1" t="s">
        <v>1665</v>
      </c>
      <c r="D19" s="1" t="s">
        <v>1300</v>
      </c>
      <c r="E19" s="1" t="s">
        <v>1666</v>
      </c>
    </row>
    <row r="20" customFormat="false" ht="15" hidden="false" customHeight="true" outlineLevel="0" collapsed="false">
      <c r="A20" s="1" t="s">
        <v>1667</v>
      </c>
      <c r="B20" s="1" t="s">
        <v>1668</v>
      </c>
      <c r="C20" s="1" t="s">
        <v>1669</v>
      </c>
      <c r="D20" s="1" t="s">
        <v>1300</v>
      </c>
      <c r="E20" s="1" t="s">
        <v>1670</v>
      </c>
    </row>
    <row r="21" customFormat="false" ht="15" hidden="false" customHeight="true" outlineLevel="0" collapsed="false">
      <c r="A21" s="1" t="s">
        <v>1667</v>
      </c>
      <c r="B21" s="1" t="s">
        <v>1671</v>
      </c>
      <c r="C21" s="1" t="s">
        <v>1672</v>
      </c>
      <c r="D21" s="1" t="s">
        <v>1300</v>
      </c>
      <c r="E21" s="1" t="s">
        <v>1673</v>
      </c>
    </row>
    <row r="22" customFormat="false" ht="15" hidden="false" customHeight="true" outlineLevel="0" collapsed="false">
      <c r="A22" s="1" t="s">
        <v>202</v>
      </c>
      <c r="B22" s="1" t="s">
        <v>1674</v>
      </c>
      <c r="C22" s="1" t="s">
        <v>1675</v>
      </c>
      <c r="D22" s="1" t="s">
        <v>1300</v>
      </c>
      <c r="E22" s="1" t="s">
        <v>1676</v>
      </c>
    </row>
    <row r="23" customFormat="false" ht="15" hidden="false" customHeight="true" outlineLevel="0" collapsed="false">
      <c r="A23" s="1" t="s">
        <v>202</v>
      </c>
      <c r="B23" s="1" t="s">
        <v>1677</v>
      </c>
      <c r="C23" s="1" t="s">
        <v>1678</v>
      </c>
      <c r="D23" s="1" t="s">
        <v>1300</v>
      </c>
      <c r="E23" s="1" t="s">
        <v>1679</v>
      </c>
    </row>
    <row r="24" customFormat="false" ht="15" hidden="false" customHeight="true" outlineLevel="0" collapsed="false">
      <c r="A24" s="1" t="s">
        <v>1680</v>
      </c>
      <c r="B24" s="1" t="s">
        <v>1681</v>
      </c>
      <c r="C24" s="1" t="s">
        <v>1682</v>
      </c>
      <c r="D24" s="1" t="s">
        <v>1683</v>
      </c>
      <c r="E24" s="1" t="s">
        <v>1684</v>
      </c>
    </row>
  </sheetData>
  <sheetProtection sheet="true" password="91db" formatCells="false" formatColumns="false" formatRows="false" sort="false" autoFilter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46"/>
  </cols>
  <sheetData>
    <row r="1" customFormat="false" ht="19.5" hidden="false" customHeight="true" outlineLevel="0" collapsed="false">
      <c r="A1" s="493" t="s">
        <v>1685</v>
      </c>
      <c r="B1" s="179"/>
    </row>
    <row r="2" customFormat="false" ht="15" hidden="false" customHeight="true" outlineLevel="0" collapsed="false">
      <c r="A2" s="494"/>
    </row>
    <row r="3" customFormat="false" ht="15" hidden="false" customHeight="true" outlineLevel="0" collapsed="false">
      <c r="A3" s="495" t="s">
        <v>1686</v>
      </c>
      <c r="B3" s="496"/>
    </row>
    <row r="4" customFormat="false" ht="15" hidden="false" customHeight="true" outlineLevel="0" collapsed="false">
      <c r="A4" s="494" t="s">
        <v>1687</v>
      </c>
      <c r="B4" s="494" t="s">
        <v>1688</v>
      </c>
    </row>
    <row r="5" customFormat="false" ht="15" hidden="false" customHeight="true" outlineLevel="0" collapsed="false">
      <c r="A5" s="494" t="s">
        <v>1689</v>
      </c>
      <c r="B5" s="494" t="s">
        <v>1690</v>
      </c>
    </row>
    <row r="6" customFormat="false" ht="15" hidden="false" customHeight="true" outlineLevel="0" collapsed="false">
      <c r="A6" s="494" t="s">
        <v>1691</v>
      </c>
      <c r="B6" s="494" t="s">
        <v>1692</v>
      </c>
    </row>
    <row r="7" customFormat="false" ht="15" hidden="false" customHeight="true" outlineLevel="0" collapsed="false">
      <c r="A7" s="494" t="s">
        <v>1693</v>
      </c>
      <c r="B7" s="494" t="s">
        <v>1694</v>
      </c>
    </row>
    <row r="8" customFormat="false" ht="15" hidden="false" customHeight="true" outlineLevel="0" collapsed="false">
      <c r="A8" s="494" t="s">
        <v>1695</v>
      </c>
      <c r="B8" s="494" t="s">
        <v>1696</v>
      </c>
    </row>
    <row r="9" customFormat="false" ht="15" hidden="false" customHeight="true" outlineLevel="0" collapsed="false">
      <c r="A9" s="494" t="s">
        <v>1697</v>
      </c>
      <c r="B9" s="494" t="s">
        <v>1698</v>
      </c>
    </row>
    <row r="10" customFormat="false" ht="15" hidden="false" customHeight="true" outlineLevel="0" collapsed="false">
      <c r="A10" s="494" t="s">
        <v>1699</v>
      </c>
      <c r="B10" s="494" t="s">
        <v>1700</v>
      </c>
    </row>
    <row r="11" customFormat="false" ht="15" hidden="false" customHeight="true" outlineLevel="0" collapsed="false">
      <c r="A11" s="494"/>
    </row>
    <row r="12" customFormat="false" ht="15" hidden="false" customHeight="true" outlineLevel="0" collapsed="false">
      <c r="A12" s="495" t="s">
        <v>1701</v>
      </c>
      <c r="B12" s="496"/>
    </row>
    <row r="13" customFormat="false" ht="15" hidden="false" customHeight="true" outlineLevel="0" collapsed="false">
      <c r="A13" s="494" t="s">
        <v>1702</v>
      </c>
      <c r="B13" s="494" t="s">
        <v>1703</v>
      </c>
    </row>
    <row r="14" customFormat="false" ht="15" hidden="false" customHeight="true" outlineLevel="0" collapsed="false">
      <c r="A14" s="494" t="s">
        <v>1704</v>
      </c>
      <c r="B14" s="494" t="s">
        <v>1705</v>
      </c>
    </row>
    <row r="15" customFormat="false" ht="15" hidden="false" customHeight="true" outlineLevel="0" collapsed="false">
      <c r="A15" s="494" t="s">
        <v>1706</v>
      </c>
      <c r="B15" s="494" t="s">
        <v>1707</v>
      </c>
    </row>
    <row r="16" customFormat="false" ht="15" hidden="false" customHeight="true" outlineLevel="0" collapsed="false">
      <c r="A16" s="494" t="s">
        <v>1708</v>
      </c>
      <c r="B16" s="494" t="s">
        <v>1709</v>
      </c>
    </row>
    <row r="17" customFormat="false" ht="15" hidden="false" customHeight="true" outlineLevel="0" collapsed="false">
      <c r="A17" s="494" t="s">
        <v>1710</v>
      </c>
      <c r="B17" s="494" t="s">
        <v>1711</v>
      </c>
    </row>
    <row r="18" customFormat="false" ht="15" hidden="false" customHeight="true" outlineLevel="0" collapsed="false">
      <c r="A18" s="494" t="s">
        <v>1712</v>
      </c>
      <c r="B18" s="494" t="s">
        <v>1713</v>
      </c>
    </row>
    <row r="19" customFormat="false" ht="15" hidden="false" customHeight="true" outlineLevel="0" collapsed="false">
      <c r="A19" s="494"/>
    </row>
    <row r="20" customFormat="false" ht="15" hidden="false" customHeight="true" outlineLevel="0" collapsed="false">
      <c r="A20" s="495" t="s">
        <v>1714</v>
      </c>
      <c r="B20" s="496"/>
    </row>
    <row r="21" customFormat="false" ht="15" hidden="false" customHeight="true" outlineLevel="0" collapsed="false">
      <c r="A21" s="494" t="s">
        <v>1715</v>
      </c>
      <c r="B21" s="494" t="s">
        <v>1716</v>
      </c>
    </row>
    <row r="22" customFormat="false" ht="15" hidden="false" customHeight="true" outlineLevel="0" collapsed="false">
      <c r="A22" s="494" t="s">
        <v>1717</v>
      </c>
      <c r="B22" s="494" t="s">
        <v>1718</v>
      </c>
    </row>
    <row r="23" customFormat="false" ht="15" hidden="false" customHeight="true" outlineLevel="0" collapsed="false">
      <c r="A23" s="494" t="s">
        <v>1719</v>
      </c>
      <c r="B23" s="494" t="s">
        <v>1720</v>
      </c>
    </row>
    <row r="24" customFormat="false" ht="15" hidden="false" customHeight="true" outlineLevel="0" collapsed="false">
      <c r="A24" s="494" t="s">
        <v>1721</v>
      </c>
      <c r="B24" s="494" t="s">
        <v>1722</v>
      </c>
    </row>
    <row r="25" customFormat="false" ht="15" hidden="false" customHeight="true" outlineLevel="0" collapsed="false">
      <c r="A25" s="494"/>
    </row>
    <row r="26" customFormat="false" ht="15" hidden="false" customHeight="true" outlineLevel="0" collapsed="false">
      <c r="A26" s="494" t="s">
        <v>1723</v>
      </c>
      <c r="B26" s="494" t="s">
        <v>1724</v>
      </c>
    </row>
  </sheetData>
  <sheetProtection sheet="true" password="91db" formatCells="false" formatColumns="false" formatRows="false" sort="false" autoFilter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40"/>
    <col collapsed="false" customWidth="true" hidden="false" outlineLevel="0" max="3" min="3" style="1" width="70"/>
    <col collapsed="false" customWidth="true" hidden="false" outlineLevel="0" max="4" min="4" style="1" width="18"/>
  </cols>
  <sheetData>
    <row r="1" customFormat="false" ht="17.25" hidden="false" customHeight="true" outlineLevel="0" collapsed="false">
      <c r="A1" s="497" t="s">
        <v>1725</v>
      </c>
      <c r="B1" s="497"/>
      <c r="C1" s="497"/>
      <c r="D1" s="497"/>
    </row>
    <row r="2" customFormat="false" ht="15" hidden="false" customHeight="true" outlineLevel="0" collapsed="false">
      <c r="A2" s="498" t="s">
        <v>1726</v>
      </c>
      <c r="B2" s="498"/>
      <c r="C2" s="498"/>
      <c r="D2" s="498"/>
    </row>
    <row r="4" customFormat="false" ht="15" hidden="false" customHeight="true" outlineLevel="0" collapsed="false">
      <c r="A4" s="499" t="s">
        <v>106</v>
      </c>
      <c r="B4" s="499" t="s">
        <v>1727</v>
      </c>
      <c r="C4" s="499" t="s">
        <v>1728</v>
      </c>
      <c r="D4" s="499" t="s">
        <v>1729</v>
      </c>
    </row>
    <row r="5" customFormat="false" ht="91.5" hidden="false" customHeight="true" outlineLevel="0" collapsed="false">
      <c r="A5" s="494" t="n">
        <v>1</v>
      </c>
      <c r="B5" s="500" t="s">
        <v>1730</v>
      </c>
      <c r="C5" s="501" t="s">
        <v>1731</v>
      </c>
      <c r="D5" s="500" t="s">
        <v>1732</v>
      </c>
    </row>
    <row r="6" customFormat="false" ht="72.75" hidden="false" customHeight="true" outlineLevel="0" collapsed="false">
      <c r="A6" s="494" t="n">
        <v>2</v>
      </c>
      <c r="B6" s="500" t="s">
        <v>1733</v>
      </c>
      <c r="C6" s="501" t="s">
        <v>1734</v>
      </c>
      <c r="D6" s="502" t="s">
        <v>1735</v>
      </c>
    </row>
    <row r="7" customFormat="false" ht="45.75" hidden="false" customHeight="true" outlineLevel="0" collapsed="false">
      <c r="A7" s="494" t="n">
        <v>3</v>
      </c>
      <c r="B7" s="500" t="s">
        <v>1736</v>
      </c>
      <c r="C7" s="501" t="s">
        <v>1737</v>
      </c>
      <c r="D7" s="502" t="s">
        <v>1735</v>
      </c>
    </row>
    <row r="8" customFormat="false" ht="66.75" hidden="false" customHeight="true" outlineLevel="0" collapsed="false">
      <c r="A8" s="494" t="n">
        <v>4</v>
      </c>
      <c r="B8" s="500" t="s">
        <v>1738</v>
      </c>
      <c r="C8" s="501" t="s">
        <v>1739</v>
      </c>
      <c r="D8" s="500" t="s">
        <v>1732</v>
      </c>
    </row>
    <row r="9" customFormat="false" ht="45.75" hidden="false" customHeight="true" outlineLevel="0" collapsed="false">
      <c r="A9" s="494" t="n">
        <v>5</v>
      </c>
      <c r="B9" s="500" t="s">
        <v>1740</v>
      </c>
      <c r="C9" s="501" t="s">
        <v>1741</v>
      </c>
      <c r="D9" s="503" t="s">
        <v>1742</v>
      </c>
    </row>
    <row r="10" customFormat="false" ht="60" hidden="false" customHeight="true" outlineLevel="0" collapsed="false">
      <c r="A10" s="494" t="n">
        <v>2</v>
      </c>
      <c r="B10" s="500" t="s">
        <v>1743</v>
      </c>
      <c r="C10" s="501" t="s">
        <v>1744</v>
      </c>
      <c r="D10" s="502" t="s">
        <v>1735</v>
      </c>
    </row>
    <row r="11" customFormat="false" ht="74.25" hidden="false" customHeight="true" outlineLevel="0" collapsed="false">
      <c r="A11" s="494" t="n">
        <v>3</v>
      </c>
      <c r="B11" s="500" t="s">
        <v>1745</v>
      </c>
      <c r="C11" s="501" t="s">
        <v>1746</v>
      </c>
      <c r="D11" s="500" t="s">
        <v>1732</v>
      </c>
    </row>
  </sheetData>
  <sheetProtection sheet="true" password="91db" formatCells="false" formatColumns="false" formatRows="false" sort="false" autoFilter="false"/>
  <mergeCells count="2">
    <mergeCell ref="A1:D1"/>
    <mergeCell ref="A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62"/>
    <col collapsed="false" customWidth="true" hidden="false" outlineLevel="0" max="3" min="3" style="1" width="16"/>
  </cols>
  <sheetData>
    <row r="1" customFormat="false" ht="24" hidden="false" customHeight="true" outlineLevel="0" collapsed="false">
      <c r="A1" s="39" t="s">
        <v>116</v>
      </c>
      <c r="B1" s="39"/>
      <c r="C1" s="40" t="s">
        <v>19</v>
      </c>
    </row>
    <row r="2" customFormat="false" ht="24" hidden="false" customHeight="true" outlineLevel="0" collapsed="false">
      <c r="A2" s="39"/>
      <c r="B2" s="39"/>
      <c r="C2" s="2"/>
    </row>
    <row r="3" customFormat="false" ht="19.5" hidden="false" customHeight="true" outlineLevel="0" collapsed="false">
      <c r="A3" s="41" t="s">
        <v>117</v>
      </c>
      <c r="B3" s="41"/>
      <c r="C3" s="41"/>
    </row>
    <row r="4" customFormat="false" ht="24" hidden="false" customHeight="true" outlineLevel="0" collapsed="false">
      <c r="A4" s="6"/>
      <c r="B4" s="6"/>
      <c r="C4" s="6"/>
    </row>
    <row r="5" customFormat="false" ht="21.75" hidden="false" customHeight="true" outlineLevel="0" collapsed="false">
      <c r="A5" s="42" t="s">
        <v>118</v>
      </c>
      <c r="B5" s="42"/>
      <c r="C5" s="42"/>
    </row>
    <row r="6" customFormat="false" ht="60" hidden="false" customHeight="true" outlineLevel="0" collapsed="false">
      <c r="A6" s="43" t="s">
        <v>119</v>
      </c>
      <c r="B6" s="44" t="s">
        <v>120</v>
      </c>
      <c r="C6" s="45"/>
    </row>
    <row r="7" customFormat="false" ht="45" hidden="false" customHeight="true" outlineLevel="0" collapsed="false">
      <c r="A7" s="43" t="s">
        <v>121</v>
      </c>
      <c r="B7" s="44" t="s">
        <v>122</v>
      </c>
      <c r="C7" s="45"/>
    </row>
    <row r="8" customFormat="false" ht="45" hidden="false" customHeight="true" outlineLevel="0" collapsed="false">
      <c r="A8" s="43" t="s">
        <v>123</v>
      </c>
      <c r="B8" s="44" t="s">
        <v>124</v>
      </c>
      <c r="C8" s="45"/>
    </row>
    <row r="9" customFormat="false" ht="24" hidden="false" customHeight="true" outlineLevel="0" collapsed="false">
      <c r="A9" s="6"/>
      <c r="B9" s="6"/>
      <c r="C9" s="6"/>
    </row>
    <row r="10" customFormat="false" ht="21.75" hidden="false" customHeight="true" outlineLevel="0" collapsed="false">
      <c r="A10" s="42" t="s">
        <v>125</v>
      </c>
      <c r="B10" s="42"/>
      <c r="C10" s="42"/>
    </row>
    <row r="11" customFormat="false" ht="30" hidden="false" customHeight="true" outlineLevel="0" collapsed="false">
      <c r="A11" s="43" t="s">
        <v>126</v>
      </c>
      <c r="B11" s="44" t="s">
        <v>127</v>
      </c>
      <c r="C11" s="45"/>
    </row>
    <row r="12" customFormat="false" ht="45" hidden="false" customHeight="true" outlineLevel="0" collapsed="false">
      <c r="A12" s="43" t="s">
        <v>128</v>
      </c>
      <c r="B12" s="44" t="s">
        <v>129</v>
      </c>
      <c r="C12" s="45"/>
    </row>
    <row r="13" customFormat="false" ht="45" hidden="false" customHeight="true" outlineLevel="0" collapsed="false">
      <c r="A13" s="43" t="s">
        <v>130</v>
      </c>
      <c r="B13" s="44" t="s">
        <v>131</v>
      </c>
      <c r="C13" s="45"/>
    </row>
    <row r="14" customFormat="false" ht="30" hidden="false" customHeight="true" outlineLevel="0" collapsed="false">
      <c r="A14" s="43" t="s">
        <v>132</v>
      </c>
      <c r="B14" s="44" t="s">
        <v>133</v>
      </c>
      <c r="C14" s="45"/>
    </row>
    <row r="15" customFormat="false" ht="24" hidden="false" customHeight="true" outlineLevel="0" collapsed="false">
      <c r="A15" s="6"/>
      <c r="B15" s="6"/>
      <c r="C15" s="6"/>
    </row>
    <row r="16" customFormat="false" ht="21.75" hidden="false" customHeight="true" outlineLevel="0" collapsed="false">
      <c r="A16" s="42" t="s">
        <v>134</v>
      </c>
      <c r="B16" s="42"/>
      <c r="C16" s="42"/>
    </row>
    <row r="17" customFormat="false" ht="30" hidden="false" customHeight="true" outlineLevel="0" collapsed="false">
      <c r="A17" s="43" t="s">
        <v>135</v>
      </c>
      <c r="B17" s="44" t="s">
        <v>136</v>
      </c>
      <c r="C17" s="45"/>
    </row>
    <row r="18" customFormat="false" ht="45" hidden="false" customHeight="true" outlineLevel="0" collapsed="false">
      <c r="A18" s="43" t="s">
        <v>137</v>
      </c>
      <c r="B18" s="44" t="s">
        <v>138</v>
      </c>
      <c r="C18" s="45"/>
    </row>
    <row r="19" customFormat="false" ht="30" hidden="false" customHeight="true" outlineLevel="0" collapsed="false">
      <c r="A19" s="43" t="s">
        <v>139</v>
      </c>
      <c r="B19" s="44" t="s">
        <v>140</v>
      </c>
      <c r="C19" s="45"/>
    </row>
    <row r="20" customFormat="false" ht="30" hidden="false" customHeight="true" outlineLevel="0" collapsed="false">
      <c r="A20" s="43" t="s">
        <v>141</v>
      </c>
      <c r="B20" s="44" t="s">
        <v>142</v>
      </c>
      <c r="C20" s="45"/>
    </row>
    <row r="21" customFormat="false" ht="24" hidden="false" customHeight="true" outlineLevel="0" collapsed="false">
      <c r="A21" s="6"/>
      <c r="B21" s="6"/>
      <c r="C21" s="6"/>
    </row>
    <row r="22" customFormat="false" ht="21.75" hidden="false" customHeight="true" outlineLevel="0" collapsed="false">
      <c r="A22" s="42" t="s">
        <v>143</v>
      </c>
      <c r="B22" s="42"/>
      <c r="C22" s="42"/>
    </row>
    <row r="23" customFormat="false" ht="30" hidden="false" customHeight="true" outlineLevel="0" collapsed="false">
      <c r="A23" s="43" t="s">
        <v>144</v>
      </c>
      <c r="B23" s="44" t="s">
        <v>145</v>
      </c>
      <c r="C23" s="45"/>
    </row>
    <row r="24" customFormat="false" ht="45" hidden="false" customHeight="true" outlineLevel="0" collapsed="false">
      <c r="A24" s="43" t="s">
        <v>146</v>
      </c>
      <c r="B24" s="44" t="s">
        <v>147</v>
      </c>
      <c r="C24" s="45"/>
    </row>
    <row r="25" customFormat="false" ht="57.75" hidden="false" customHeight="true" outlineLevel="0" collapsed="false">
      <c r="A25" s="46" t="s">
        <v>148</v>
      </c>
      <c r="B25" s="47" t="s">
        <v>149</v>
      </c>
      <c r="C25" s="6"/>
    </row>
    <row r="26" customFormat="false" ht="57.75" hidden="false" customHeight="true" outlineLevel="0" collapsed="false">
      <c r="A26" s="48" t="s">
        <v>150</v>
      </c>
      <c r="B26" s="48" t="s">
        <v>151</v>
      </c>
    </row>
    <row r="27" customFormat="false" ht="60" hidden="false" customHeight="true" outlineLevel="0" collapsed="false">
      <c r="A27" s="42" t="s">
        <v>152</v>
      </c>
      <c r="B27" s="42"/>
      <c r="C27" s="42"/>
    </row>
    <row r="28" customFormat="false" ht="24" hidden="false" customHeight="true" outlineLevel="0" collapsed="false">
      <c r="A28" s="43" t="s">
        <v>153</v>
      </c>
      <c r="B28" s="44" t="s">
        <v>154</v>
      </c>
      <c r="C28" s="45"/>
    </row>
    <row r="29" customFormat="false" ht="21.75" hidden="false" customHeight="true" outlineLevel="0" collapsed="false">
      <c r="A29" s="49"/>
      <c r="B29" s="49"/>
      <c r="C29" s="49"/>
    </row>
    <row r="30" customFormat="false" ht="45" hidden="false" customHeight="true" outlineLevel="0" collapsed="false">
      <c r="A30" s="50" t="s">
        <v>155</v>
      </c>
    </row>
    <row r="31" customFormat="false" ht="45" hidden="false" customHeight="true" outlineLevel="0" collapsed="false">
      <c r="A31" s="43" t="s">
        <v>156</v>
      </c>
      <c r="B31" s="44" t="s">
        <v>157</v>
      </c>
      <c r="C31" s="45"/>
    </row>
    <row r="32" customFormat="false" ht="45" hidden="false" customHeight="true" outlineLevel="0" collapsed="false">
      <c r="A32" s="43" t="s">
        <v>158</v>
      </c>
      <c r="B32" s="44" t="s">
        <v>159</v>
      </c>
      <c r="C32" s="45"/>
    </row>
    <row r="33" customFormat="false" ht="15" hidden="false" customHeight="true" outlineLevel="0" collapsed="false">
      <c r="A33" s="43" t="s">
        <v>160</v>
      </c>
      <c r="B33" s="44" t="s">
        <v>161</v>
      </c>
      <c r="C33" s="45"/>
    </row>
    <row r="34" customFormat="false" ht="15" hidden="false" customHeight="true" outlineLevel="0" collapsed="false">
      <c r="A34" s="6"/>
      <c r="B34" s="6"/>
      <c r="C34" s="6"/>
    </row>
    <row r="35" customFormat="false" ht="15" hidden="false" customHeight="true" outlineLevel="0" collapsed="false">
      <c r="A35" s="6"/>
      <c r="B35" s="6"/>
      <c r="C35" s="6"/>
    </row>
    <row r="36" customFormat="false" ht="15" hidden="false" customHeight="true" outlineLevel="0" collapsed="false">
      <c r="A36" s="6"/>
      <c r="B36" s="6"/>
      <c r="C36" s="6"/>
    </row>
    <row r="37" customFormat="false" ht="15" hidden="false" customHeight="true" outlineLevel="0" collapsed="false">
      <c r="A37" s="6"/>
      <c r="B37" s="6"/>
      <c r="C37" s="6"/>
    </row>
    <row r="38" customFormat="false" ht="15" hidden="false" customHeight="true" outlineLevel="0" collapsed="false">
      <c r="A38" s="6"/>
      <c r="B38" s="6"/>
      <c r="C38" s="6"/>
    </row>
    <row r="39" customFormat="false" ht="15" hidden="false" customHeight="true" outlineLevel="0" collapsed="false">
      <c r="A39" s="6"/>
      <c r="B39" s="6"/>
      <c r="C39" s="6"/>
    </row>
    <row r="40" customFormat="false" ht="15" hidden="false" customHeight="true" outlineLevel="0" collapsed="false">
      <c r="A40" s="6"/>
      <c r="B40" s="6"/>
      <c r="C40" s="6"/>
    </row>
    <row r="41" customFormat="false" ht="15" hidden="false" customHeight="true" outlineLevel="0" collapsed="false">
      <c r="A41" s="6"/>
      <c r="B41" s="6"/>
      <c r="C41" s="6"/>
    </row>
    <row r="42" customFormat="false" ht="15" hidden="false" customHeight="true" outlineLevel="0" collapsed="false">
      <c r="A42" s="6"/>
      <c r="B42" s="6"/>
      <c r="C42" s="6"/>
    </row>
    <row r="43" customFormat="false" ht="15" hidden="false" customHeight="true" outlineLevel="0" collapsed="false">
      <c r="A43" s="6"/>
      <c r="B43" s="6"/>
      <c r="C43" s="6"/>
    </row>
    <row r="44" customFormat="false" ht="15" hidden="false" customHeight="true" outlineLevel="0" collapsed="false">
      <c r="A44" s="6"/>
      <c r="B44" s="6"/>
      <c r="C44" s="6"/>
    </row>
    <row r="45" customFormat="false" ht="15" hidden="false" customHeight="true" outlineLevel="0" collapsed="false">
      <c r="A45" s="6"/>
      <c r="B45" s="6"/>
      <c r="C45" s="6"/>
    </row>
    <row r="46" customFormat="false" ht="15" hidden="false" customHeight="true" outlineLevel="0" collapsed="false">
      <c r="A46" s="6"/>
      <c r="B46" s="6"/>
      <c r="C46" s="6"/>
    </row>
    <row r="47" customFormat="false" ht="15" hidden="false" customHeight="true" outlineLevel="0" collapsed="false">
      <c r="A47" s="6"/>
      <c r="B47" s="6"/>
      <c r="C47" s="6"/>
    </row>
    <row r="48" customFormat="false" ht="15" hidden="false" customHeight="true" outlineLevel="0" collapsed="false">
      <c r="A48" s="6"/>
      <c r="B48" s="6"/>
      <c r="C48" s="6"/>
    </row>
    <row r="49" customFormat="false" ht="15" hidden="false" customHeight="true" outlineLevel="0" collapsed="false">
      <c r="A49" s="6"/>
      <c r="B49" s="6"/>
      <c r="C49" s="6"/>
    </row>
    <row r="50" customFormat="false" ht="15" hidden="false" customHeight="true" outlineLevel="0" collapsed="false">
      <c r="A50" s="6"/>
      <c r="B50" s="6"/>
      <c r="C50" s="6"/>
    </row>
    <row r="51" customFormat="false" ht="15" hidden="false" customHeight="true" outlineLevel="0" collapsed="false">
      <c r="A51" s="6"/>
      <c r="B51" s="6"/>
      <c r="C51" s="6"/>
    </row>
    <row r="52" customFormat="false" ht="15" hidden="false" customHeight="true" outlineLevel="0" collapsed="false">
      <c r="A52" s="6"/>
      <c r="B52" s="6"/>
      <c r="C52" s="6"/>
    </row>
    <row r="53" customFormat="false" ht="15" hidden="false" customHeight="true" outlineLevel="0" collapsed="false">
      <c r="A53" s="6"/>
      <c r="B53" s="6"/>
      <c r="C53" s="6"/>
    </row>
    <row r="54" customFormat="false" ht="15" hidden="false" customHeight="true" outlineLevel="0" collapsed="false">
      <c r="A54" s="6"/>
      <c r="B54" s="6"/>
      <c r="C54" s="6"/>
    </row>
    <row r="55" customFormat="false" ht="15" hidden="false" customHeight="true" outlineLevel="0" collapsed="false">
      <c r="A55" s="6"/>
      <c r="B55" s="6"/>
      <c r="C55" s="6"/>
    </row>
    <row r="56" customFormat="false" ht="15" hidden="false" customHeight="true" outlineLevel="0" collapsed="false">
      <c r="A56" s="6"/>
      <c r="B56" s="6"/>
      <c r="C56" s="6"/>
    </row>
    <row r="57" customFormat="false" ht="15" hidden="false" customHeight="true" outlineLevel="0" collapsed="false">
      <c r="A57" s="6"/>
      <c r="B57" s="6"/>
      <c r="C57" s="6"/>
    </row>
    <row r="58" customFormat="false" ht="15" hidden="false" customHeight="true" outlineLevel="0" collapsed="false">
      <c r="A58" s="6"/>
      <c r="B58" s="6"/>
      <c r="C58" s="6"/>
    </row>
    <row r="59" customFormat="false" ht="15" hidden="false" customHeight="true" outlineLevel="0" collapsed="false">
      <c r="A59" s="6"/>
      <c r="B59" s="6"/>
      <c r="C59" s="6"/>
    </row>
    <row r="60" customFormat="false" ht="15" hidden="false" customHeight="true" outlineLevel="0" collapsed="false">
      <c r="A60" s="6"/>
      <c r="B60" s="6"/>
      <c r="C60" s="6"/>
    </row>
    <row r="61" customFormat="false" ht="12.75" hidden="false" customHeight="true" outlineLevel="0" collapsed="false">
      <c r="A61" s="6"/>
      <c r="B61" s="6"/>
      <c r="C61" s="6"/>
    </row>
  </sheetData>
  <sheetProtection sheet="true" password="91db" formatCells="false" formatColumns="false" formatRows="false" sort="false" autoFilter="false"/>
  <mergeCells count="8">
    <mergeCell ref="A1:B2"/>
    <mergeCell ref="A3:C3"/>
    <mergeCell ref="A5:C5"/>
    <mergeCell ref="A10:C10"/>
    <mergeCell ref="A16:C16"/>
    <mergeCell ref="A22:C22"/>
    <mergeCell ref="A27:C27"/>
    <mergeCell ref="A29:C29"/>
  </mergeCells>
  <hyperlinks>
    <hyperlink ref="C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72"/>
  </cols>
  <sheetData>
    <row r="1" customFormat="false" ht="24" hidden="false" customHeight="true" outlineLevel="0" collapsed="false">
      <c r="A1" s="52" t="s">
        <v>0</v>
      </c>
      <c r="B1" s="52"/>
      <c r="C1" s="6"/>
    </row>
    <row r="2" customFormat="false" ht="24" hidden="false" customHeight="true" outlineLevel="0" collapsed="false">
      <c r="A2" s="52"/>
      <c r="B2" s="52"/>
      <c r="C2" s="6"/>
    </row>
    <row r="3" customFormat="false" ht="30" hidden="false" customHeight="true" outlineLevel="0" collapsed="false">
      <c r="A3" s="6"/>
      <c r="B3" s="6"/>
      <c r="C3" s="6"/>
    </row>
    <row r="4" customFormat="false" ht="21.75" hidden="false" customHeight="true" outlineLevel="0" collapsed="false">
      <c r="A4" s="504" t="s">
        <v>1747</v>
      </c>
      <c r="B4" s="505" t="s">
        <v>1748</v>
      </c>
      <c r="C4" s="6"/>
    </row>
    <row r="5" customFormat="false" ht="6" hidden="false" customHeight="true" outlineLevel="0" collapsed="false">
      <c r="A5" s="6"/>
      <c r="B5" s="6"/>
      <c r="C5" s="6"/>
    </row>
    <row r="6" customFormat="false" ht="21.75" hidden="false" customHeight="true" outlineLevel="0" collapsed="false">
      <c r="A6" s="504" t="s">
        <v>1749</v>
      </c>
      <c r="B6" s="505" t="s">
        <v>1750</v>
      </c>
      <c r="C6" s="6"/>
    </row>
    <row r="7" customFormat="false" ht="6" hidden="false" customHeight="true" outlineLevel="0" collapsed="false">
      <c r="A7" s="6"/>
      <c r="B7" s="6"/>
      <c r="C7" s="6"/>
    </row>
    <row r="8" customFormat="false" ht="21.75" hidden="false" customHeight="true" outlineLevel="0" collapsed="false">
      <c r="A8" s="504" t="s">
        <v>1751</v>
      </c>
      <c r="B8" s="505" t="s">
        <v>1752</v>
      </c>
      <c r="C8" s="6"/>
    </row>
    <row r="9" customFormat="false" ht="6" hidden="false" customHeight="true" outlineLevel="0" collapsed="false">
      <c r="A9" s="6"/>
      <c r="B9" s="6"/>
      <c r="C9" s="6"/>
    </row>
    <row r="10" customFormat="false" ht="21.75" hidden="false" customHeight="true" outlineLevel="0" collapsed="false">
      <c r="A10" s="504" t="s">
        <v>1753</v>
      </c>
      <c r="B10" s="505" t="s">
        <v>1754</v>
      </c>
      <c r="C10" s="6"/>
    </row>
    <row r="11" customFormat="false" ht="6" hidden="false" customHeight="true" outlineLevel="0" collapsed="false">
      <c r="A11" s="6"/>
      <c r="B11" s="6"/>
      <c r="C11" s="6"/>
    </row>
    <row r="12" customFormat="false" ht="21.75" hidden="false" customHeight="true" outlineLevel="0" collapsed="false">
      <c r="A12" s="504" t="s">
        <v>1755</v>
      </c>
      <c r="B12" s="505" t="s">
        <v>1756</v>
      </c>
      <c r="C12" s="6"/>
    </row>
    <row r="13" customFormat="false" ht="6" hidden="false" customHeight="true" outlineLevel="0" collapsed="false">
      <c r="A13" s="6"/>
      <c r="B13" s="6"/>
      <c r="C13" s="6"/>
    </row>
    <row r="14" customFormat="false" ht="21.75" hidden="false" customHeight="true" outlineLevel="0" collapsed="false">
      <c r="A14" s="504" t="s">
        <v>1757</v>
      </c>
      <c r="B14" s="505" t="s">
        <v>1758</v>
      </c>
      <c r="C14" s="6"/>
    </row>
    <row r="15" customFormat="false" ht="6" hidden="false" customHeight="true" outlineLevel="0" collapsed="false">
      <c r="A15" s="6"/>
      <c r="B15" s="6"/>
      <c r="C15" s="6"/>
    </row>
    <row r="16" customFormat="false" ht="43.5" hidden="false" customHeight="true" outlineLevel="0" collapsed="false">
      <c r="A16" s="504" t="s">
        <v>1759</v>
      </c>
      <c r="B16" s="505" t="s">
        <v>1760</v>
      </c>
      <c r="C16" s="6"/>
    </row>
    <row r="17" customFormat="false" ht="6" hidden="false" customHeight="true" outlineLevel="0" collapsed="false">
      <c r="A17" s="6"/>
      <c r="B17" s="6"/>
      <c r="C17" s="6"/>
    </row>
    <row r="18" customFormat="false" ht="43.5" hidden="false" customHeight="true" outlineLevel="0" collapsed="false">
      <c r="A18" s="504" t="s">
        <v>1761</v>
      </c>
      <c r="B18" s="505" t="s">
        <v>1762</v>
      </c>
      <c r="C18" s="6"/>
    </row>
    <row r="19" customFormat="false" ht="6" hidden="false" customHeight="true" outlineLevel="0" collapsed="false">
      <c r="A19" s="6"/>
      <c r="B19" s="6"/>
      <c r="C19" s="6"/>
    </row>
    <row r="20" customFormat="false" ht="43.5" hidden="false" customHeight="true" outlineLevel="0" collapsed="false">
      <c r="A20" s="504" t="s">
        <v>1763</v>
      </c>
      <c r="B20" s="505" t="s">
        <v>1764</v>
      </c>
      <c r="C20" s="6"/>
    </row>
    <row r="21" customFormat="false" ht="6" hidden="false" customHeight="true" outlineLevel="0" collapsed="false">
      <c r="A21" s="6"/>
      <c r="B21" s="6"/>
      <c r="C21" s="6"/>
    </row>
    <row r="22" customFormat="false" ht="60" hidden="false" customHeight="true" outlineLevel="0" collapsed="false">
      <c r="A22" s="504" t="s">
        <v>1765</v>
      </c>
      <c r="B22" s="505" t="s">
        <v>1766</v>
      </c>
      <c r="C22" s="6"/>
    </row>
    <row r="23" customFormat="false" ht="6" hidden="false" customHeight="true" outlineLevel="0" collapsed="false">
      <c r="A23" s="6"/>
      <c r="B23" s="6"/>
      <c r="C23" s="6"/>
    </row>
    <row r="24" customFormat="false" ht="15" hidden="false" customHeight="true" outlineLevel="0" collapsed="false">
      <c r="A24" s="6"/>
      <c r="B24" s="6"/>
      <c r="C24" s="6"/>
    </row>
    <row r="25" customFormat="false" ht="15" hidden="false" customHeight="true" outlineLevel="0" collapsed="false">
      <c r="A25" s="6"/>
      <c r="B25" s="6"/>
      <c r="C25" s="6"/>
    </row>
    <row r="26" customFormat="false" ht="15" hidden="false" customHeight="true" outlineLevel="0" collapsed="false">
      <c r="A26" s="6"/>
      <c r="B26" s="6"/>
      <c r="C26" s="6"/>
    </row>
    <row r="27" customFormat="false" ht="15" hidden="false" customHeight="true" outlineLevel="0" collapsed="false">
      <c r="A27" s="6"/>
      <c r="B27" s="6"/>
      <c r="C27" s="6"/>
    </row>
    <row r="28" customFormat="false" ht="15" hidden="false" customHeight="true" outlineLevel="0" collapsed="false">
      <c r="A28" s="6"/>
      <c r="B28" s="6"/>
      <c r="C28" s="6"/>
    </row>
    <row r="29" customFormat="false" ht="15" hidden="false" customHeight="true" outlineLevel="0" collapsed="false">
      <c r="A29" s="6"/>
      <c r="B29" s="6"/>
      <c r="C29" s="6"/>
    </row>
    <row r="30" customFormat="false" ht="15" hidden="false" customHeight="true" outlineLevel="0" collapsed="false">
      <c r="A30" s="6"/>
      <c r="B30" s="6"/>
      <c r="C30" s="6"/>
    </row>
  </sheetData>
  <sheetProtection sheet="true" password="91db" formatCells="false" formatColumns="false" formatRows="false" sort="false" autoFilter="false"/>
  <mergeCells count="1">
    <mergeCell ref="A1:B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55"/>
    <col collapsed="false" customWidth="true" hidden="false" outlineLevel="0" max="3" min="3" style="1" width="26"/>
  </cols>
  <sheetData>
    <row r="1" customFormat="false" ht="25.5" hidden="false" customHeight="true" outlineLevel="0" collapsed="false">
      <c r="A1" s="368" t="s">
        <v>1767</v>
      </c>
      <c r="B1" s="368"/>
      <c r="C1" s="368"/>
    </row>
    <row r="2" customFormat="false" ht="27.75" hidden="false" customHeight="true" outlineLevel="0" collapsed="false">
      <c r="A2" s="506" t="s">
        <v>1768</v>
      </c>
      <c r="B2" s="506"/>
      <c r="C2" s="506"/>
    </row>
    <row r="4" customFormat="false" ht="21.75" hidden="false" customHeight="true" outlineLevel="0" collapsed="false">
      <c r="A4" s="507" t="s">
        <v>1769</v>
      </c>
      <c r="B4" s="507"/>
      <c r="C4" s="507"/>
    </row>
    <row r="5" customFormat="false" ht="43.5" hidden="false" customHeight="true" outlineLevel="0" collapsed="false">
      <c r="A5" s="508" t="s">
        <v>1715</v>
      </c>
      <c r="B5" s="509" t="s">
        <v>1770</v>
      </c>
      <c r="C5" s="510" t="s">
        <v>1771</v>
      </c>
    </row>
    <row r="6" customFormat="false" ht="43.5" hidden="false" customHeight="true" outlineLevel="0" collapsed="false">
      <c r="A6" s="508" t="s">
        <v>1717</v>
      </c>
      <c r="B6" s="509" t="s">
        <v>1772</v>
      </c>
      <c r="C6" s="510" t="s">
        <v>1773</v>
      </c>
    </row>
    <row r="7" customFormat="false" ht="43.5" hidden="false" customHeight="true" outlineLevel="0" collapsed="false">
      <c r="A7" s="508" t="s">
        <v>1719</v>
      </c>
      <c r="B7" s="509" t="s">
        <v>1774</v>
      </c>
      <c r="C7" s="510"/>
    </row>
    <row r="9" customFormat="false" ht="21.75" hidden="false" customHeight="true" outlineLevel="0" collapsed="false">
      <c r="A9" s="507" t="s">
        <v>1775</v>
      </c>
      <c r="B9" s="507"/>
      <c r="C9" s="507"/>
    </row>
    <row r="10" customFormat="false" ht="43.5" hidden="false" customHeight="true" outlineLevel="0" collapsed="false">
      <c r="A10" s="508" t="s">
        <v>1776</v>
      </c>
      <c r="B10" s="509" t="s">
        <v>1777</v>
      </c>
      <c r="C10" s="510" t="s">
        <v>1778</v>
      </c>
    </row>
    <row r="11" customFormat="false" ht="43.5" hidden="false" customHeight="true" outlineLevel="0" collapsed="false">
      <c r="A11" s="508" t="s">
        <v>1779</v>
      </c>
      <c r="B11" s="509" t="s">
        <v>1780</v>
      </c>
      <c r="C11" s="510" t="s">
        <v>1778</v>
      </c>
    </row>
    <row r="12" customFormat="false" ht="43.5" hidden="false" customHeight="true" outlineLevel="0" collapsed="false">
      <c r="A12" s="508" t="s">
        <v>1781</v>
      </c>
      <c r="B12" s="509" t="s">
        <v>1782</v>
      </c>
      <c r="C12" s="510" t="s">
        <v>1778</v>
      </c>
    </row>
    <row r="13" customFormat="false" ht="43.5" hidden="false" customHeight="true" outlineLevel="0" collapsed="false">
      <c r="A13" s="508" t="s">
        <v>1783</v>
      </c>
      <c r="B13" s="509" t="s">
        <v>1784</v>
      </c>
      <c r="C13" s="510" t="s">
        <v>1778</v>
      </c>
    </row>
    <row r="14" customFormat="false" ht="43.5" hidden="false" customHeight="true" outlineLevel="0" collapsed="false">
      <c r="A14" s="508" t="s">
        <v>1785</v>
      </c>
      <c r="B14" s="509" t="s">
        <v>1786</v>
      </c>
      <c r="C14" s="510" t="s">
        <v>1778</v>
      </c>
    </row>
    <row r="15" customFormat="false" ht="43.5" hidden="false" customHeight="true" outlineLevel="0" collapsed="false">
      <c r="A15" s="508" t="s">
        <v>1787</v>
      </c>
      <c r="B15" s="509" t="s">
        <v>1788</v>
      </c>
      <c r="C15" s="510" t="s">
        <v>1778</v>
      </c>
    </row>
    <row r="17" customFormat="false" ht="21.75" hidden="false" customHeight="true" outlineLevel="0" collapsed="false">
      <c r="A17" s="507" t="s">
        <v>1789</v>
      </c>
      <c r="B17" s="507"/>
      <c r="C17" s="507"/>
    </row>
    <row r="18" customFormat="false" ht="43.5" hidden="false" customHeight="true" outlineLevel="0" collapsed="false">
      <c r="A18" s="508" t="s">
        <v>1790</v>
      </c>
      <c r="B18" s="509" t="s">
        <v>1791</v>
      </c>
      <c r="C18" s="510"/>
    </row>
    <row r="19" customFormat="false" ht="43.5" hidden="false" customHeight="true" outlineLevel="0" collapsed="false">
      <c r="A19" s="508" t="s">
        <v>1792</v>
      </c>
      <c r="B19" s="509" t="s">
        <v>1793</v>
      </c>
      <c r="C19" s="510"/>
    </row>
  </sheetData>
  <sheetProtection sheet="true" password="91db" formatCells="false" formatColumns="false" formatRows="false" sort="false" autoFilter="false"/>
  <mergeCells count="5">
    <mergeCell ref="A1:C1"/>
    <mergeCell ref="A2:C2"/>
    <mergeCell ref="A4:C4"/>
    <mergeCell ref="A9:C9"/>
    <mergeCell ref="A17:C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22"/>
    <col collapsed="false" customWidth="true" hidden="false" outlineLevel="0" max="4" min="3" style="1" width="4"/>
  </cols>
  <sheetData>
    <row r="1" customFormat="false" ht="30" hidden="false" customHeight="true" outlineLevel="0" collapsed="false">
      <c r="A1" s="511" t="s">
        <v>1794</v>
      </c>
      <c r="B1" s="511"/>
      <c r="C1" s="511"/>
      <c r="D1" s="511"/>
    </row>
    <row r="2" customFormat="false" ht="27.75" hidden="false" customHeight="true" outlineLevel="0" collapsed="false">
      <c r="A2" s="512" t="s">
        <v>1795</v>
      </c>
      <c r="B2" s="512"/>
      <c r="C2" s="512"/>
      <c r="D2" s="512"/>
    </row>
    <row r="3" customFormat="false" ht="12.75" hidden="false" customHeight="true" outlineLevel="0" collapsed="false">
      <c r="A3" s="513"/>
    </row>
    <row r="4" customFormat="false" ht="24" hidden="false" customHeight="true" outlineLevel="0" collapsed="false">
      <c r="A4" s="514" t="s">
        <v>1796</v>
      </c>
      <c r="B4" s="515" t="s">
        <v>1797</v>
      </c>
    </row>
    <row r="5" customFormat="false" ht="12.75" hidden="false" customHeight="true" outlineLevel="0" collapsed="false">
      <c r="A5" s="513"/>
    </row>
    <row r="6" customFormat="false" ht="12.75" hidden="false" customHeight="true" outlineLevel="0" collapsed="false">
      <c r="A6" s="513" t="s">
        <v>1022</v>
      </c>
      <c r="B6" s="516"/>
    </row>
    <row r="7" customFormat="false" ht="12.75" hidden="false" customHeight="true" outlineLevel="0" collapsed="false">
      <c r="A7" s="513" t="s">
        <v>1024</v>
      </c>
      <c r="B7" s="516"/>
    </row>
    <row r="8" customFormat="false" ht="23.25" hidden="false" customHeight="true" outlineLevel="0" collapsed="false">
      <c r="A8" s="513" t="s">
        <v>1026</v>
      </c>
      <c r="B8" s="516"/>
    </row>
    <row r="9" customFormat="false" ht="23.25" hidden="false" customHeight="true" outlineLevel="0" collapsed="false">
      <c r="A9" s="513" t="s">
        <v>1028</v>
      </c>
      <c r="B9" s="516"/>
    </row>
    <row r="10" customFormat="false" ht="12.75" hidden="false" customHeight="true" outlineLevel="0" collapsed="false">
      <c r="A10" s="513" t="s">
        <v>1030</v>
      </c>
      <c r="B10" s="516"/>
    </row>
    <row r="11" customFormat="false" ht="12.75" hidden="false" customHeight="true" outlineLevel="0" collapsed="false">
      <c r="A11" s="513" t="s">
        <v>1032</v>
      </c>
      <c r="B11" s="516"/>
    </row>
    <row r="12" customFormat="false" ht="12.75" hidden="false" customHeight="true" outlineLevel="0" collapsed="false">
      <c r="A12" s="513" t="s">
        <v>1034</v>
      </c>
      <c r="B12" s="516"/>
    </row>
    <row r="13" customFormat="false" ht="12.75" hidden="false" customHeight="true" outlineLevel="0" collapsed="false">
      <c r="A13" s="513" t="s">
        <v>1316</v>
      </c>
      <c r="B13" s="516"/>
    </row>
    <row r="14" customFormat="false" ht="12.75" hidden="false" customHeight="true" outlineLevel="0" collapsed="false">
      <c r="A14" s="513" t="s">
        <v>1798</v>
      </c>
      <c r="B14" s="516"/>
    </row>
    <row r="15" customFormat="false" ht="12.75" hidden="false" customHeight="true" outlineLevel="0" collapsed="false">
      <c r="A15" s="513" t="s">
        <v>86</v>
      </c>
      <c r="B15" s="516"/>
    </row>
    <row r="16" customFormat="false" ht="12.75" hidden="false" customHeight="true" outlineLevel="0" collapsed="false">
      <c r="A16" s="513" t="s">
        <v>1037</v>
      </c>
      <c r="B16" s="516"/>
    </row>
    <row r="17" customFormat="false" ht="12.75" hidden="false" customHeight="true" outlineLevel="0" collapsed="false">
      <c r="A17" s="513" t="s">
        <v>1039</v>
      </c>
      <c r="B17" s="516"/>
    </row>
    <row r="18" customFormat="false" ht="12.75" hidden="false" customHeight="true" outlineLevel="0" collapsed="false">
      <c r="A18" s="513" t="s">
        <v>1799</v>
      </c>
      <c r="B18" s="516"/>
    </row>
    <row r="19" customFormat="false" ht="12.75" hidden="false" customHeight="true" outlineLevel="0" collapsed="false">
      <c r="A19" s="513" t="s">
        <v>1800</v>
      </c>
      <c r="B19" s="516"/>
    </row>
    <row r="20" customFormat="false" ht="12.75" hidden="false" customHeight="true" outlineLevel="0" collapsed="false">
      <c r="A20" s="513" t="s">
        <v>1044</v>
      </c>
      <c r="B20" s="516"/>
    </row>
    <row r="21" customFormat="false" ht="12.75" hidden="false" customHeight="true" outlineLevel="0" collapsed="false">
      <c r="A21" s="513" t="s">
        <v>1045</v>
      </c>
      <c r="B21" s="516"/>
    </row>
    <row r="22" customFormat="false" ht="12.75" hidden="false" customHeight="true" outlineLevel="0" collapsed="false">
      <c r="A22" s="513" t="s">
        <v>1046</v>
      </c>
      <c r="B22" s="516"/>
    </row>
    <row r="23" customFormat="false" ht="12.75" hidden="false" customHeight="true" outlineLevel="0" collapsed="false">
      <c r="A23" s="513" t="s">
        <v>1048</v>
      </c>
      <c r="B23" s="516"/>
    </row>
    <row r="24" customFormat="false" ht="12.75" hidden="false" customHeight="true" outlineLevel="0" collapsed="false">
      <c r="A24" s="513"/>
      <c r="B24" s="199"/>
    </row>
    <row r="25" customFormat="false" ht="12.75" hidden="false" customHeight="true" outlineLevel="0" collapsed="false">
      <c r="A25" s="513"/>
      <c r="B25" s="199"/>
    </row>
    <row r="26" customFormat="false" ht="24" hidden="false" customHeight="true" outlineLevel="0" collapsed="false">
      <c r="A26" s="514" t="s">
        <v>1801</v>
      </c>
      <c r="B26" s="517" t="s">
        <v>1797</v>
      </c>
    </row>
    <row r="27" customFormat="false" ht="12.75" hidden="false" customHeight="true" outlineLevel="0" collapsed="false">
      <c r="A27" s="513"/>
      <c r="B27" s="199"/>
    </row>
    <row r="28" customFormat="false" ht="12.75" hidden="false" customHeight="true" outlineLevel="0" collapsed="false">
      <c r="A28" s="513" t="s">
        <v>1059</v>
      </c>
      <c r="B28" s="516"/>
    </row>
    <row r="29" customFormat="false" ht="12.75" hidden="false" customHeight="true" outlineLevel="0" collapsed="false">
      <c r="A29" s="513" t="s">
        <v>1060</v>
      </c>
      <c r="B29" s="516"/>
    </row>
    <row r="30" customFormat="false" ht="12.75" hidden="false" customHeight="true" outlineLevel="0" collapsed="false">
      <c r="A30" s="513" t="s">
        <v>1133</v>
      </c>
      <c r="B30" s="516"/>
    </row>
    <row r="31" customFormat="false" ht="12.75" hidden="false" customHeight="true" outlineLevel="0" collapsed="false">
      <c r="A31" s="513" t="s">
        <v>1135</v>
      </c>
      <c r="B31" s="516"/>
    </row>
    <row r="32" customFormat="false" ht="12.75" hidden="false" customHeight="true" outlineLevel="0" collapsed="false">
      <c r="A32" s="513" t="s">
        <v>1802</v>
      </c>
      <c r="B32" s="516"/>
    </row>
    <row r="33" customFormat="false" ht="12.75" hidden="false" customHeight="true" outlineLevel="0" collapsed="false">
      <c r="A33" s="513" t="s">
        <v>1137</v>
      </c>
      <c r="B33" s="516"/>
    </row>
    <row r="34" customFormat="false" ht="12.75" hidden="false" customHeight="true" outlineLevel="0" collapsed="false">
      <c r="A34" s="513" t="s">
        <v>1803</v>
      </c>
      <c r="B34" s="516"/>
    </row>
    <row r="35" customFormat="false" ht="12.75" hidden="false" customHeight="true" outlineLevel="0" collapsed="false">
      <c r="A35" s="513" t="s">
        <v>1066</v>
      </c>
      <c r="B35" s="516"/>
    </row>
    <row r="36" customFormat="false" ht="12.75" hidden="false" customHeight="true" outlineLevel="0" collapsed="false">
      <c r="A36" s="513" t="s">
        <v>1804</v>
      </c>
      <c r="B36" s="516"/>
    </row>
    <row r="37" customFormat="false" ht="12.75" hidden="false" customHeight="true" outlineLevel="0" collapsed="false">
      <c r="A37" s="513" t="s">
        <v>1805</v>
      </c>
      <c r="B37" s="516"/>
    </row>
    <row r="38" customFormat="false" ht="12.75" hidden="false" customHeight="true" outlineLevel="0" collapsed="false">
      <c r="A38" s="513" t="s">
        <v>304</v>
      </c>
      <c r="B38" s="516"/>
    </row>
    <row r="39" customFormat="false" ht="12.75" hidden="false" customHeight="true" outlineLevel="0" collapsed="false">
      <c r="A39" s="513" t="s">
        <v>306</v>
      </c>
      <c r="B39" s="516"/>
    </row>
    <row r="40" customFormat="false" ht="12.75" hidden="false" customHeight="true" outlineLevel="0" collapsed="false">
      <c r="A40" s="513" t="s">
        <v>1806</v>
      </c>
      <c r="B40" s="516"/>
    </row>
    <row r="41" customFormat="false" ht="12.75" hidden="false" customHeight="true" outlineLevel="0" collapsed="false">
      <c r="A41" s="513" t="s">
        <v>1807</v>
      </c>
      <c r="B41" s="516"/>
    </row>
    <row r="42" customFormat="false" ht="12.75" hidden="false" customHeight="true" outlineLevel="0" collapsed="false">
      <c r="A42" s="513" t="s">
        <v>1073</v>
      </c>
      <c r="B42" s="516"/>
    </row>
    <row r="43" customFormat="false" ht="12.75" hidden="false" customHeight="true" outlineLevel="0" collapsed="false">
      <c r="A43" s="513" t="s">
        <v>1074</v>
      </c>
      <c r="B43" s="516"/>
    </row>
    <row r="44" customFormat="false" ht="12.75" hidden="false" customHeight="true" outlineLevel="0" collapsed="false">
      <c r="A44" s="513" t="s">
        <v>1075</v>
      </c>
      <c r="B44" s="516"/>
    </row>
    <row r="45" customFormat="false" ht="12.75" hidden="false" customHeight="true" outlineLevel="0" collapsed="false">
      <c r="A45" s="513" t="s">
        <v>1076</v>
      </c>
      <c r="B45" s="516"/>
    </row>
    <row r="46" customFormat="false" ht="12.75" hidden="false" customHeight="true" outlineLevel="0" collapsed="false">
      <c r="A46" s="513" t="s">
        <v>1125</v>
      </c>
      <c r="B46" s="516"/>
    </row>
    <row r="47" customFormat="false" ht="12.75" hidden="false" customHeight="true" outlineLevel="0" collapsed="false">
      <c r="A47" s="513" t="s">
        <v>1126</v>
      </c>
      <c r="B47" s="516"/>
    </row>
    <row r="48" customFormat="false" ht="12.75" hidden="false" customHeight="true" outlineLevel="0" collapsed="false">
      <c r="A48" s="513" t="s">
        <v>1127</v>
      </c>
      <c r="B48" s="516"/>
    </row>
    <row r="49" customFormat="false" ht="12.75" hidden="false" customHeight="true" outlineLevel="0" collapsed="false">
      <c r="A49" s="513" t="s">
        <v>260</v>
      </c>
      <c r="B49" s="516"/>
    </row>
    <row r="50" customFormat="false" ht="12.75" hidden="false" customHeight="true" outlineLevel="0" collapsed="false">
      <c r="A50" s="513" t="s">
        <v>1808</v>
      </c>
      <c r="B50" s="516"/>
    </row>
    <row r="51" customFormat="false" ht="12.75" hidden="false" customHeight="true" outlineLevel="0" collapsed="false">
      <c r="A51" s="513" t="s">
        <v>1809</v>
      </c>
      <c r="B51" s="516"/>
    </row>
    <row r="52" customFormat="false" ht="12.75" hidden="false" customHeight="true" outlineLevel="0" collapsed="false">
      <c r="A52" s="513" t="s">
        <v>1083</v>
      </c>
      <c r="B52" s="516"/>
    </row>
    <row r="53" customFormat="false" ht="12.75" hidden="false" customHeight="true" outlineLevel="0" collapsed="false">
      <c r="A53" s="513" t="s">
        <v>1810</v>
      </c>
      <c r="B53" s="516"/>
    </row>
    <row r="54" customFormat="false" ht="12.75" hidden="false" customHeight="true" outlineLevel="0" collapsed="false">
      <c r="A54" s="513" t="s">
        <v>1811</v>
      </c>
      <c r="B54" s="516"/>
    </row>
    <row r="55" customFormat="false" ht="12.75" hidden="false" customHeight="true" outlineLevel="0" collapsed="false">
      <c r="A55" s="513" t="s">
        <v>1812</v>
      </c>
      <c r="B55" s="516"/>
    </row>
    <row r="56" customFormat="false" ht="12.75" hidden="false" customHeight="true" outlineLevel="0" collapsed="false">
      <c r="A56" s="513" t="s">
        <v>1087</v>
      </c>
      <c r="B56" s="516"/>
    </row>
    <row r="57" customFormat="false" ht="12.75" hidden="false" customHeight="true" outlineLevel="0" collapsed="false">
      <c r="A57" s="513" t="s">
        <v>1088</v>
      </c>
      <c r="B57" s="516"/>
    </row>
    <row r="58" customFormat="false" ht="12.75" hidden="false" customHeight="true" outlineLevel="0" collapsed="false">
      <c r="A58" s="513"/>
      <c r="B58" s="516"/>
    </row>
    <row r="59" customFormat="false" ht="12.75" hidden="false" customHeight="true" outlineLevel="0" collapsed="false">
      <c r="A59" s="513" t="s">
        <v>1089</v>
      </c>
      <c r="B59" s="516"/>
    </row>
    <row r="60" customFormat="false" ht="12.75" hidden="false" customHeight="true" outlineLevel="0" collapsed="false">
      <c r="A60" s="513" t="s">
        <v>1090</v>
      </c>
      <c r="B60" s="516"/>
    </row>
    <row r="61" customFormat="false" ht="12.75" hidden="false" customHeight="true" outlineLevel="0" collapsed="false">
      <c r="A61" s="513" t="s">
        <v>1091</v>
      </c>
      <c r="B61" s="516"/>
    </row>
    <row r="62" customFormat="false" ht="12.75" hidden="false" customHeight="true" outlineLevel="0" collapsed="false">
      <c r="A62" s="513" t="s">
        <v>1092</v>
      </c>
      <c r="B62" s="516"/>
    </row>
    <row r="63" customFormat="false" ht="12.75" hidden="false" customHeight="true" outlineLevel="0" collapsed="false">
      <c r="A63" s="513" t="s">
        <v>1132</v>
      </c>
      <c r="B63" s="516"/>
    </row>
    <row r="64" customFormat="false" ht="12.75" hidden="false" customHeight="true" outlineLevel="0" collapsed="false">
      <c r="A64" s="513" t="s">
        <v>1134</v>
      </c>
      <c r="B64" s="516"/>
    </row>
    <row r="65" customFormat="false" ht="12.75" hidden="false" customHeight="true" outlineLevel="0" collapsed="false">
      <c r="A65" s="513" t="s">
        <v>1136</v>
      </c>
      <c r="B65" s="516"/>
    </row>
    <row r="66" customFormat="false" ht="12.75" hidden="false" customHeight="true" outlineLevel="0" collapsed="false">
      <c r="A66" s="513" t="s">
        <v>1813</v>
      </c>
      <c r="B66" s="516"/>
    </row>
    <row r="67" customFormat="false" ht="12.75" hidden="false" customHeight="true" outlineLevel="0" collapsed="false">
      <c r="A67" s="513" t="s">
        <v>1097</v>
      </c>
      <c r="B67" s="516"/>
    </row>
    <row r="68" customFormat="false" ht="12.75" hidden="false" customHeight="true" outlineLevel="0" collapsed="false">
      <c r="A68" s="513" t="s">
        <v>1098</v>
      </c>
      <c r="B68" s="516"/>
    </row>
    <row r="69" customFormat="false" ht="12.75" hidden="false" customHeight="true" outlineLevel="0" collapsed="false">
      <c r="A69" s="513" t="s">
        <v>1099</v>
      </c>
      <c r="B69" s="516"/>
    </row>
    <row r="70" customFormat="false" ht="12.75" hidden="false" customHeight="true" outlineLevel="0" collapsed="false">
      <c r="A70" s="513" t="s">
        <v>1091</v>
      </c>
      <c r="B70" s="516"/>
    </row>
    <row r="71" customFormat="false" ht="12.75" hidden="false" customHeight="true" outlineLevel="0" collapsed="false">
      <c r="A71" s="513" t="s">
        <v>1100</v>
      </c>
      <c r="B71" s="516"/>
    </row>
    <row r="72" customFormat="false" ht="12.75" hidden="false" customHeight="true" outlineLevel="0" collapsed="false">
      <c r="A72" s="513" t="s">
        <v>1101</v>
      </c>
      <c r="B72" s="516"/>
    </row>
    <row r="73" customFormat="false" ht="12.75" hidden="false" customHeight="true" outlineLevel="0" collapsed="false">
      <c r="A73" s="513" t="s">
        <v>1102</v>
      </c>
      <c r="B73" s="516"/>
    </row>
    <row r="74" customFormat="false" ht="12.75" hidden="false" customHeight="true" outlineLevel="0" collapsed="false">
      <c r="A74" s="513" t="s">
        <v>1814</v>
      </c>
      <c r="B74" s="516"/>
    </row>
    <row r="75" customFormat="false" ht="12.75" hidden="false" customHeight="true" outlineLevel="0" collapsed="false">
      <c r="A75" s="513" t="s">
        <v>1104</v>
      </c>
      <c r="B75" s="516"/>
    </row>
    <row r="76" customFormat="false" ht="12.75" hidden="false" customHeight="true" outlineLevel="0" collapsed="false">
      <c r="A76" s="513" t="s">
        <v>1815</v>
      </c>
      <c r="B76" s="516"/>
    </row>
    <row r="77" customFormat="false" ht="12.75" hidden="false" customHeight="true" outlineLevel="0" collapsed="false">
      <c r="A77" s="513" t="s">
        <v>1106</v>
      </c>
      <c r="B77" s="516"/>
    </row>
    <row r="78" customFormat="false" ht="12.75" hidden="false" customHeight="true" outlineLevel="0" collapsed="false">
      <c r="A78" s="513" t="s">
        <v>1107</v>
      </c>
      <c r="B78" s="516"/>
    </row>
  </sheetData>
  <sheetProtection sheet="true" password="91db" formatCells="false" formatColumns="false" formatRows="false" sort="false" autoFilter="false"/>
  <mergeCells count="2">
    <mergeCell ref="A1:D1"/>
    <mergeCell ref="A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28"/>
    <col collapsed="false" customWidth="true" hidden="false" outlineLevel="0" max="3" min="3" style="1" width="15"/>
    <col collapsed="false" customWidth="true" hidden="false" outlineLevel="0" max="4" min="4" style="1" width="48"/>
  </cols>
  <sheetData>
    <row r="1" customFormat="false" ht="30" hidden="false" customHeight="true" outlineLevel="0" collapsed="false">
      <c r="A1" s="518" t="s">
        <v>1816</v>
      </c>
      <c r="B1" s="518"/>
      <c r="C1" s="518"/>
      <c r="D1" s="518"/>
    </row>
    <row r="2" customFormat="false" ht="33.75" hidden="false" customHeight="true" outlineLevel="0" collapsed="false">
      <c r="A2" s="519" t="s">
        <v>1817</v>
      </c>
      <c r="B2" s="519"/>
      <c r="C2" s="519"/>
      <c r="D2" s="519"/>
    </row>
    <row r="4" customFormat="false" ht="15" hidden="false" customHeight="true" outlineLevel="0" collapsed="false">
      <c r="A4" s="520" t="s">
        <v>46</v>
      </c>
      <c r="B4" s="520" t="s">
        <v>1818</v>
      </c>
      <c r="C4" s="520" t="s">
        <v>748</v>
      </c>
      <c r="D4" s="520" t="s">
        <v>1819</v>
      </c>
    </row>
    <row r="5" customFormat="false" ht="15" hidden="false" customHeight="true" outlineLevel="0" collapsed="false">
      <c r="A5" s="417" t="s">
        <v>1820</v>
      </c>
      <c r="B5" s="419" t="str">
        <f aca="false">DITARI!$D$3</f>
        <v>OK</v>
      </c>
      <c r="C5" s="419" t="str">
        <f aca="false">IF(B5="OK","PASS","FAIL")</f>
        <v>PASS</v>
      </c>
      <c r="D5" s="521" t="s">
        <v>50</v>
      </c>
    </row>
    <row r="6" customFormat="false" ht="15" hidden="false" customHeight="true" outlineLevel="0" collapsed="false">
      <c r="A6" s="421" t="s">
        <v>137</v>
      </c>
      <c r="B6" s="423" t="str">
        <f aca="false">BILANCI_PROVE!$M$2</f>
        <v>OK</v>
      </c>
      <c r="C6" s="423" t="str">
        <f aca="false">IF(B6="OK","PASS","FAIL")</f>
        <v>PASS</v>
      </c>
      <c r="D6" s="522" t="s">
        <v>1821</v>
      </c>
    </row>
    <row r="7" customFormat="false" ht="15" hidden="false" customHeight="true" outlineLevel="0" collapsed="false">
      <c r="A7" s="421" t="s">
        <v>1822</v>
      </c>
      <c r="B7" s="423" t="str">
        <f aca="false">IF(OR(B9="GATI — ZGJIDH PO",B9="POSTIM AUTOMATIK NË PROCES"),"PARA MBYLLJES",BILANCI_MIKRO_FINAL!$B$63)</f>
        <v>PARA MBYLLJES</v>
      </c>
      <c r="C7" s="423" t="str">
        <f aca="false">IF(OR(B7="BILANCI OK",B7="PARA MBYLLJES"),"PASS","FAIL")</f>
        <v>PASS</v>
      </c>
      <c r="D7" s="522" t="s">
        <v>1823</v>
      </c>
    </row>
    <row r="8" customFormat="false" ht="15" hidden="false" customHeight="true" outlineLevel="0" collapsed="false">
      <c r="A8" s="421" t="s">
        <v>1824</v>
      </c>
      <c r="B8" s="423" t="str">
        <f aca="false">VEPRIMET_RREGULLUESE!$C$168</f>
        <v>GATI</v>
      </c>
      <c r="C8" s="423" t="str">
        <f aca="false">IF(B8="GATI","PASS","FAIL")</f>
        <v>PASS</v>
      </c>
      <c r="D8" s="522" t="s">
        <v>1825</v>
      </c>
    </row>
    <row r="9" customFormat="false" ht="15" hidden="false" customHeight="true" outlineLevel="0" collapsed="false">
      <c r="A9" s="421" t="s">
        <v>1826</v>
      </c>
      <c r="B9" s="423" t="str">
        <f aca="false">MBYLLJA_6_7_AUTO!$B$13</f>
        <v>GATI — ZGJIDH PO</v>
      </c>
      <c r="C9" s="423" t="str">
        <f aca="false">IF(OR(B9="GATI — ZGJIDH PO",B9="POSTIM AUTOMATIK NË PROCES",B9="MBYLLJA E POSTUAR",B9="REZULTATI I TRANSFERUAR NË 108"),"PASS","FAIL")</f>
        <v>PASS</v>
      </c>
      <c r="D9" s="522" t="s">
        <v>1827</v>
      </c>
    </row>
    <row r="10" customFormat="false" ht="15" hidden="false" customHeight="true" outlineLevel="0" collapsed="false">
      <c r="A10" s="421" t="s">
        <v>1828</v>
      </c>
      <c r="B10" s="423" t="str">
        <f aca="false">IF(OR(B9="GATI — ZGJIDH PO",B9="POSTIM AUTOMATIK NË PROCES"),"PARA MBYLLJES",MBYLLJA_6_7_AUTO!$B$122)</f>
        <v>PARA MBYLLJES</v>
      </c>
      <c r="C10" s="423" t="str">
        <f aca="false">IF(B10="PARA MBYLLJES","PASS",IF(ISNUMBER(B10),IF(ABS(B10)&lt;0.005,"PASS","FAIL"),"FAIL"))</f>
        <v>PASS</v>
      </c>
      <c r="D10" s="522" t="s">
        <v>1829</v>
      </c>
    </row>
    <row r="11" customFormat="false" ht="15" hidden="false" customHeight="true" outlineLevel="0" collapsed="false">
      <c r="A11" s="421" t="s">
        <v>1830</v>
      </c>
      <c r="B11" s="423" t="str">
        <f aca="false">IF(OR(B9="GATI — ZGJIDH PO",B9="POSTIM AUTOMATIK NË PROCES"),"PARA MBYLLJES",MBYLLJA_6_7_AUTO!$B$123)</f>
        <v>PARA MBYLLJES</v>
      </c>
      <c r="C11" s="423" t="str">
        <f aca="false">IF(B11="PARA MBYLLJES","PASS",IF(ISNUMBER(B11),IF(ABS(B11)&lt;0.005,"PASS","FAIL"),"FAIL"))</f>
        <v>PASS</v>
      </c>
      <c r="D11" s="522" t="s">
        <v>1831</v>
      </c>
    </row>
    <row r="12" customFormat="false" ht="15" hidden="false" customHeight="true" outlineLevel="0" collapsed="false">
      <c r="A12" s="421" t="s">
        <v>1832</v>
      </c>
      <c r="B12" s="423" t="str">
        <f aca="false">PASH_MIKRO_FINAL!$B$28</f>
        <v>OK</v>
      </c>
      <c r="C12" s="423" t="str">
        <f aca="false">IF(B12="OK","PASS","FAIL")</f>
        <v>PASS</v>
      </c>
      <c r="D12" s="522" t="s">
        <v>1833</v>
      </c>
    </row>
    <row r="13" customFormat="false" ht="15" hidden="false" customHeight="true" outlineLevel="0" collapsed="false">
      <c r="A13" s="421" t="s">
        <v>1834</v>
      </c>
      <c r="B13" s="423" t="str">
        <f aca="false">IF(MBYLLJA_6_7_AUTO!$B$13="MBYLLJA E POSTUAR",(BILANCI_PROVE!$G$18-BILANCI_PROVE!$F$18)-PASH_MIKRO_FINAL!$B$23,IF(MBYLLJA_6_7_AUTO!$B$13="REZULTATI I TRANSFERUAR NË 108",BILANCI_PROVE!$G$18-BILANCI_PROVE!$F$18,"N/A"))</f>
        <v>N/A</v>
      </c>
      <c r="C13" s="423" t="str">
        <f aca="false">IF(B13="N/A","N/A",IF(ABS(B13)&lt;0.005,"PASS","FAIL"))</f>
        <v>N/A</v>
      </c>
      <c r="D13" s="522" t="s">
        <v>1835</v>
      </c>
    </row>
    <row r="14" customFormat="false" ht="15" hidden="false" customHeight="true" outlineLevel="0" collapsed="false">
      <c r="A14" s="421" t="s">
        <v>1836</v>
      </c>
      <c r="B14" s="423" t="str">
        <f aca="false">IF(OR(AND(COUNTIF(DITARI!$C$6:$C$550,"MB-CL7")=0,COUNTIF(DITARI!$C$6:$C$550,"MB-CL6")=0),AND(COUNTIF(DITARI!$C$6:$C$550,"MB-CL7")&gt;0,COUNTIF(DITARI!$C$6:$C$550,"MB-CL6")&gt;0)),"JO","PO")</f>
        <v>JO</v>
      </c>
      <c r="C14" s="423" t="str">
        <f aca="false">IF(B14="JO","PASS","FAIL")</f>
        <v>PASS</v>
      </c>
      <c r="D14" s="522" t="s">
        <v>1837</v>
      </c>
    </row>
    <row r="15" customFormat="false" ht="15" hidden="false" customHeight="true" outlineLevel="0" collapsed="false">
      <c r="A15" s="425" t="s">
        <v>1838</v>
      </c>
      <c r="B15" s="427" t="str">
        <f aca="false">IF(AND(PLANI_LLOGARIVE!$B$10="Fitim / Humbje e pashpërndarë",COUNTIF(DITARI!$D$6:$D$550,"451")&gt;0),"108=PASH; 451=PRONAR","KONTROLLO")</f>
        <v>KONTROLLO</v>
      </c>
      <c r="C15" s="427" t="str">
        <f aca="false">IF(B15="108=PASH; 451=PRONAR","PASS","FAIL")</f>
        <v>FAIL</v>
      </c>
      <c r="D15" s="523" t="s">
        <v>1839</v>
      </c>
    </row>
    <row r="17" customFormat="false" ht="15" hidden="false" customHeight="true" outlineLevel="0" collapsed="false">
      <c r="A17" s="524" t="s">
        <v>1840</v>
      </c>
      <c r="B17" s="525" t="str">
        <f aca="false">IF(COUNTIF(C5:C15,"FAIL")=0,"PASS","FAIL")</f>
        <v>FAIL</v>
      </c>
    </row>
    <row r="20" customFormat="false" ht="42" hidden="false" customHeight="true" outlineLevel="0" collapsed="false">
      <c r="A20" s="526" t="s">
        <v>1841</v>
      </c>
      <c r="B20" s="526"/>
      <c r="C20" s="526"/>
      <c r="D20" s="526"/>
    </row>
  </sheetData>
  <sheetProtection sheet="true" password="91db" formatCells="false" formatColumns="false" formatRows="false" sort="false" autoFilter="false"/>
  <mergeCells count="3">
    <mergeCell ref="A1:D1"/>
    <mergeCell ref="A2:D2"/>
    <mergeCell ref="A20:D20"/>
  </mergeCells>
  <conditionalFormatting sqref="C5:C15">
    <cfRule type="containsText" priority="2" operator="containsText" aboveAverage="0" equalAverage="0" bottom="0" percent="0" rank="0" text="PASS" dxfId="23">
      <formula>NOT(ISERROR(SEARCH("PASS",C5)))</formula>
    </cfRule>
    <cfRule type="containsText" priority="3" operator="containsText" aboveAverage="0" equalAverage="0" bottom="0" percent="0" rank="0" text="FAIL" dxfId="22">
      <formula>NOT(ISERROR(SEARCH("FAIL",C5)))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2" min="1" style="51" width="26"/>
    <col collapsed="false" customWidth="true" hidden="false" outlineLevel="0" max="3" min="3" style="1" width="50"/>
    <col collapsed="false" customWidth="true" hidden="false" outlineLevel="0" max="4" min="4" style="1" width="2"/>
  </cols>
  <sheetData>
    <row r="1" s="51" customFormat="true" ht="24" hidden="false" customHeight="true" outlineLevel="0" collapsed="false">
      <c r="A1" s="52" t="s">
        <v>162</v>
      </c>
      <c r="B1" s="52"/>
      <c r="C1" s="52"/>
      <c r="D1" s="6"/>
      <c r="E1" s="6"/>
      <c r="F1" s="6"/>
    </row>
    <row r="2" customFormat="false" ht="24" hidden="false" customHeight="true" outlineLevel="0" collapsed="false">
      <c r="A2" s="52"/>
      <c r="B2" s="52"/>
      <c r="C2" s="52"/>
      <c r="D2" s="6"/>
      <c r="E2" s="6"/>
      <c r="F2" s="6"/>
    </row>
    <row r="3" customFormat="false" ht="19.5" hidden="false" customHeight="true" outlineLevel="0" collapsed="false">
      <c r="A3" s="41" t="s">
        <v>163</v>
      </c>
      <c r="B3" s="41"/>
      <c r="C3" s="41"/>
      <c r="D3" s="6"/>
      <c r="E3" s="6"/>
      <c r="F3" s="6"/>
    </row>
    <row r="4" customFormat="false" ht="19.5" hidden="false" customHeight="true" outlineLevel="0" collapsed="false">
      <c r="A4" s="53" t="s">
        <v>164</v>
      </c>
      <c r="B4" s="53"/>
      <c r="C4" s="53"/>
      <c r="D4" s="6"/>
      <c r="E4" s="6"/>
      <c r="F4" s="6"/>
    </row>
    <row r="5" customFormat="false" ht="30" hidden="false" customHeight="true" outlineLevel="0" collapsed="false">
      <c r="A5" s="54" t="s">
        <v>165</v>
      </c>
      <c r="B5" s="55" t="str">
        <f aca="false">""</f>
        <v/>
      </c>
      <c r="C5" s="56" t="s">
        <v>166</v>
      </c>
      <c r="D5" s="6"/>
      <c r="E5" s="6"/>
      <c r="F5" s="6"/>
    </row>
    <row r="6" customFormat="false" ht="30" hidden="false" customHeight="true" outlineLevel="0" collapsed="false">
      <c r="A6" s="54" t="s">
        <v>167</v>
      </c>
      <c r="B6" s="55" t="str">
        <f aca="false">""</f>
        <v/>
      </c>
      <c r="C6" s="56" t="s">
        <v>168</v>
      </c>
      <c r="D6" s="6"/>
      <c r="E6" s="6"/>
      <c r="F6" s="6"/>
    </row>
    <row r="7" customFormat="false" ht="7.5" hidden="false" customHeight="true" outlineLevel="0" collapsed="false">
      <c r="A7" s="6"/>
      <c r="B7" s="57"/>
      <c r="C7" s="6"/>
      <c r="D7" s="6"/>
      <c r="E7" s="6"/>
      <c r="F7" s="6"/>
    </row>
    <row r="8" customFormat="false" ht="19.5" hidden="false" customHeight="true" outlineLevel="0" collapsed="false">
      <c r="A8" s="53" t="s">
        <v>169</v>
      </c>
      <c r="B8" s="53"/>
      <c r="C8" s="53"/>
      <c r="D8" s="6"/>
      <c r="E8" s="6"/>
      <c r="F8" s="6"/>
    </row>
    <row r="9" customFormat="false" ht="30" hidden="false" customHeight="true" outlineLevel="0" collapsed="false">
      <c r="A9" s="54" t="s">
        <v>170</v>
      </c>
      <c r="B9" s="58" t="n">
        <v>2025</v>
      </c>
      <c r="C9" s="56" t="s">
        <v>171</v>
      </c>
      <c r="D9" s="6"/>
      <c r="E9" s="6"/>
      <c r="F9" s="6"/>
    </row>
    <row r="10" customFormat="false" ht="30" hidden="false" customHeight="true" outlineLevel="0" collapsed="false">
      <c r="A10" s="54" t="s">
        <v>172</v>
      </c>
      <c r="B10" s="58" t="n">
        <v>2024</v>
      </c>
      <c r="C10" s="56" t="s">
        <v>173</v>
      </c>
      <c r="D10" s="6"/>
      <c r="E10" s="6"/>
      <c r="F10" s="6"/>
    </row>
    <row r="11" customFormat="false" ht="7.5" hidden="false" customHeight="true" outlineLevel="0" collapsed="false">
      <c r="A11" s="6"/>
      <c r="B11" s="57"/>
      <c r="C11" s="6"/>
      <c r="D11" s="6"/>
      <c r="E11" s="6"/>
      <c r="F11" s="6"/>
    </row>
    <row r="12" customFormat="false" ht="19.5" hidden="false" customHeight="true" outlineLevel="0" collapsed="false">
      <c r="A12" s="53" t="s">
        <v>174</v>
      </c>
      <c r="B12" s="53"/>
      <c r="C12" s="53"/>
      <c r="D12" s="6"/>
      <c r="E12" s="6"/>
      <c r="F12" s="6"/>
    </row>
    <row r="13" customFormat="false" ht="30" hidden="false" customHeight="true" outlineLevel="0" collapsed="false">
      <c r="A13" s="54" t="s">
        <v>175</v>
      </c>
      <c r="B13" s="55" t="s">
        <v>176</v>
      </c>
      <c r="C13" s="56" t="s">
        <v>177</v>
      </c>
      <c r="D13" s="6"/>
      <c r="E13" s="6"/>
      <c r="F13" s="6"/>
    </row>
    <row r="14" customFormat="false" ht="30" hidden="false" customHeight="true" outlineLevel="0" collapsed="false">
      <c r="A14" s="54" t="s">
        <v>178</v>
      </c>
      <c r="B14" s="59" t="n">
        <v>0.2</v>
      </c>
      <c r="C14" s="56" t="s">
        <v>179</v>
      </c>
      <c r="D14" s="6"/>
      <c r="E14" s="6"/>
      <c r="F14" s="6"/>
    </row>
    <row r="15" customFormat="false" ht="33.75" hidden="false" customHeight="true" outlineLevel="0" collapsed="false">
      <c r="A15" s="54" t="s">
        <v>180</v>
      </c>
      <c r="B15" s="60" t="s">
        <v>181</v>
      </c>
      <c r="C15" s="56" t="s">
        <v>182</v>
      </c>
      <c r="D15" s="6"/>
      <c r="E15" s="6"/>
      <c r="F15" s="6"/>
    </row>
    <row r="16" customFormat="false" ht="14.25" hidden="false" customHeight="true" outlineLevel="0" collapsed="false">
      <c r="A16" s="6"/>
      <c r="B16" s="6"/>
      <c r="C16" s="6"/>
      <c r="D16" s="6"/>
      <c r="E16" s="6"/>
      <c r="F16" s="6"/>
    </row>
    <row r="17" customFormat="false" ht="14.25" hidden="false" customHeight="true" outlineLevel="0" collapsed="false">
      <c r="A17" s="6"/>
      <c r="B17" s="6"/>
      <c r="C17" s="6"/>
      <c r="D17" s="6"/>
      <c r="E17" s="6"/>
      <c r="F17" s="6"/>
    </row>
    <row r="18" customFormat="false" ht="14.25" hidden="false" customHeight="true" outlineLevel="0" collapsed="false">
      <c r="A18" s="6"/>
      <c r="B18" s="6"/>
      <c r="C18" s="6"/>
      <c r="D18" s="6"/>
      <c r="E18" s="6"/>
      <c r="F18" s="6"/>
    </row>
    <row r="19" customFormat="false" ht="14.25" hidden="false" customHeight="true" outlineLevel="0" collapsed="false">
      <c r="A19" s="6"/>
      <c r="B19" s="6"/>
      <c r="C19" s="6"/>
      <c r="D19" s="6"/>
      <c r="E19" s="6"/>
      <c r="F19" s="6"/>
    </row>
    <row r="20" customFormat="false" ht="14.25" hidden="false" customHeight="true" outlineLevel="0" collapsed="false">
      <c r="A20" s="6"/>
      <c r="B20" s="6"/>
      <c r="C20" s="6"/>
      <c r="D20" s="6"/>
      <c r="E20" s="6"/>
      <c r="F20" s="6"/>
    </row>
    <row r="21" customFormat="false" ht="14.25" hidden="false" customHeight="true" outlineLevel="0" collapsed="false">
      <c r="A21" s="6"/>
      <c r="B21" s="6"/>
      <c r="C21" s="6"/>
      <c r="D21" s="6"/>
      <c r="E21" s="6"/>
      <c r="F21" s="6"/>
    </row>
    <row r="22" customFormat="false" ht="14.25" hidden="false" customHeight="true" outlineLevel="0" collapsed="false">
      <c r="A22" s="6"/>
      <c r="B22" s="6"/>
      <c r="C22" s="6"/>
      <c r="D22" s="6"/>
      <c r="E22" s="6"/>
      <c r="F22" s="6"/>
    </row>
    <row r="23" customFormat="false" ht="14.25" hidden="false" customHeight="true" outlineLevel="0" collapsed="false">
      <c r="A23" s="6"/>
      <c r="B23" s="6"/>
      <c r="C23" s="6"/>
      <c r="D23" s="6"/>
      <c r="E23" s="6"/>
      <c r="F23" s="6"/>
    </row>
    <row r="24" customFormat="false" ht="14.25" hidden="false" customHeight="true" outlineLevel="0" collapsed="false">
      <c r="A24" s="6"/>
      <c r="B24" s="6"/>
      <c r="C24" s="6"/>
      <c r="D24" s="6"/>
      <c r="E24" s="6"/>
      <c r="F24" s="6"/>
    </row>
    <row r="25" customFormat="false" ht="14.25" hidden="false" customHeight="true" outlineLevel="0" collapsed="false">
      <c r="A25" s="6"/>
      <c r="B25" s="6"/>
      <c r="C25" s="6"/>
      <c r="D25" s="6"/>
      <c r="E25" s="6"/>
      <c r="F25" s="6"/>
    </row>
    <row r="26" customFormat="false" ht="14.25" hidden="false" customHeight="true" outlineLevel="0" collapsed="false">
      <c r="A26" s="6"/>
      <c r="B26" s="6"/>
      <c r="C26" s="6"/>
      <c r="D26" s="6"/>
      <c r="E26" s="6"/>
      <c r="F26" s="6"/>
    </row>
    <row r="27" customFormat="false" ht="14.25" hidden="false" customHeight="true" outlineLevel="0" collapsed="false">
      <c r="A27" s="6"/>
      <c r="B27" s="6"/>
      <c r="C27" s="6"/>
      <c r="D27" s="6"/>
      <c r="E27" s="6"/>
      <c r="F27" s="6"/>
    </row>
    <row r="28" customFormat="false" ht="14.25" hidden="false" customHeight="true" outlineLevel="0" collapsed="false">
      <c r="A28" s="6"/>
      <c r="B28" s="6"/>
      <c r="C28" s="6"/>
      <c r="D28" s="6"/>
      <c r="E28" s="6"/>
      <c r="F28" s="6"/>
    </row>
    <row r="29" customFormat="false" ht="14.25" hidden="false" customHeight="true" outlineLevel="0" collapsed="false">
      <c r="A29" s="6"/>
      <c r="B29" s="6"/>
      <c r="C29" s="6"/>
      <c r="D29" s="6"/>
      <c r="E29" s="6"/>
      <c r="F29" s="6"/>
    </row>
    <row r="30" customFormat="false" ht="14.25" hidden="false" customHeight="true" outlineLevel="0" collapsed="false">
      <c r="A30" s="6"/>
      <c r="B30" s="6"/>
      <c r="C30" s="6"/>
      <c r="D30" s="6"/>
      <c r="E30" s="6"/>
      <c r="F30" s="6"/>
    </row>
  </sheetData>
  <sheetProtection sheet="true" password="91db" formatCells="false" formatColumns="false" formatRows="false" sort="false" autoFilter="false"/>
  <mergeCells count="5">
    <mergeCell ref="A1:C2"/>
    <mergeCell ref="A3:C3"/>
    <mergeCell ref="A4:C4"/>
    <mergeCell ref="A8:C8"/>
    <mergeCell ref="A12:C1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5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51" width="12"/>
    <col collapsed="false" customWidth="true" hidden="false" outlineLevel="0" max="2" min="2" style="51" width="42"/>
    <col collapsed="false" customWidth="true" hidden="false" outlineLevel="0" max="4" min="3" style="51" width="9"/>
    <col collapsed="false" customWidth="true" hidden="false" outlineLevel="0" max="5" min="5" style="51" width="28"/>
    <col collapsed="false" customWidth="true" hidden="false" outlineLevel="0" max="6" min="6" style="51" width="26"/>
    <col collapsed="false" customWidth="true" hidden="false" outlineLevel="0" max="7" min="7" style="51" width="18"/>
    <col collapsed="false" customWidth="true" hidden="false" outlineLevel="0" max="8" min="8" style="51" width="14"/>
    <col collapsed="false" customWidth="true" hidden="false" outlineLevel="0" max="9" min="9" style="51" width="18"/>
    <col collapsed="false" customWidth="true" hidden="false" outlineLevel="0" max="10" min="10" style="51" width="16"/>
    <col collapsed="false" customWidth="true" hidden="false" outlineLevel="0" max="11" min="11" style="51" width="48"/>
    <col collapsed="false" customWidth="true" hidden="false" outlineLevel="0" max="12" min="12" style="51" width="24"/>
    <col collapsed="false" customWidth="true" hidden="false" outlineLevel="0" max="18" min="14" style="1" width="18"/>
    <col collapsed="false" customWidth="true" hidden="false" outlineLevel="0" max="20" min="20" style="1" width="16"/>
  </cols>
  <sheetData>
    <row r="1" s="51" customFormat="true" ht="30" hidden="false" customHeight="true" outlineLevel="0" collapsed="false">
      <c r="A1" s="61" t="s">
        <v>183</v>
      </c>
      <c r="B1" s="61" t="s">
        <v>184</v>
      </c>
      <c r="C1" s="61" t="s">
        <v>185</v>
      </c>
      <c r="D1" s="61" t="s">
        <v>186</v>
      </c>
      <c r="E1" s="61" t="s">
        <v>187</v>
      </c>
      <c r="F1" s="61" t="s">
        <v>188</v>
      </c>
      <c r="G1" s="61" t="s">
        <v>189</v>
      </c>
      <c r="H1" s="61" t="s">
        <v>190</v>
      </c>
      <c r="I1" s="61" t="s">
        <v>191</v>
      </c>
      <c r="J1" s="61" t="s">
        <v>192</v>
      </c>
      <c r="K1" s="61" t="s">
        <v>193</v>
      </c>
      <c r="L1" s="61" t="s">
        <v>194</v>
      </c>
      <c r="N1" s="62" t="s">
        <v>195</v>
      </c>
      <c r="O1" s="62"/>
      <c r="P1" s="62"/>
      <c r="Q1" s="62"/>
      <c r="R1" s="62"/>
      <c r="T1" s="29" t="s">
        <v>19</v>
      </c>
    </row>
    <row r="2" customFormat="false" ht="23.25" hidden="false" customHeight="true" outlineLevel="0" collapsed="false">
      <c r="A2" s="63" t="s">
        <v>47</v>
      </c>
      <c r="B2" s="64" t="s">
        <v>196</v>
      </c>
      <c r="C2" s="64" t="n">
        <v>1</v>
      </c>
      <c r="D2" s="64" t="s">
        <v>47</v>
      </c>
      <c r="E2" s="64" t="s">
        <v>196</v>
      </c>
      <c r="F2" s="64" t="s">
        <v>197</v>
      </c>
      <c r="G2" s="64" t="s">
        <v>198</v>
      </c>
      <c r="H2" s="64" t="s">
        <v>199</v>
      </c>
      <c r="I2" s="64"/>
      <c r="J2" s="65" t="b">
        <f aca="false">FALSE()</f>
        <v>0</v>
      </c>
      <c r="K2" s="66" t="str">
        <f aca="false">IF(J2=TRUE(),A2&amp;" - "&amp;B2,"")</f>
        <v/>
      </c>
      <c r="L2" s="64"/>
      <c r="N2" s="67" t="s">
        <v>200</v>
      </c>
      <c r="O2" s="67"/>
      <c r="P2" s="67"/>
      <c r="Q2" s="67"/>
      <c r="R2" s="67"/>
    </row>
    <row r="3" customFormat="false" ht="34.5" hidden="false" customHeight="true" outlineLevel="0" collapsed="false">
      <c r="A3" s="63" t="s">
        <v>201</v>
      </c>
      <c r="B3" s="64" t="s">
        <v>202</v>
      </c>
      <c r="C3" s="64" t="n">
        <v>2</v>
      </c>
      <c r="D3" s="64" t="s">
        <v>47</v>
      </c>
      <c r="E3" s="64" t="s">
        <v>196</v>
      </c>
      <c r="F3" s="64" t="s">
        <v>197</v>
      </c>
      <c r="G3" s="64" t="s">
        <v>198</v>
      </c>
      <c r="H3" s="64" t="s">
        <v>199</v>
      </c>
      <c r="I3" s="64"/>
      <c r="J3" s="65" t="b">
        <f aca="false">FALSE()</f>
        <v>0</v>
      </c>
      <c r="K3" s="66" t="str">
        <f aca="false">IF(J3=TRUE(),A3&amp;" - "&amp;B3,"")</f>
        <v/>
      </c>
      <c r="L3" s="64"/>
      <c r="N3" s="67" t="s">
        <v>203</v>
      </c>
      <c r="O3" s="67"/>
      <c r="P3" s="67"/>
      <c r="Q3" s="67"/>
      <c r="R3" s="67"/>
    </row>
    <row r="4" customFormat="false" ht="34.5" hidden="false" customHeight="true" outlineLevel="0" collapsed="false">
      <c r="A4" s="63" t="s">
        <v>204</v>
      </c>
      <c r="B4" s="64" t="s">
        <v>205</v>
      </c>
      <c r="C4" s="64" t="n">
        <v>3</v>
      </c>
      <c r="D4" s="64" t="s">
        <v>47</v>
      </c>
      <c r="E4" s="64" t="s">
        <v>196</v>
      </c>
      <c r="F4" s="64" t="s">
        <v>197</v>
      </c>
      <c r="G4" s="64" t="s">
        <v>197</v>
      </c>
      <c r="H4" s="64" t="s">
        <v>206</v>
      </c>
      <c r="I4" s="64" t="s">
        <v>207</v>
      </c>
      <c r="J4" s="65" t="b">
        <f aca="false">TRUE()</f>
        <v>1</v>
      </c>
      <c r="K4" s="66" t="str">
        <f aca="false">IF(J4=TRUE(),A4&amp;" - "&amp;B4,"")</f>
        <v>101 - Kapitali i paguar / themeltar</v>
      </c>
      <c r="L4" s="64" t="s">
        <v>197</v>
      </c>
      <c r="N4" s="67" t="s">
        <v>208</v>
      </c>
      <c r="O4" s="67"/>
      <c r="P4" s="67"/>
      <c r="Q4" s="67"/>
      <c r="R4" s="67"/>
    </row>
    <row r="5" customFormat="false" ht="34.5" hidden="false" customHeight="true" outlineLevel="0" collapsed="false">
      <c r="A5" s="63" t="s">
        <v>209</v>
      </c>
      <c r="B5" s="64" t="s">
        <v>210</v>
      </c>
      <c r="C5" s="64" t="n">
        <v>3</v>
      </c>
      <c r="D5" s="64" t="s">
        <v>47</v>
      </c>
      <c r="E5" s="64" t="s">
        <v>196</v>
      </c>
      <c r="F5" s="64" t="s">
        <v>197</v>
      </c>
      <c r="G5" s="64" t="s">
        <v>211</v>
      </c>
      <c r="H5" s="64" t="s">
        <v>206</v>
      </c>
      <c r="I5" s="64" t="s">
        <v>212</v>
      </c>
      <c r="J5" s="65" t="b">
        <f aca="false">TRUE()</f>
        <v>1</v>
      </c>
      <c r="K5" s="66" t="str">
        <f aca="false">IF(J5=TRUE(),A5&amp;" - "&amp;B5,"")</f>
        <v>102 - Kapitali i nënshkruar i papaguar</v>
      </c>
      <c r="L5" s="64" t="s">
        <v>213</v>
      </c>
      <c r="N5" s="67" t="s">
        <v>214</v>
      </c>
      <c r="O5" s="67"/>
      <c r="P5" s="67"/>
      <c r="Q5" s="67"/>
      <c r="R5" s="67"/>
    </row>
    <row r="6" customFormat="false" ht="34.5" hidden="false" customHeight="true" outlineLevel="0" collapsed="false">
      <c r="A6" s="63" t="s">
        <v>215</v>
      </c>
      <c r="B6" s="64" t="s">
        <v>216</v>
      </c>
      <c r="C6" s="64" t="n">
        <v>3</v>
      </c>
      <c r="D6" s="64" t="s">
        <v>47</v>
      </c>
      <c r="E6" s="64" t="s">
        <v>196</v>
      </c>
      <c r="F6" s="64" t="s">
        <v>197</v>
      </c>
      <c r="G6" s="64" t="s">
        <v>197</v>
      </c>
      <c r="H6" s="64" t="s">
        <v>206</v>
      </c>
      <c r="I6" s="64" t="s">
        <v>207</v>
      </c>
      <c r="J6" s="65" t="b">
        <f aca="false">TRUE()</f>
        <v>1</v>
      </c>
      <c r="K6" s="66" t="str">
        <f aca="false">IF(J6=TRUE(),A6&amp;" - "&amp;B6,"")</f>
        <v>104 - Prime të lidhura me kapitalin</v>
      </c>
      <c r="L6" s="64" t="s">
        <v>197</v>
      </c>
      <c r="N6" s="67" t="s">
        <v>217</v>
      </c>
      <c r="O6" s="67"/>
      <c r="P6" s="67"/>
      <c r="Q6" s="67"/>
      <c r="R6" s="67"/>
    </row>
    <row r="7" customFormat="false" ht="23.25" hidden="false" customHeight="true" outlineLevel="0" collapsed="false">
      <c r="A7" s="63" t="s">
        <v>218</v>
      </c>
      <c r="B7" s="64" t="s">
        <v>219</v>
      </c>
      <c r="C7" s="64" t="n">
        <v>3</v>
      </c>
      <c r="D7" s="64" t="s">
        <v>47</v>
      </c>
      <c r="E7" s="64" t="s">
        <v>196</v>
      </c>
      <c r="F7" s="64" t="s">
        <v>197</v>
      </c>
      <c r="G7" s="64" t="s">
        <v>197</v>
      </c>
      <c r="H7" s="64" t="s">
        <v>206</v>
      </c>
      <c r="I7" s="64" t="s">
        <v>207</v>
      </c>
      <c r="J7" s="65" t="b">
        <f aca="false">TRUE()</f>
        <v>1</v>
      </c>
      <c r="K7" s="66" t="str">
        <f aca="false">IF(J7=TRUE(),A7&amp;" - "&amp;B7,"")</f>
        <v>105 - Rezerva nga rivlerësimi</v>
      </c>
      <c r="L7" s="64" t="s">
        <v>197</v>
      </c>
      <c r="N7" s="67" t="s">
        <v>220</v>
      </c>
      <c r="O7" s="67"/>
      <c r="P7" s="67"/>
      <c r="Q7" s="67"/>
      <c r="R7" s="67"/>
    </row>
    <row r="8" customFormat="false" ht="34.5" hidden="false" customHeight="true" outlineLevel="0" collapsed="false">
      <c r="A8" s="63" t="s">
        <v>221</v>
      </c>
      <c r="B8" s="64" t="s">
        <v>222</v>
      </c>
      <c r="C8" s="64" t="n">
        <v>3</v>
      </c>
      <c r="D8" s="64" t="s">
        <v>47</v>
      </c>
      <c r="E8" s="64" t="s">
        <v>196</v>
      </c>
      <c r="F8" s="64" t="s">
        <v>197</v>
      </c>
      <c r="G8" s="64" t="s">
        <v>197</v>
      </c>
      <c r="H8" s="64" t="s">
        <v>206</v>
      </c>
      <c r="I8" s="64" t="s">
        <v>207</v>
      </c>
      <c r="J8" s="65" t="b">
        <f aca="false">TRUE()</f>
        <v>1</v>
      </c>
      <c r="K8" s="66" t="str">
        <f aca="false">IF(J8=TRUE(),A8&amp;" - "&amp;B8,"")</f>
        <v>106 - Rezerva ligjore</v>
      </c>
      <c r="L8" s="64" t="s">
        <v>197</v>
      </c>
      <c r="N8" s="67" t="s">
        <v>223</v>
      </c>
      <c r="O8" s="67"/>
      <c r="P8" s="67"/>
      <c r="Q8" s="67"/>
      <c r="R8" s="67"/>
    </row>
    <row r="9" customFormat="false" ht="14.25" hidden="false" customHeight="true" outlineLevel="0" collapsed="false">
      <c r="A9" s="63" t="s">
        <v>224</v>
      </c>
      <c r="B9" s="64" t="s">
        <v>225</v>
      </c>
      <c r="C9" s="64" t="n">
        <v>3</v>
      </c>
      <c r="D9" s="64" t="s">
        <v>47</v>
      </c>
      <c r="E9" s="64" t="s">
        <v>196</v>
      </c>
      <c r="F9" s="64" t="s">
        <v>197</v>
      </c>
      <c r="G9" s="64" t="s">
        <v>197</v>
      </c>
      <c r="H9" s="64" t="s">
        <v>206</v>
      </c>
      <c r="I9" s="64" t="s">
        <v>207</v>
      </c>
      <c r="J9" s="65" t="b">
        <f aca="false">TRUE()</f>
        <v>1</v>
      </c>
      <c r="K9" s="66" t="str">
        <f aca="false">IF(J9=TRUE(),A9&amp;" - "&amp;B9,"")</f>
        <v>107 - Rezerva të tjera</v>
      </c>
      <c r="L9" s="64" t="s">
        <v>197</v>
      </c>
    </row>
    <row r="10" customFormat="false" ht="14.25" hidden="false" customHeight="true" outlineLevel="0" collapsed="false">
      <c r="A10" s="63" t="s">
        <v>226</v>
      </c>
      <c r="B10" s="64" t="s">
        <v>227</v>
      </c>
      <c r="C10" s="64" t="n">
        <v>3</v>
      </c>
      <c r="D10" s="64" t="s">
        <v>47</v>
      </c>
      <c r="E10" s="64" t="s">
        <v>196</v>
      </c>
      <c r="F10" s="64" t="s">
        <v>197</v>
      </c>
      <c r="G10" s="64" t="s">
        <v>197</v>
      </c>
      <c r="H10" s="64" t="s">
        <v>206</v>
      </c>
      <c r="I10" s="64" t="s">
        <v>228</v>
      </c>
      <c r="J10" s="65" t="b">
        <f aca="false">TRUE()</f>
        <v>1</v>
      </c>
      <c r="K10" s="66" t="str">
        <f aca="false">IF(J10=TRUE(),A10&amp;" - "&amp;B10,"")</f>
        <v>108 - Fitim / Humbje e pashpërndarë</v>
      </c>
      <c r="L10" s="64" t="s">
        <v>197</v>
      </c>
    </row>
    <row r="11" customFormat="false" ht="14.25" hidden="false" customHeight="true" outlineLevel="0" collapsed="false">
      <c r="A11" s="63" t="s">
        <v>229</v>
      </c>
      <c r="B11" s="64" t="s">
        <v>230</v>
      </c>
      <c r="C11" s="64" t="n">
        <v>3</v>
      </c>
      <c r="D11" s="64" t="s">
        <v>47</v>
      </c>
      <c r="E11" s="64" t="s">
        <v>196</v>
      </c>
      <c r="F11" s="64" t="s">
        <v>197</v>
      </c>
      <c r="G11" s="64" t="s">
        <v>197</v>
      </c>
      <c r="H11" s="64" t="s">
        <v>206</v>
      </c>
      <c r="I11" s="64" t="s">
        <v>207</v>
      </c>
      <c r="J11" s="65" t="b">
        <f aca="false">FALSE()</f>
        <v>0</v>
      </c>
      <c r="K11" s="66" t="str">
        <f aca="false">IF(J11=TRUE(),A11&amp;" - "&amp;B11,"")</f>
        <v/>
      </c>
      <c r="L11" s="64" t="s">
        <v>197</v>
      </c>
    </row>
    <row r="12" customFormat="false" ht="14.25" hidden="false" customHeight="true" outlineLevel="0" collapsed="false">
      <c r="A12" s="63" t="s">
        <v>231</v>
      </c>
      <c r="B12" s="64" t="s">
        <v>232</v>
      </c>
      <c r="C12" s="64" t="n">
        <v>3</v>
      </c>
      <c r="D12" s="64" t="s">
        <v>47</v>
      </c>
      <c r="E12" s="64" t="s">
        <v>196</v>
      </c>
      <c r="F12" s="64" t="s">
        <v>197</v>
      </c>
      <c r="G12" s="64" t="s">
        <v>197</v>
      </c>
      <c r="H12" s="64" t="s">
        <v>206</v>
      </c>
      <c r="I12" s="64" t="s">
        <v>228</v>
      </c>
      <c r="J12" s="65" t="b">
        <f aca="false">TRUE()</f>
        <v>1</v>
      </c>
      <c r="K12" s="66" t="str">
        <f aca="false">IF(J12=TRUE(),A12&amp;" - "&amp;B12,"")</f>
        <v>121 - Rezultati i ushtrimit — viti aktual</v>
      </c>
      <c r="L12" s="64" t="s">
        <v>197</v>
      </c>
    </row>
    <row r="13" customFormat="false" ht="14.25" hidden="false" customHeight="true" outlineLevel="0" collapsed="false">
      <c r="A13" s="63" t="s">
        <v>52</v>
      </c>
      <c r="B13" s="64" t="s">
        <v>233</v>
      </c>
      <c r="C13" s="64" t="n">
        <v>1</v>
      </c>
      <c r="D13" s="64" t="s">
        <v>52</v>
      </c>
      <c r="E13" s="64" t="s">
        <v>234</v>
      </c>
      <c r="F13" s="64" t="s">
        <v>235</v>
      </c>
      <c r="G13" s="64" t="s">
        <v>198</v>
      </c>
      <c r="H13" s="64" t="s">
        <v>199</v>
      </c>
      <c r="I13" s="64"/>
      <c r="J13" s="65" t="b">
        <f aca="false">FALSE()</f>
        <v>0</v>
      </c>
      <c r="K13" s="66" t="str">
        <f aca="false">IF(J13=TRUE(),A13&amp;" - "&amp;B13,"")</f>
        <v/>
      </c>
      <c r="L13" s="64"/>
    </row>
    <row r="14" customFormat="false" ht="14.25" hidden="false" customHeight="true" outlineLevel="0" collapsed="false">
      <c r="A14" s="63" t="s">
        <v>236</v>
      </c>
      <c r="B14" s="64" t="s">
        <v>237</v>
      </c>
      <c r="C14" s="64" t="n">
        <v>2</v>
      </c>
      <c r="D14" s="64" t="s">
        <v>52</v>
      </c>
      <c r="E14" s="64" t="s">
        <v>234</v>
      </c>
      <c r="F14" s="64" t="s">
        <v>235</v>
      </c>
      <c r="G14" s="64" t="s">
        <v>198</v>
      </c>
      <c r="H14" s="64" t="s">
        <v>199</v>
      </c>
      <c r="I14" s="64"/>
      <c r="J14" s="65" t="b">
        <f aca="false">FALSE()</f>
        <v>0</v>
      </c>
      <c r="K14" s="66" t="str">
        <f aca="false">IF(J14=TRUE(),A14&amp;" - "&amp;B14,"")</f>
        <v/>
      </c>
      <c r="L14" s="64"/>
    </row>
    <row r="15" customFormat="false" ht="14.25" hidden="false" customHeight="true" outlineLevel="0" collapsed="false">
      <c r="A15" s="63" t="s">
        <v>238</v>
      </c>
      <c r="B15" s="64" t="s">
        <v>239</v>
      </c>
      <c r="C15" s="64" t="n">
        <v>3</v>
      </c>
      <c r="D15" s="64" t="s">
        <v>52</v>
      </c>
      <c r="E15" s="64" t="s">
        <v>234</v>
      </c>
      <c r="F15" s="64" t="s">
        <v>237</v>
      </c>
      <c r="G15" s="64" t="s">
        <v>240</v>
      </c>
      <c r="H15" s="64" t="s">
        <v>206</v>
      </c>
      <c r="I15" s="64" t="s">
        <v>212</v>
      </c>
      <c r="J15" s="65" t="b">
        <f aca="false">TRUE()</f>
        <v>1</v>
      </c>
      <c r="K15" s="66" t="str">
        <f aca="false">IF(J15=TRUE(),A15&amp;" - "&amp;B15,"")</f>
        <v>201 - Emri i mirë</v>
      </c>
      <c r="L15" s="64" t="s">
        <v>234</v>
      </c>
    </row>
    <row r="16" customFormat="false" ht="14.25" hidden="false" customHeight="true" outlineLevel="0" collapsed="false">
      <c r="A16" s="63" t="s">
        <v>241</v>
      </c>
      <c r="B16" s="64" t="s">
        <v>242</v>
      </c>
      <c r="C16" s="64" t="n">
        <v>3</v>
      </c>
      <c r="D16" s="64" t="s">
        <v>52</v>
      </c>
      <c r="E16" s="64" t="s">
        <v>234</v>
      </c>
      <c r="F16" s="64" t="s">
        <v>237</v>
      </c>
      <c r="G16" s="64" t="s">
        <v>240</v>
      </c>
      <c r="H16" s="64" t="s">
        <v>206</v>
      </c>
      <c r="I16" s="64" t="s">
        <v>212</v>
      </c>
      <c r="J16" s="65" t="b">
        <f aca="false">TRUE()</f>
        <v>1</v>
      </c>
      <c r="K16" s="66" t="str">
        <f aca="false">IF(J16=TRUE(),A16&amp;" - "&amp;B16,"")</f>
        <v>203 - Shpenzime zhvillimi</v>
      </c>
      <c r="L16" s="64" t="s">
        <v>234</v>
      </c>
    </row>
    <row r="17" customFormat="false" ht="14.25" hidden="false" customHeight="true" outlineLevel="0" collapsed="false">
      <c r="A17" s="63" t="s">
        <v>243</v>
      </c>
      <c r="B17" s="64" t="s">
        <v>244</v>
      </c>
      <c r="C17" s="64" t="n">
        <v>3</v>
      </c>
      <c r="D17" s="64" t="s">
        <v>52</v>
      </c>
      <c r="E17" s="64" t="s">
        <v>234</v>
      </c>
      <c r="F17" s="64" t="s">
        <v>237</v>
      </c>
      <c r="G17" s="64" t="s">
        <v>240</v>
      </c>
      <c r="H17" s="64" t="s">
        <v>206</v>
      </c>
      <c r="I17" s="64" t="s">
        <v>212</v>
      </c>
      <c r="J17" s="65" t="b">
        <f aca="false">TRUE()</f>
        <v>1</v>
      </c>
      <c r="K17" s="66" t="str">
        <f aca="false">IF(J17=TRUE(),A17&amp;" - "&amp;B17,"")</f>
        <v>205 - Koncesione, patenta, licenca</v>
      </c>
      <c r="L17" s="64" t="s">
        <v>234</v>
      </c>
    </row>
    <row r="18" customFormat="false" ht="14.25" hidden="false" customHeight="true" outlineLevel="0" collapsed="false">
      <c r="A18" s="63" t="s">
        <v>245</v>
      </c>
      <c r="B18" s="64" t="s">
        <v>246</v>
      </c>
      <c r="C18" s="64" t="n">
        <v>3</v>
      </c>
      <c r="D18" s="64" t="s">
        <v>52</v>
      </c>
      <c r="E18" s="64" t="s">
        <v>234</v>
      </c>
      <c r="F18" s="64" t="s">
        <v>237</v>
      </c>
      <c r="G18" s="64" t="s">
        <v>240</v>
      </c>
      <c r="H18" s="64" t="s">
        <v>206</v>
      </c>
      <c r="I18" s="64" t="s">
        <v>212</v>
      </c>
      <c r="J18" s="65" t="b">
        <f aca="false">TRUE()</f>
        <v>1</v>
      </c>
      <c r="K18" s="66" t="str">
        <f aca="false">IF(J18=TRUE(),A18&amp;" - "&amp;B18,"")</f>
        <v>208 - Të tjera AAM jomateriale</v>
      </c>
      <c r="L18" s="64" t="s">
        <v>234</v>
      </c>
    </row>
    <row r="19" customFormat="false" ht="14.25" hidden="false" customHeight="true" outlineLevel="0" collapsed="false">
      <c r="A19" s="63" t="s">
        <v>247</v>
      </c>
      <c r="B19" s="64" t="s">
        <v>248</v>
      </c>
      <c r="C19" s="64" t="n">
        <v>2</v>
      </c>
      <c r="D19" s="64" t="s">
        <v>52</v>
      </c>
      <c r="E19" s="64" t="s">
        <v>234</v>
      </c>
      <c r="F19" s="64" t="s">
        <v>235</v>
      </c>
      <c r="G19" s="64" t="s">
        <v>198</v>
      </c>
      <c r="H19" s="64" t="s">
        <v>199</v>
      </c>
      <c r="I19" s="64"/>
      <c r="J19" s="65" t="b">
        <f aca="false">FALSE()</f>
        <v>0</v>
      </c>
      <c r="K19" s="66" t="str">
        <f aca="false">IF(J19=TRUE(),A19&amp;" - "&amp;B19,"")</f>
        <v/>
      </c>
      <c r="L19" s="64"/>
    </row>
    <row r="20" customFormat="false" ht="14.25" hidden="false" customHeight="true" outlineLevel="0" collapsed="false">
      <c r="A20" s="63" t="s">
        <v>249</v>
      </c>
      <c r="B20" s="64" t="s">
        <v>250</v>
      </c>
      <c r="C20" s="64" t="n">
        <v>3</v>
      </c>
      <c r="D20" s="64" t="s">
        <v>52</v>
      </c>
      <c r="E20" s="64" t="s">
        <v>234</v>
      </c>
      <c r="F20" s="64" t="s">
        <v>248</v>
      </c>
      <c r="G20" s="64" t="s">
        <v>240</v>
      </c>
      <c r="H20" s="64" t="s">
        <v>206</v>
      </c>
      <c r="I20" s="64" t="s">
        <v>212</v>
      </c>
      <c r="J20" s="65" t="b">
        <f aca="false">TRUE()</f>
        <v>1</v>
      </c>
      <c r="K20" s="66" t="str">
        <f aca="false">IF(J20=TRUE(),A20&amp;" - "&amp;B20,"")</f>
        <v>211 - Toka</v>
      </c>
      <c r="L20" s="64" t="s">
        <v>234</v>
      </c>
    </row>
    <row r="21" customFormat="false" ht="14.25" hidden="false" customHeight="true" outlineLevel="0" collapsed="false">
      <c r="A21" s="63" t="s">
        <v>251</v>
      </c>
      <c r="B21" s="64" t="s">
        <v>252</v>
      </c>
      <c r="C21" s="64" t="n">
        <v>3</v>
      </c>
      <c r="D21" s="64" t="s">
        <v>52</v>
      </c>
      <c r="E21" s="64" t="s">
        <v>234</v>
      </c>
      <c r="F21" s="64" t="s">
        <v>248</v>
      </c>
      <c r="G21" s="64" t="s">
        <v>240</v>
      </c>
      <c r="H21" s="64" t="s">
        <v>206</v>
      </c>
      <c r="I21" s="64" t="s">
        <v>212</v>
      </c>
      <c r="J21" s="65" t="b">
        <f aca="false">TRUE()</f>
        <v>1</v>
      </c>
      <c r="K21" s="66" t="str">
        <f aca="false">IF(J21=TRUE(),A21&amp;" - "&amp;B21,"")</f>
        <v>212 - Ndërtesa</v>
      </c>
      <c r="L21" s="64" t="s">
        <v>234</v>
      </c>
    </row>
    <row r="22" customFormat="false" ht="14.25" hidden="false" customHeight="true" outlineLevel="0" collapsed="false">
      <c r="A22" s="63" t="s">
        <v>253</v>
      </c>
      <c r="B22" s="64" t="s">
        <v>254</v>
      </c>
      <c r="C22" s="64" t="n">
        <v>3</v>
      </c>
      <c r="D22" s="64" t="s">
        <v>52</v>
      </c>
      <c r="E22" s="64" t="s">
        <v>234</v>
      </c>
      <c r="F22" s="64" t="s">
        <v>248</v>
      </c>
      <c r="G22" s="64" t="s">
        <v>240</v>
      </c>
      <c r="H22" s="64" t="s">
        <v>206</v>
      </c>
      <c r="I22" s="64" t="s">
        <v>212</v>
      </c>
      <c r="J22" s="65" t="b">
        <f aca="false">TRUE()</f>
        <v>1</v>
      </c>
      <c r="K22" s="66" t="str">
        <f aca="false">IF(J22=TRUE(),A22&amp;" - "&amp;B22,"")</f>
        <v>213 - Instalime teknike, makineri, pajisje</v>
      </c>
      <c r="L22" s="64" t="s">
        <v>234</v>
      </c>
    </row>
    <row r="23" customFormat="false" ht="14.25" hidden="false" customHeight="true" outlineLevel="0" collapsed="false">
      <c r="A23" s="63" t="s">
        <v>255</v>
      </c>
      <c r="B23" s="64" t="s">
        <v>256</v>
      </c>
      <c r="C23" s="64" t="n">
        <v>3</v>
      </c>
      <c r="D23" s="64" t="s">
        <v>52</v>
      </c>
      <c r="E23" s="64" t="s">
        <v>234</v>
      </c>
      <c r="F23" s="64" t="s">
        <v>248</v>
      </c>
      <c r="G23" s="64" t="s">
        <v>240</v>
      </c>
      <c r="H23" s="64" t="s">
        <v>206</v>
      </c>
      <c r="I23" s="64" t="s">
        <v>212</v>
      </c>
      <c r="J23" s="65" t="b">
        <f aca="false">TRUE()</f>
        <v>1</v>
      </c>
      <c r="K23" s="66" t="str">
        <f aca="false">IF(J23=TRUE(),A23&amp;" - "&amp;B23,"")</f>
        <v>215 - Mjete transporti</v>
      </c>
      <c r="L23" s="64" t="s">
        <v>234</v>
      </c>
    </row>
    <row r="24" customFormat="false" ht="14.25" hidden="false" customHeight="true" outlineLevel="0" collapsed="false">
      <c r="A24" s="63" t="s">
        <v>257</v>
      </c>
      <c r="B24" s="64" t="s">
        <v>258</v>
      </c>
      <c r="C24" s="64" t="n">
        <v>3</v>
      </c>
      <c r="D24" s="64" t="s">
        <v>52</v>
      </c>
      <c r="E24" s="64" t="s">
        <v>234</v>
      </c>
      <c r="F24" s="64" t="s">
        <v>248</v>
      </c>
      <c r="G24" s="64" t="s">
        <v>240</v>
      </c>
      <c r="H24" s="64" t="s">
        <v>206</v>
      </c>
      <c r="I24" s="64" t="s">
        <v>212</v>
      </c>
      <c r="J24" s="65" t="b">
        <f aca="false">TRUE()</f>
        <v>1</v>
      </c>
      <c r="K24" s="66" t="str">
        <f aca="false">IF(J24=TRUE(),A24&amp;" - "&amp;B24,"")</f>
        <v>218 - Të tjera AAM materiale</v>
      </c>
      <c r="L24" s="64" t="s">
        <v>234</v>
      </c>
    </row>
    <row r="25" customFormat="false" ht="14.25" hidden="false" customHeight="true" outlineLevel="0" collapsed="false">
      <c r="A25" s="63" t="s">
        <v>259</v>
      </c>
      <c r="B25" s="64" t="s">
        <v>260</v>
      </c>
      <c r="C25" s="64" t="n">
        <v>2</v>
      </c>
      <c r="D25" s="64" t="s">
        <v>52</v>
      </c>
      <c r="E25" s="64" t="s">
        <v>234</v>
      </c>
      <c r="F25" s="64" t="s">
        <v>235</v>
      </c>
      <c r="G25" s="64" t="s">
        <v>198</v>
      </c>
      <c r="H25" s="64" t="s">
        <v>199</v>
      </c>
      <c r="I25" s="64"/>
      <c r="J25" s="65" t="b">
        <f aca="false">FALSE()</f>
        <v>0</v>
      </c>
      <c r="K25" s="66" t="str">
        <f aca="false">IF(J25=TRUE(),A25&amp;" - "&amp;B25,"")</f>
        <v/>
      </c>
      <c r="L25" s="64"/>
    </row>
    <row r="26" customFormat="false" ht="14.25" hidden="false" customHeight="true" outlineLevel="0" collapsed="false">
      <c r="A26" s="63" t="s">
        <v>261</v>
      </c>
      <c r="B26" s="64" t="s">
        <v>262</v>
      </c>
      <c r="C26" s="64" t="n">
        <v>3</v>
      </c>
      <c r="D26" s="64" t="s">
        <v>52</v>
      </c>
      <c r="E26" s="64" t="s">
        <v>234</v>
      </c>
      <c r="F26" s="64" t="s">
        <v>260</v>
      </c>
      <c r="G26" s="64" t="s">
        <v>240</v>
      </c>
      <c r="H26" s="64" t="s">
        <v>206</v>
      </c>
      <c r="I26" s="64" t="s">
        <v>212</v>
      </c>
      <c r="J26" s="65" t="b">
        <f aca="false">TRUE()</f>
        <v>1</v>
      </c>
      <c r="K26" s="66" t="str">
        <f aca="false">IF(J26=TRUE(),A26&amp;" - "&amp;B26,"")</f>
        <v>231 - AAM materiale në proces</v>
      </c>
      <c r="L26" s="64" t="s">
        <v>234</v>
      </c>
    </row>
    <row r="27" customFormat="false" ht="14.25" hidden="false" customHeight="true" outlineLevel="0" collapsed="false">
      <c r="A27" s="63" t="s">
        <v>263</v>
      </c>
      <c r="B27" s="64" t="s">
        <v>264</v>
      </c>
      <c r="C27" s="64" t="n">
        <v>3</v>
      </c>
      <c r="D27" s="64" t="s">
        <v>52</v>
      </c>
      <c r="E27" s="64" t="s">
        <v>234</v>
      </c>
      <c r="F27" s="64" t="s">
        <v>260</v>
      </c>
      <c r="G27" s="64" t="s">
        <v>240</v>
      </c>
      <c r="H27" s="64" t="s">
        <v>206</v>
      </c>
      <c r="I27" s="64" t="s">
        <v>212</v>
      </c>
      <c r="J27" s="65" t="b">
        <f aca="false">TRUE()</f>
        <v>1</v>
      </c>
      <c r="K27" s="66" t="str">
        <f aca="false">IF(J27=TRUE(),A27&amp;" - "&amp;B27,"")</f>
        <v>232 - AAM jomateriale në proces</v>
      </c>
      <c r="L27" s="64" t="s">
        <v>234</v>
      </c>
    </row>
    <row r="28" customFormat="false" ht="14.25" hidden="false" customHeight="true" outlineLevel="0" collapsed="false">
      <c r="A28" s="63" t="s">
        <v>265</v>
      </c>
      <c r="B28" s="64" t="s">
        <v>266</v>
      </c>
      <c r="C28" s="64" t="n">
        <v>2</v>
      </c>
      <c r="D28" s="64" t="s">
        <v>52</v>
      </c>
      <c r="E28" s="64" t="s">
        <v>234</v>
      </c>
      <c r="F28" s="64" t="s">
        <v>235</v>
      </c>
      <c r="G28" s="64" t="s">
        <v>267</v>
      </c>
      <c r="H28" s="64" t="s">
        <v>206</v>
      </c>
      <c r="I28" s="64"/>
      <c r="J28" s="65" t="b">
        <f aca="false">FALSE()</f>
        <v>0</v>
      </c>
      <c r="K28" s="66" t="str">
        <f aca="false">IF(J28=TRUE(),A28&amp;" - "&amp;B28,"")</f>
        <v/>
      </c>
      <c r="L28" s="64"/>
    </row>
    <row r="29" customFormat="false" ht="14.25" hidden="false" customHeight="true" outlineLevel="0" collapsed="false">
      <c r="A29" s="63" t="s">
        <v>268</v>
      </c>
      <c r="B29" s="64" t="s">
        <v>269</v>
      </c>
      <c r="C29" s="64" t="n">
        <v>3</v>
      </c>
      <c r="D29" s="64" t="s">
        <v>52</v>
      </c>
      <c r="E29" s="64" t="s">
        <v>234</v>
      </c>
      <c r="F29" s="64" t="s">
        <v>234</v>
      </c>
      <c r="G29" s="64" t="s">
        <v>267</v>
      </c>
      <c r="H29" s="64" t="s">
        <v>206</v>
      </c>
      <c r="I29" s="64" t="s">
        <v>207</v>
      </c>
      <c r="J29" s="65" t="b">
        <f aca="false">TRUE()</f>
        <v>1</v>
      </c>
      <c r="K29" s="66" t="str">
        <f aca="false">IF(J29=TRUE(),A29&amp;" - "&amp;B29,"")</f>
        <v>280 - Amortizimi i AA jomateriale</v>
      </c>
      <c r="L29" s="64" t="s">
        <v>270</v>
      </c>
    </row>
    <row r="30" customFormat="false" ht="14.25" hidden="false" customHeight="true" outlineLevel="0" collapsed="false">
      <c r="A30" s="63" t="s">
        <v>271</v>
      </c>
      <c r="B30" s="64" t="s">
        <v>272</v>
      </c>
      <c r="C30" s="64" t="n">
        <v>3</v>
      </c>
      <c r="D30" s="64" t="s">
        <v>52</v>
      </c>
      <c r="E30" s="64" t="s">
        <v>234</v>
      </c>
      <c r="F30" s="64" t="s">
        <v>234</v>
      </c>
      <c r="G30" s="64" t="s">
        <v>267</v>
      </c>
      <c r="H30" s="64" t="s">
        <v>206</v>
      </c>
      <c r="I30" s="64" t="s">
        <v>207</v>
      </c>
      <c r="J30" s="65" t="b">
        <f aca="false">TRUE()</f>
        <v>1</v>
      </c>
      <c r="K30" s="66" t="str">
        <f aca="false">IF(J30=TRUE(),A30&amp;" - "&amp;B30,"")</f>
        <v>281 - Amortizimi i AA materiale</v>
      </c>
      <c r="L30" s="64" t="s">
        <v>270</v>
      </c>
    </row>
    <row r="31" customFormat="false" ht="14.25" hidden="false" customHeight="true" outlineLevel="0" collapsed="false">
      <c r="A31" s="63" t="s">
        <v>273</v>
      </c>
      <c r="B31" s="64" t="s">
        <v>274</v>
      </c>
      <c r="C31" s="64" t="n">
        <v>2</v>
      </c>
      <c r="D31" s="64" t="s">
        <v>52</v>
      </c>
      <c r="E31" s="64" t="s">
        <v>234</v>
      </c>
      <c r="F31" s="64" t="s">
        <v>235</v>
      </c>
      <c r="G31" s="64" t="s">
        <v>267</v>
      </c>
      <c r="H31" s="64" t="s">
        <v>206</v>
      </c>
      <c r="I31" s="64"/>
      <c r="J31" s="65" t="b">
        <f aca="false">FALSE()</f>
        <v>0</v>
      </c>
      <c r="K31" s="66" t="str">
        <f aca="false">IF(J31=TRUE(),A31&amp;" - "&amp;B31,"")</f>
        <v/>
      </c>
      <c r="L31" s="64"/>
    </row>
    <row r="32" customFormat="false" ht="14.25" hidden="false" customHeight="true" outlineLevel="0" collapsed="false">
      <c r="A32" s="63" t="s">
        <v>275</v>
      </c>
      <c r="B32" s="64" t="s">
        <v>276</v>
      </c>
      <c r="C32" s="64" t="n">
        <v>3</v>
      </c>
      <c r="D32" s="64" t="s">
        <v>52</v>
      </c>
      <c r="E32" s="64" t="s">
        <v>234</v>
      </c>
      <c r="F32" s="64" t="s">
        <v>234</v>
      </c>
      <c r="G32" s="64" t="s">
        <v>267</v>
      </c>
      <c r="H32" s="64" t="s">
        <v>206</v>
      </c>
      <c r="I32" s="64" t="s">
        <v>207</v>
      </c>
      <c r="J32" s="65" t="b">
        <f aca="false">TRUE()</f>
        <v>1</v>
      </c>
      <c r="K32" s="66" t="str">
        <f aca="false">IF(J32=TRUE(),A32&amp;" - "&amp;B32,"")</f>
        <v>290 - Zhvlerësim i AA jomateriale</v>
      </c>
      <c r="L32" s="64" t="s">
        <v>270</v>
      </c>
    </row>
    <row r="33" customFormat="false" ht="14.25" hidden="false" customHeight="true" outlineLevel="0" collapsed="false">
      <c r="A33" s="63" t="s">
        <v>277</v>
      </c>
      <c r="B33" s="64" t="s">
        <v>278</v>
      </c>
      <c r="C33" s="64" t="n">
        <v>3</v>
      </c>
      <c r="D33" s="64" t="s">
        <v>52</v>
      </c>
      <c r="E33" s="64" t="s">
        <v>234</v>
      </c>
      <c r="F33" s="64" t="s">
        <v>234</v>
      </c>
      <c r="G33" s="64" t="s">
        <v>267</v>
      </c>
      <c r="H33" s="64" t="s">
        <v>206</v>
      </c>
      <c r="I33" s="64" t="s">
        <v>207</v>
      </c>
      <c r="J33" s="65" t="b">
        <f aca="false">TRUE()</f>
        <v>1</v>
      </c>
      <c r="K33" s="66" t="str">
        <f aca="false">IF(J33=TRUE(),A33&amp;" - "&amp;B33,"")</f>
        <v>291 - Zhvlerësim i AA materiale</v>
      </c>
      <c r="L33" s="64" t="s">
        <v>270</v>
      </c>
    </row>
    <row r="34" customFormat="false" ht="14.25" hidden="false" customHeight="true" outlineLevel="0" collapsed="false">
      <c r="A34" s="63" t="s">
        <v>57</v>
      </c>
      <c r="B34" s="64" t="s">
        <v>279</v>
      </c>
      <c r="C34" s="64" t="n">
        <v>1</v>
      </c>
      <c r="D34" s="64" t="s">
        <v>57</v>
      </c>
      <c r="E34" s="64" t="s">
        <v>280</v>
      </c>
      <c r="F34" s="64" t="s">
        <v>281</v>
      </c>
      <c r="G34" s="64" t="s">
        <v>198</v>
      </c>
      <c r="H34" s="64" t="s">
        <v>199</v>
      </c>
      <c r="I34" s="64"/>
      <c r="J34" s="65" t="b">
        <f aca="false">FALSE()</f>
        <v>0</v>
      </c>
      <c r="K34" s="66" t="str">
        <f aca="false">IF(J34=TRUE(),A34&amp;" - "&amp;B34,"")</f>
        <v/>
      </c>
      <c r="L34" s="64"/>
    </row>
    <row r="35" customFormat="false" ht="14.25" hidden="false" customHeight="true" outlineLevel="0" collapsed="false">
      <c r="A35" s="63" t="s">
        <v>282</v>
      </c>
      <c r="B35" s="64" t="s">
        <v>283</v>
      </c>
      <c r="C35" s="64" t="n">
        <v>2</v>
      </c>
      <c r="D35" s="64" t="s">
        <v>57</v>
      </c>
      <c r="E35" s="64" t="s">
        <v>280</v>
      </c>
      <c r="F35" s="64" t="s">
        <v>281</v>
      </c>
      <c r="G35" s="64" t="s">
        <v>198</v>
      </c>
      <c r="H35" s="64" t="s">
        <v>199</v>
      </c>
      <c r="I35" s="64"/>
      <c r="J35" s="65" t="b">
        <f aca="false">FALSE()</f>
        <v>0</v>
      </c>
      <c r="K35" s="66" t="str">
        <f aca="false">IF(J35=TRUE(),A35&amp;" - "&amp;B35,"")</f>
        <v/>
      </c>
      <c r="L35" s="64"/>
    </row>
    <row r="36" customFormat="false" ht="14.25" hidden="false" customHeight="true" outlineLevel="0" collapsed="false">
      <c r="A36" s="63" t="s">
        <v>284</v>
      </c>
      <c r="B36" s="64" t="s">
        <v>285</v>
      </c>
      <c r="C36" s="64" t="n">
        <v>3</v>
      </c>
      <c r="D36" s="64" t="s">
        <v>57</v>
      </c>
      <c r="E36" s="64" t="s">
        <v>280</v>
      </c>
      <c r="F36" s="64" t="s">
        <v>281</v>
      </c>
      <c r="G36" s="64" t="s">
        <v>240</v>
      </c>
      <c r="H36" s="64" t="s">
        <v>206</v>
      </c>
      <c r="I36" s="64" t="s">
        <v>212</v>
      </c>
      <c r="J36" s="65" t="b">
        <f aca="false">TRUE()</f>
        <v>1</v>
      </c>
      <c r="K36" s="66" t="str">
        <f aca="false">IF(J36=TRUE(),A36&amp;" - "&amp;B36,"")</f>
        <v>311 - Materiale të para</v>
      </c>
      <c r="L36" s="64" t="s">
        <v>281</v>
      </c>
    </row>
    <row r="37" customFormat="false" ht="14.25" hidden="false" customHeight="true" outlineLevel="0" collapsed="false">
      <c r="A37" s="63" t="s">
        <v>286</v>
      </c>
      <c r="B37" s="64" t="s">
        <v>287</v>
      </c>
      <c r="C37" s="64" t="n">
        <v>3</v>
      </c>
      <c r="D37" s="64" t="s">
        <v>57</v>
      </c>
      <c r="E37" s="64" t="s">
        <v>280</v>
      </c>
      <c r="F37" s="64" t="s">
        <v>281</v>
      </c>
      <c r="G37" s="64" t="s">
        <v>240</v>
      </c>
      <c r="H37" s="64" t="s">
        <v>206</v>
      </c>
      <c r="I37" s="64" t="s">
        <v>212</v>
      </c>
      <c r="J37" s="65" t="b">
        <f aca="false">TRUE()</f>
        <v>1</v>
      </c>
      <c r="K37" s="66" t="str">
        <f aca="false">IF(J37=TRUE(),A37&amp;" - "&amp;B37,"")</f>
        <v>312 - Materiale të tjera</v>
      </c>
      <c r="L37" s="64" t="s">
        <v>281</v>
      </c>
    </row>
    <row r="38" customFormat="false" ht="14.25" hidden="false" customHeight="true" outlineLevel="0" collapsed="false">
      <c r="A38" s="63" t="s">
        <v>288</v>
      </c>
      <c r="B38" s="64" t="s">
        <v>289</v>
      </c>
      <c r="C38" s="64" t="n">
        <v>2</v>
      </c>
      <c r="D38" s="64" t="s">
        <v>57</v>
      </c>
      <c r="E38" s="64" t="s">
        <v>280</v>
      </c>
      <c r="F38" s="64" t="s">
        <v>281</v>
      </c>
      <c r="G38" s="64" t="s">
        <v>198</v>
      </c>
      <c r="H38" s="64" t="s">
        <v>199</v>
      </c>
      <c r="I38" s="64"/>
      <c r="J38" s="65" t="b">
        <f aca="false">FALSE()</f>
        <v>0</v>
      </c>
      <c r="K38" s="66" t="str">
        <f aca="false">IF(J38=TRUE(),A38&amp;" - "&amp;B38,"")</f>
        <v/>
      </c>
      <c r="L38" s="64"/>
    </row>
    <row r="39" customFormat="false" ht="14.25" hidden="false" customHeight="true" outlineLevel="0" collapsed="false">
      <c r="A39" s="63" t="s">
        <v>290</v>
      </c>
      <c r="B39" s="64" t="s">
        <v>291</v>
      </c>
      <c r="C39" s="64" t="n">
        <v>3</v>
      </c>
      <c r="D39" s="64" t="s">
        <v>57</v>
      </c>
      <c r="E39" s="64" t="s">
        <v>280</v>
      </c>
      <c r="F39" s="64" t="s">
        <v>281</v>
      </c>
      <c r="G39" s="64" t="s">
        <v>240</v>
      </c>
      <c r="H39" s="64" t="s">
        <v>206</v>
      </c>
      <c r="I39" s="64" t="s">
        <v>212</v>
      </c>
      <c r="J39" s="65" t="b">
        <f aca="false">TRUE()</f>
        <v>1</v>
      </c>
      <c r="K39" s="66" t="str">
        <f aca="false">IF(J39=TRUE(),A39&amp;" - "&amp;B39,"")</f>
        <v>321 - Objekte inventari</v>
      </c>
      <c r="L39" s="64" t="s">
        <v>281</v>
      </c>
    </row>
    <row r="40" customFormat="false" ht="14.25" hidden="false" customHeight="true" outlineLevel="0" collapsed="false">
      <c r="A40" s="63" t="s">
        <v>292</v>
      </c>
      <c r="B40" s="64" t="s">
        <v>293</v>
      </c>
      <c r="C40" s="64" t="n">
        <v>3</v>
      </c>
      <c r="D40" s="64" t="s">
        <v>57</v>
      </c>
      <c r="E40" s="64" t="s">
        <v>280</v>
      </c>
      <c r="F40" s="64" t="s">
        <v>281</v>
      </c>
      <c r="G40" s="64" t="s">
        <v>240</v>
      </c>
      <c r="H40" s="64" t="s">
        <v>206</v>
      </c>
      <c r="I40" s="64" t="s">
        <v>212</v>
      </c>
      <c r="J40" s="65" t="b">
        <f aca="false">TRUE()</f>
        <v>1</v>
      </c>
      <c r="K40" s="66" t="str">
        <f aca="false">IF(J40=TRUE(),A40&amp;" - "&amp;B40,"")</f>
        <v>326 - Ambalazh i kthyeshëm</v>
      </c>
      <c r="L40" s="64" t="s">
        <v>281</v>
      </c>
    </row>
    <row r="41" customFormat="false" ht="14.25" hidden="false" customHeight="true" outlineLevel="0" collapsed="false">
      <c r="A41" s="63" t="s">
        <v>294</v>
      </c>
      <c r="B41" s="64" t="s">
        <v>295</v>
      </c>
      <c r="C41" s="64" t="n">
        <v>2</v>
      </c>
      <c r="D41" s="64" t="s">
        <v>57</v>
      </c>
      <c r="E41" s="64" t="s">
        <v>280</v>
      </c>
      <c r="F41" s="64" t="s">
        <v>281</v>
      </c>
      <c r="G41" s="64" t="s">
        <v>198</v>
      </c>
      <c r="H41" s="64" t="s">
        <v>199</v>
      </c>
      <c r="I41" s="64"/>
      <c r="J41" s="65" t="b">
        <f aca="false">FALSE()</f>
        <v>0</v>
      </c>
      <c r="K41" s="66" t="str">
        <f aca="false">IF(J41=TRUE(),A41&amp;" - "&amp;B41,"")</f>
        <v/>
      </c>
      <c r="L41" s="64"/>
    </row>
    <row r="42" customFormat="false" ht="14.25" hidden="false" customHeight="true" outlineLevel="0" collapsed="false">
      <c r="A42" s="63" t="s">
        <v>296</v>
      </c>
      <c r="B42" s="64" t="s">
        <v>295</v>
      </c>
      <c r="C42" s="64" t="n">
        <v>3</v>
      </c>
      <c r="D42" s="64" t="s">
        <v>57</v>
      </c>
      <c r="E42" s="64" t="s">
        <v>280</v>
      </c>
      <c r="F42" s="64" t="s">
        <v>281</v>
      </c>
      <c r="G42" s="64" t="s">
        <v>240</v>
      </c>
      <c r="H42" s="64" t="s">
        <v>206</v>
      </c>
      <c r="I42" s="64" t="s">
        <v>212</v>
      </c>
      <c r="J42" s="65" t="b">
        <f aca="false">TRUE()</f>
        <v>1</v>
      </c>
      <c r="K42" s="66" t="str">
        <f aca="false">IF(J42=TRUE(),A42&amp;" - "&amp;B42,"")</f>
        <v>331 - Prodhime në proces</v>
      </c>
      <c r="L42" s="64" t="s">
        <v>281</v>
      </c>
    </row>
    <row r="43" customFormat="false" ht="14.25" hidden="false" customHeight="true" outlineLevel="0" collapsed="false">
      <c r="A43" s="63" t="s">
        <v>297</v>
      </c>
      <c r="B43" s="64" t="s">
        <v>298</v>
      </c>
      <c r="C43" s="64" t="n">
        <v>3</v>
      </c>
      <c r="D43" s="64" t="s">
        <v>57</v>
      </c>
      <c r="E43" s="64" t="s">
        <v>280</v>
      </c>
      <c r="F43" s="64" t="s">
        <v>281</v>
      </c>
      <c r="G43" s="64" t="s">
        <v>240</v>
      </c>
      <c r="H43" s="64" t="s">
        <v>206</v>
      </c>
      <c r="I43" s="64" t="s">
        <v>212</v>
      </c>
      <c r="J43" s="65" t="b">
        <f aca="false">TRUE()</f>
        <v>1</v>
      </c>
      <c r="K43" s="66" t="str">
        <f aca="false">IF(J43=TRUE(),A43&amp;" - "&amp;B43,"")</f>
        <v>332 - Punime në proces</v>
      </c>
      <c r="L43" s="64" t="s">
        <v>281</v>
      </c>
    </row>
    <row r="44" customFormat="false" ht="14.25" hidden="false" customHeight="true" outlineLevel="0" collapsed="false">
      <c r="A44" s="63" t="s">
        <v>299</v>
      </c>
      <c r="B44" s="64" t="s">
        <v>300</v>
      </c>
      <c r="C44" s="64" t="n">
        <v>2</v>
      </c>
      <c r="D44" s="64" t="s">
        <v>57</v>
      </c>
      <c r="E44" s="64" t="s">
        <v>280</v>
      </c>
      <c r="F44" s="64" t="s">
        <v>281</v>
      </c>
      <c r="G44" s="64" t="s">
        <v>198</v>
      </c>
      <c r="H44" s="64" t="s">
        <v>199</v>
      </c>
      <c r="I44" s="64"/>
      <c r="J44" s="65" t="b">
        <f aca="false">FALSE()</f>
        <v>0</v>
      </c>
      <c r="K44" s="66" t="str">
        <f aca="false">IF(J44=TRUE(),A44&amp;" - "&amp;B44,"")</f>
        <v/>
      </c>
      <c r="L44" s="64"/>
    </row>
    <row r="45" customFormat="false" ht="14.25" hidden="false" customHeight="true" outlineLevel="0" collapsed="false">
      <c r="A45" s="63" t="s">
        <v>301</v>
      </c>
      <c r="B45" s="64" t="s">
        <v>302</v>
      </c>
      <c r="C45" s="64" t="n">
        <v>3</v>
      </c>
      <c r="D45" s="64" t="s">
        <v>57</v>
      </c>
      <c r="E45" s="64" t="s">
        <v>280</v>
      </c>
      <c r="F45" s="64" t="s">
        <v>281</v>
      </c>
      <c r="G45" s="64" t="s">
        <v>240</v>
      </c>
      <c r="H45" s="64" t="s">
        <v>206</v>
      </c>
      <c r="I45" s="64" t="s">
        <v>212</v>
      </c>
      <c r="J45" s="65" t="b">
        <f aca="false">TRUE()</f>
        <v>1</v>
      </c>
      <c r="K45" s="66" t="str">
        <f aca="false">IF(J45=TRUE(),A45&amp;" - "&amp;B45,"")</f>
        <v>341 - Produkte të ndërmjetme</v>
      </c>
      <c r="L45" s="64" t="s">
        <v>281</v>
      </c>
    </row>
    <row r="46" customFormat="false" ht="14.25" hidden="false" customHeight="true" outlineLevel="0" collapsed="false">
      <c r="A46" s="63" t="s">
        <v>303</v>
      </c>
      <c r="B46" s="64" t="s">
        <v>304</v>
      </c>
      <c r="C46" s="64" t="n">
        <v>3</v>
      </c>
      <c r="D46" s="64" t="s">
        <v>57</v>
      </c>
      <c r="E46" s="64" t="s">
        <v>280</v>
      </c>
      <c r="F46" s="64" t="s">
        <v>281</v>
      </c>
      <c r="G46" s="64" t="s">
        <v>240</v>
      </c>
      <c r="H46" s="64" t="s">
        <v>206</v>
      </c>
      <c r="I46" s="64" t="s">
        <v>212</v>
      </c>
      <c r="J46" s="65" t="b">
        <f aca="false">TRUE()</f>
        <v>1</v>
      </c>
      <c r="K46" s="66" t="str">
        <f aca="false">IF(J46=TRUE(),A46&amp;" - "&amp;B46,"")</f>
        <v>342 - Produkte të gatshme</v>
      </c>
      <c r="L46" s="64" t="s">
        <v>281</v>
      </c>
    </row>
    <row r="47" customFormat="false" ht="14.25" hidden="false" customHeight="true" outlineLevel="0" collapsed="false">
      <c r="A47" s="63" t="s">
        <v>305</v>
      </c>
      <c r="B47" s="64" t="s">
        <v>306</v>
      </c>
      <c r="C47" s="64" t="n">
        <v>2</v>
      </c>
      <c r="D47" s="64" t="s">
        <v>57</v>
      </c>
      <c r="E47" s="64" t="s">
        <v>280</v>
      </c>
      <c r="F47" s="64" t="s">
        <v>281</v>
      </c>
      <c r="G47" s="64" t="s">
        <v>198</v>
      </c>
      <c r="H47" s="64" t="s">
        <v>199</v>
      </c>
      <c r="I47" s="64"/>
      <c r="J47" s="65" t="b">
        <f aca="false">FALSE()</f>
        <v>0</v>
      </c>
      <c r="K47" s="66" t="str">
        <f aca="false">IF(J47=TRUE(),A47&amp;" - "&amp;B47,"")</f>
        <v/>
      </c>
      <c r="L47" s="64"/>
    </row>
    <row r="48" customFormat="false" ht="14.25" hidden="false" customHeight="true" outlineLevel="0" collapsed="false">
      <c r="A48" s="63" t="s">
        <v>307</v>
      </c>
      <c r="B48" s="64" t="s">
        <v>306</v>
      </c>
      <c r="C48" s="64" t="n">
        <v>3</v>
      </c>
      <c r="D48" s="64" t="s">
        <v>57</v>
      </c>
      <c r="E48" s="64" t="s">
        <v>280</v>
      </c>
      <c r="F48" s="64" t="s">
        <v>281</v>
      </c>
      <c r="G48" s="64" t="s">
        <v>240</v>
      </c>
      <c r="H48" s="64" t="s">
        <v>206</v>
      </c>
      <c r="I48" s="64" t="s">
        <v>212</v>
      </c>
      <c r="J48" s="65" t="b">
        <f aca="false">TRUE()</f>
        <v>1</v>
      </c>
      <c r="K48" s="66" t="str">
        <f aca="false">IF(J48=TRUE(),A48&amp;" - "&amp;B48,"")</f>
        <v>351 - Mallra për shitje</v>
      </c>
      <c r="L48" s="64" t="s">
        <v>281</v>
      </c>
    </row>
    <row r="49" customFormat="false" ht="14.25" hidden="false" customHeight="true" outlineLevel="0" collapsed="false">
      <c r="A49" s="63" t="s">
        <v>308</v>
      </c>
      <c r="B49" s="64" t="s">
        <v>309</v>
      </c>
      <c r="C49" s="64" t="n">
        <v>2</v>
      </c>
      <c r="D49" s="64" t="s">
        <v>57</v>
      </c>
      <c r="E49" s="64" t="s">
        <v>280</v>
      </c>
      <c r="F49" s="64" t="s">
        <v>281</v>
      </c>
      <c r="G49" s="64" t="s">
        <v>198</v>
      </c>
      <c r="H49" s="64" t="s">
        <v>199</v>
      </c>
      <c r="I49" s="64"/>
      <c r="J49" s="65" t="b">
        <f aca="false">FALSE()</f>
        <v>0</v>
      </c>
      <c r="K49" s="66" t="str">
        <f aca="false">IF(J49=TRUE(),A49&amp;" - "&amp;B49,"")</f>
        <v/>
      </c>
      <c r="L49" s="64"/>
    </row>
    <row r="50" customFormat="false" ht="14.25" hidden="false" customHeight="true" outlineLevel="0" collapsed="false">
      <c r="A50" s="63" t="s">
        <v>310</v>
      </c>
      <c r="B50" s="64" t="s">
        <v>311</v>
      </c>
      <c r="C50" s="64" t="n">
        <v>3</v>
      </c>
      <c r="D50" s="64" t="s">
        <v>57</v>
      </c>
      <c r="E50" s="64" t="s">
        <v>280</v>
      </c>
      <c r="F50" s="64" t="s">
        <v>281</v>
      </c>
      <c r="G50" s="64" t="s">
        <v>240</v>
      </c>
      <c r="H50" s="64" t="s">
        <v>206</v>
      </c>
      <c r="I50" s="64" t="s">
        <v>212</v>
      </c>
      <c r="J50" s="65" t="b">
        <f aca="false">TRUE()</f>
        <v>1</v>
      </c>
      <c r="K50" s="66" t="str">
        <f aca="false">IF(J50=TRUE(),A50&amp;" - "&amp;B50,"")</f>
        <v>371 - Materiale të para në rrugë</v>
      </c>
      <c r="L50" s="64" t="s">
        <v>281</v>
      </c>
    </row>
    <row r="51" customFormat="false" ht="14.25" hidden="false" customHeight="true" outlineLevel="0" collapsed="false">
      <c r="A51" s="63" t="s">
        <v>312</v>
      </c>
      <c r="B51" s="64" t="s">
        <v>313</v>
      </c>
      <c r="C51" s="64" t="n">
        <v>3</v>
      </c>
      <c r="D51" s="64" t="s">
        <v>57</v>
      </c>
      <c r="E51" s="64" t="s">
        <v>280</v>
      </c>
      <c r="F51" s="64" t="s">
        <v>281</v>
      </c>
      <c r="G51" s="64" t="s">
        <v>240</v>
      </c>
      <c r="H51" s="64" t="s">
        <v>206</v>
      </c>
      <c r="I51" s="64" t="s">
        <v>212</v>
      </c>
      <c r="J51" s="65" t="b">
        <f aca="false">TRUE()</f>
        <v>1</v>
      </c>
      <c r="K51" s="66" t="str">
        <f aca="false">IF(J51=TRUE(),A51&amp;" - "&amp;B51,"")</f>
        <v>372 - Materiale të tjera në rrugë</v>
      </c>
      <c r="L51" s="64" t="s">
        <v>281</v>
      </c>
    </row>
    <row r="52" customFormat="false" ht="14.25" hidden="false" customHeight="true" outlineLevel="0" collapsed="false">
      <c r="A52" s="63" t="s">
        <v>314</v>
      </c>
      <c r="B52" s="64" t="s">
        <v>315</v>
      </c>
      <c r="C52" s="64" t="n">
        <v>3</v>
      </c>
      <c r="D52" s="64" t="s">
        <v>57</v>
      </c>
      <c r="E52" s="64" t="s">
        <v>280</v>
      </c>
      <c r="F52" s="64" t="s">
        <v>281</v>
      </c>
      <c r="G52" s="64" t="s">
        <v>240</v>
      </c>
      <c r="H52" s="64" t="s">
        <v>206</v>
      </c>
      <c r="I52" s="64" t="s">
        <v>212</v>
      </c>
      <c r="J52" s="65" t="b">
        <f aca="false">TRUE()</f>
        <v>1</v>
      </c>
      <c r="K52" s="66" t="str">
        <f aca="false">IF(J52=TRUE(),A52&amp;" - "&amp;B52,"")</f>
        <v>374 - Produkte të gatshme në rrugë</v>
      </c>
      <c r="L52" s="64" t="s">
        <v>281</v>
      </c>
    </row>
    <row r="53" customFormat="false" ht="14.25" hidden="false" customHeight="true" outlineLevel="0" collapsed="false">
      <c r="A53" s="63" t="s">
        <v>316</v>
      </c>
      <c r="B53" s="64" t="s">
        <v>317</v>
      </c>
      <c r="C53" s="64" t="n">
        <v>3</v>
      </c>
      <c r="D53" s="64" t="s">
        <v>57</v>
      </c>
      <c r="E53" s="64" t="s">
        <v>280</v>
      </c>
      <c r="F53" s="64" t="s">
        <v>281</v>
      </c>
      <c r="G53" s="64" t="s">
        <v>240</v>
      </c>
      <c r="H53" s="64" t="s">
        <v>206</v>
      </c>
      <c r="I53" s="64" t="s">
        <v>212</v>
      </c>
      <c r="J53" s="65" t="b">
        <f aca="false">TRUE()</f>
        <v>1</v>
      </c>
      <c r="K53" s="66" t="str">
        <f aca="false">IF(J53=TRUE(),A53&amp;" - "&amp;B53,"")</f>
        <v>375 - Mallra në rrugë</v>
      </c>
      <c r="L53" s="64" t="s">
        <v>281</v>
      </c>
    </row>
    <row r="54" customFormat="false" ht="14.25" hidden="false" customHeight="true" outlineLevel="0" collapsed="false">
      <c r="A54" s="63" t="s">
        <v>318</v>
      </c>
      <c r="B54" s="64" t="s">
        <v>319</v>
      </c>
      <c r="C54" s="64" t="n">
        <v>2</v>
      </c>
      <c r="D54" s="64" t="s">
        <v>57</v>
      </c>
      <c r="E54" s="64" t="s">
        <v>280</v>
      </c>
      <c r="F54" s="64" t="s">
        <v>281</v>
      </c>
      <c r="G54" s="64" t="s">
        <v>198</v>
      </c>
      <c r="H54" s="64" t="s">
        <v>199</v>
      </c>
      <c r="I54" s="64"/>
      <c r="J54" s="65" t="b">
        <f aca="false">FALSE()</f>
        <v>0</v>
      </c>
      <c r="K54" s="66" t="str">
        <f aca="false">IF(J54=TRUE(),A54&amp;" - "&amp;B54,"")</f>
        <v/>
      </c>
      <c r="L54" s="64"/>
    </row>
    <row r="55" customFormat="false" ht="14.25" hidden="false" customHeight="true" outlineLevel="0" collapsed="false">
      <c r="A55" s="63" t="s">
        <v>320</v>
      </c>
      <c r="B55" s="64" t="s">
        <v>321</v>
      </c>
      <c r="C55" s="64" t="n">
        <v>3</v>
      </c>
      <c r="D55" s="64" t="s">
        <v>57</v>
      </c>
      <c r="E55" s="64" t="s">
        <v>280</v>
      </c>
      <c r="F55" s="64" t="s">
        <v>281</v>
      </c>
      <c r="G55" s="64" t="s">
        <v>267</v>
      </c>
      <c r="H55" s="64" t="s">
        <v>206</v>
      </c>
      <c r="I55" s="64" t="s">
        <v>207</v>
      </c>
      <c r="J55" s="65" t="b">
        <f aca="false">TRUE()</f>
        <v>1</v>
      </c>
      <c r="K55" s="66" t="str">
        <f aca="false">IF(J55=TRUE(),A55&amp;" - "&amp;B55,"")</f>
        <v>391 - Zhvlerësim i materialeve të para</v>
      </c>
      <c r="L55" s="64" t="s">
        <v>322</v>
      </c>
    </row>
    <row r="56" customFormat="false" ht="14.25" hidden="false" customHeight="true" outlineLevel="0" collapsed="false">
      <c r="A56" s="63" t="s">
        <v>323</v>
      </c>
      <c r="B56" s="64" t="s">
        <v>324</v>
      </c>
      <c r="C56" s="64" t="n">
        <v>3</v>
      </c>
      <c r="D56" s="64" t="s">
        <v>57</v>
      </c>
      <c r="E56" s="64" t="s">
        <v>280</v>
      </c>
      <c r="F56" s="64" t="s">
        <v>281</v>
      </c>
      <c r="G56" s="64" t="s">
        <v>267</v>
      </c>
      <c r="H56" s="64" t="s">
        <v>206</v>
      </c>
      <c r="I56" s="64" t="s">
        <v>207</v>
      </c>
      <c r="J56" s="65" t="b">
        <f aca="false">TRUE()</f>
        <v>1</v>
      </c>
      <c r="K56" s="66" t="str">
        <f aca="false">IF(J56=TRUE(),A56&amp;" - "&amp;B56,"")</f>
        <v>394 - Zhvlerësim i produkteve të gatshme</v>
      </c>
      <c r="L56" s="64" t="s">
        <v>322</v>
      </c>
    </row>
    <row r="57" customFormat="false" ht="14.25" hidden="false" customHeight="true" outlineLevel="0" collapsed="false">
      <c r="A57" s="63" t="s">
        <v>325</v>
      </c>
      <c r="B57" s="64" t="s">
        <v>326</v>
      </c>
      <c r="C57" s="64" t="n">
        <v>3</v>
      </c>
      <c r="D57" s="64" t="s">
        <v>57</v>
      </c>
      <c r="E57" s="64" t="s">
        <v>280</v>
      </c>
      <c r="F57" s="64" t="s">
        <v>281</v>
      </c>
      <c r="G57" s="64" t="s">
        <v>267</v>
      </c>
      <c r="H57" s="64" t="s">
        <v>206</v>
      </c>
      <c r="I57" s="64" t="s">
        <v>207</v>
      </c>
      <c r="J57" s="65" t="b">
        <f aca="false">TRUE()</f>
        <v>1</v>
      </c>
      <c r="K57" s="66" t="str">
        <f aca="false">IF(J57=TRUE(),A57&amp;" - "&amp;B57,"")</f>
        <v>395 - Zhvlerësim i mallrave për shitje</v>
      </c>
      <c r="L57" s="64" t="s">
        <v>322</v>
      </c>
    </row>
    <row r="58" customFormat="false" ht="14.25" hidden="false" customHeight="true" outlineLevel="0" collapsed="false">
      <c r="A58" s="63" t="s">
        <v>62</v>
      </c>
      <c r="B58" s="64" t="s">
        <v>327</v>
      </c>
      <c r="C58" s="64" t="n">
        <v>1</v>
      </c>
      <c r="D58" s="64" t="s">
        <v>62</v>
      </c>
      <c r="E58" s="64" t="s">
        <v>327</v>
      </c>
      <c r="F58" s="64" t="s">
        <v>328</v>
      </c>
      <c r="G58" s="64" t="s">
        <v>198</v>
      </c>
      <c r="H58" s="64" t="s">
        <v>199</v>
      </c>
      <c r="I58" s="64"/>
      <c r="J58" s="65" t="b">
        <f aca="false">FALSE()</f>
        <v>0</v>
      </c>
      <c r="K58" s="66" t="str">
        <f aca="false">IF(J58=TRUE(),A58&amp;" - "&amp;B58,"")</f>
        <v/>
      </c>
      <c r="L58" s="64"/>
    </row>
    <row r="59" customFormat="false" ht="14.25" hidden="false" customHeight="true" outlineLevel="0" collapsed="false">
      <c r="A59" s="63" t="s">
        <v>329</v>
      </c>
      <c r="B59" s="64" t="s">
        <v>330</v>
      </c>
      <c r="C59" s="64" t="n">
        <v>2</v>
      </c>
      <c r="D59" s="64" t="s">
        <v>62</v>
      </c>
      <c r="E59" s="64" t="s">
        <v>327</v>
      </c>
      <c r="F59" s="64" t="s">
        <v>328</v>
      </c>
      <c r="G59" s="64" t="s">
        <v>198</v>
      </c>
      <c r="H59" s="64" t="s">
        <v>199</v>
      </c>
      <c r="I59" s="64"/>
      <c r="J59" s="65" t="b">
        <f aca="false">FALSE()</f>
        <v>0</v>
      </c>
      <c r="K59" s="66" t="str">
        <f aca="false">IF(J59=TRUE(),A59&amp;" - "&amp;B59,"")</f>
        <v/>
      </c>
      <c r="L59" s="64"/>
    </row>
    <row r="60" customFormat="false" ht="14.25" hidden="false" customHeight="true" outlineLevel="0" collapsed="false">
      <c r="A60" s="63" t="s">
        <v>331</v>
      </c>
      <c r="B60" s="64" t="s">
        <v>332</v>
      </c>
      <c r="C60" s="64" t="n">
        <v>3</v>
      </c>
      <c r="D60" s="64" t="s">
        <v>62</v>
      </c>
      <c r="E60" s="64" t="s">
        <v>327</v>
      </c>
      <c r="F60" s="64" t="s">
        <v>330</v>
      </c>
      <c r="G60" s="64" t="s">
        <v>333</v>
      </c>
      <c r="H60" s="64" t="s">
        <v>206</v>
      </c>
      <c r="I60" s="64" t="s">
        <v>207</v>
      </c>
      <c r="J60" s="65" t="b">
        <f aca="false">TRUE()</f>
        <v>1</v>
      </c>
      <c r="K60" s="66" t="str">
        <f aca="false">IF(J60=TRUE(),A60&amp;" - "&amp;B60,"")</f>
        <v>401 - Furnitorë për mallra, produkte e shërbime</v>
      </c>
      <c r="L60" s="64" t="s">
        <v>334</v>
      </c>
    </row>
    <row r="61" customFormat="false" ht="14.25" hidden="false" customHeight="true" outlineLevel="0" collapsed="false">
      <c r="A61" s="63" t="s">
        <v>335</v>
      </c>
      <c r="B61" s="64" t="s">
        <v>336</v>
      </c>
      <c r="C61" s="64" t="n">
        <v>3</v>
      </c>
      <c r="D61" s="64" t="s">
        <v>62</v>
      </c>
      <c r="E61" s="64" t="s">
        <v>327</v>
      </c>
      <c r="F61" s="64" t="s">
        <v>330</v>
      </c>
      <c r="G61" s="64" t="s">
        <v>333</v>
      </c>
      <c r="H61" s="64" t="s">
        <v>206</v>
      </c>
      <c r="I61" s="64" t="s">
        <v>207</v>
      </c>
      <c r="J61" s="65" t="b">
        <f aca="false">TRUE()</f>
        <v>1</v>
      </c>
      <c r="K61" s="66" t="str">
        <f aca="false">IF(J61=TRUE(),A61&amp;" - "&amp;B61,"")</f>
        <v>403 - Premtim pagesa të pagueshme</v>
      </c>
      <c r="L61" s="64" t="s">
        <v>334</v>
      </c>
    </row>
    <row r="62" customFormat="false" ht="14.25" hidden="false" customHeight="true" outlineLevel="0" collapsed="false">
      <c r="A62" s="63" t="s">
        <v>337</v>
      </c>
      <c r="B62" s="64" t="s">
        <v>338</v>
      </c>
      <c r="C62" s="64" t="n">
        <v>3</v>
      </c>
      <c r="D62" s="64" t="s">
        <v>62</v>
      </c>
      <c r="E62" s="64" t="s">
        <v>327</v>
      </c>
      <c r="F62" s="64" t="s">
        <v>330</v>
      </c>
      <c r="G62" s="64" t="s">
        <v>333</v>
      </c>
      <c r="H62" s="64" t="s">
        <v>206</v>
      </c>
      <c r="I62" s="64" t="s">
        <v>207</v>
      </c>
      <c r="J62" s="65" t="b">
        <f aca="false">TRUE()</f>
        <v>1</v>
      </c>
      <c r="K62" s="66" t="str">
        <f aca="false">IF(J62=TRUE(),A62&amp;" - "&amp;B62,"")</f>
        <v>404 - Furnitorë për aktive afatgjata</v>
      </c>
      <c r="L62" s="64" t="s">
        <v>334</v>
      </c>
    </row>
    <row r="63" customFormat="false" ht="14.25" hidden="false" customHeight="true" outlineLevel="0" collapsed="false">
      <c r="A63" s="63" t="s">
        <v>339</v>
      </c>
      <c r="B63" s="64" t="s">
        <v>340</v>
      </c>
      <c r="C63" s="64" t="n">
        <v>3</v>
      </c>
      <c r="D63" s="64" t="s">
        <v>62</v>
      </c>
      <c r="E63" s="64" t="s">
        <v>327</v>
      </c>
      <c r="F63" s="64" t="s">
        <v>330</v>
      </c>
      <c r="G63" s="64" t="s">
        <v>333</v>
      </c>
      <c r="H63" s="64" t="s">
        <v>206</v>
      </c>
      <c r="I63" s="64" t="s">
        <v>207</v>
      </c>
      <c r="J63" s="65" t="b">
        <f aca="false">TRUE()</f>
        <v>1</v>
      </c>
      <c r="K63" s="66" t="str">
        <f aca="false">IF(J63=TRUE(),A63&amp;" - "&amp;B63,"")</f>
        <v>408 - Furnitorë për fatura të pambërritura</v>
      </c>
      <c r="L63" s="64" t="s">
        <v>334</v>
      </c>
    </row>
    <row r="64" customFormat="false" ht="14.25" hidden="false" customHeight="true" outlineLevel="0" collapsed="false">
      <c r="A64" s="63" t="s">
        <v>341</v>
      </c>
      <c r="B64" s="64" t="s">
        <v>342</v>
      </c>
      <c r="C64" s="64" t="n">
        <v>3</v>
      </c>
      <c r="D64" s="64" t="s">
        <v>62</v>
      </c>
      <c r="E64" s="64" t="s">
        <v>327</v>
      </c>
      <c r="F64" s="64" t="s">
        <v>330</v>
      </c>
      <c r="G64" s="64" t="s">
        <v>333</v>
      </c>
      <c r="H64" s="64" t="s">
        <v>206</v>
      </c>
      <c r="I64" s="64" t="s">
        <v>207</v>
      </c>
      <c r="J64" s="65" t="b">
        <f aca="false">TRUE()</f>
        <v>1</v>
      </c>
      <c r="K64" s="66" t="str">
        <f aca="false">IF(J64=TRUE(),A64&amp;" - "&amp;B64,"")</f>
        <v>409 - Parapagime të marra</v>
      </c>
      <c r="L64" s="64" t="s">
        <v>334</v>
      </c>
    </row>
    <row r="65" customFormat="false" ht="14.25" hidden="false" customHeight="true" outlineLevel="0" collapsed="false">
      <c r="A65" s="63" t="s">
        <v>343</v>
      </c>
      <c r="B65" s="64" t="s">
        <v>344</v>
      </c>
      <c r="C65" s="64" t="n">
        <v>2</v>
      </c>
      <c r="D65" s="64" t="s">
        <v>62</v>
      </c>
      <c r="E65" s="64" t="s">
        <v>327</v>
      </c>
      <c r="F65" s="64" t="s">
        <v>328</v>
      </c>
      <c r="G65" s="64" t="s">
        <v>198</v>
      </c>
      <c r="H65" s="64" t="s">
        <v>199</v>
      </c>
      <c r="I65" s="64"/>
      <c r="J65" s="65" t="b">
        <f aca="false">FALSE()</f>
        <v>0</v>
      </c>
      <c r="K65" s="66" t="str">
        <f aca="false">IF(J65=TRUE(),A65&amp;" - "&amp;B65,"")</f>
        <v/>
      </c>
      <c r="L65" s="64"/>
    </row>
    <row r="66" customFormat="false" ht="14.25" hidden="false" customHeight="true" outlineLevel="0" collapsed="false">
      <c r="A66" s="63" t="s">
        <v>345</v>
      </c>
      <c r="B66" s="64" t="s">
        <v>346</v>
      </c>
      <c r="C66" s="64" t="n">
        <v>3</v>
      </c>
      <c r="D66" s="64" t="s">
        <v>62</v>
      </c>
      <c r="E66" s="64" t="s">
        <v>327</v>
      </c>
      <c r="F66" s="64" t="s">
        <v>344</v>
      </c>
      <c r="G66" s="64" t="s">
        <v>240</v>
      </c>
      <c r="H66" s="64" t="s">
        <v>206</v>
      </c>
      <c r="I66" s="64" t="s">
        <v>212</v>
      </c>
      <c r="J66" s="65" t="b">
        <f aca="false">TRUE()</f>
        <v>1</v>
      </c>
      <c r="K66" s="66" t="str">
        <f aca="false">IF(J66=TRUE(),A66&amp;" - "&amp;B66,"")</f>
        <v>411 - Klientë për mallra, produkte e shërbime</v>
      </c>
      <c r="L66" s="64" t="s">
        <v>347</v>
      </c>
    </row>
    <row r="67" customFormat="false" ht="14.25" hidden="false" customHeight="true" outlineLevel="0" collapsed="false">
      <c r="A67" s="63" t="s">
        <v>348</v>
      </c>
      <c r="B67" s="64" t="s">
        <v>349</v>
      </c>
      <c r="C67" s="64" t="n">
        <v>3</v>
      </c>
      <c r="D67" s="64" t="s">
        <v>62</v>
      </c>
      <c r="E67" s="64" t="s">
        <v>327</v>
      </c>
      <c r="F67" s="64" t="s">
        <v>344</v>
      </c>
      <c r="G67" s="64" t="s">
        <v>240</v>
      </c>
      <c r="H67" s="64" t="s">
        <v>206</v>
      </c>
      <c r="I67" s="64" t="s">
        <v>212</v>
      </c>
      <c r="J67" s="65" t="b">
        <f aca="false">TRUE()</f>
        <v>1</v>
      </c>
      <c r="K67" s="66" t="str">
        <f aca="false">IF(J67=TRUE(),A67&amp;" - "&amp;B67,"")</f>
        <v>413 - Premtim pagesa të arkëtueshme</v>
      </c>
      <c r="L67" s="64" t="s">
        <v>347</v>
      </c>
    </row>
    <row r="68" customFormat="false" ht="14.25" hidden="false" customHeight="true" outlineLevel="0" collapsed="false">
      <c r="A68" s="63" t="s">
        <v>350</v>
      </c>
      <c r="B68" s="64" t="s">
        <v>351</v>
      </c>
      <c r="C68" s="64" t="n">
        <v>3</v>
      </c>
      <c r="D68" s="64" t="s">
        <v>62</v>
      </c>
      <c r="E68" s="64" t="s">
        <v>327</v>
      </c>
      <c r="F68" s="64" t="s">
        <v>344</v>
      </c>
      <c r="G68" s="64" t="s">
        <v>240</v>
      </c>
      <c r="H68" s="64" t="s">
        <v>206</v>
      </c>
      <c r="I68" s="64" t="s">
        <v>212</v>
      </c>
      <c r="J68" s="65" t="b">
        <f aca="false">TRUE()</f>
        <v>1</v>
      </c>
      <c r="K68" s="66" t="str">
        <f aca="false">IF(J68=TRUE(),A68&amp;" - "&amp;B68,"")</f>
        <v>414 - Klientë për aktive afatgjata</v>
      </c>
      <c r="L68" s="64" t="s">
        <v>347</v>
      </c>
    </row>
    <row r="69" customFormat="false" ht="14.25" hidden="false" customHeight="true" outlineLevel="0" collapsed="false">
      <c r="A69" s="63" t="s">
        <v>352</v>
      </c>
      <c r="B69" s="64" t="s">
        <v>353</v>
      </c>
      <c r="C69" s="64" t="n">
        <v>3</v>
      </c>
      <c r="D69" s="64" t="s">
        <v>62</v>
      </c>
      <c r="E69" s="64" t="s">
        <v>327</v>
      </c>
      <c r="F69" s="64" t="s">
        <v>344</v>
      </c>
      <c r="G69" s="64" t="s">
        <v>240</v>
      </c>
      <c r="H69" s="64" t="s">
        <v>206</v>
      </c>
      <c r="I69" s="64" t="s">
        <v>212</v>
      </c>
      <c r="J69" s="65" t="b">
        <f aca="false">TRUE()</f>
        <v>1</v>
      </c>
      <c r="K69" s="66" t="str">
        <f aca="false">IF(J69=TRUE(),A69&amp;" - "&amp;B69,"")</f>
        <v>418 - Parapagime të dhëna</v>
      </c>
      <c r="L69" s="64" t="s">
        <v>347</v>
      </c>
    </row>
    <row r="70" customFormat="false" ht="14.25" hidden="false" customHeight="true" outlineLevel="0" collapsed="false">
      <c r="A70" s="63" t="s">
        <v>354</v>
      </c>
      <c r="B70" s="64" t="s">
        <v>355</v>
      </c>
      <c r="C70" s="64" t="n">
        <v>2</v>
      </c>
      <c r="D70" s="64" t="s">
        <v>62</v>
      </c>
      <c r="E70" s="64" t="s">
        <v>327</v>
      </c>
      <c r="F70" s="64" t="s">
        <v>328</v>
      </c>
      <c r="G70" s="64" t="s">
        <v>198</v>
      </c>
      <c r="H70" s="64" t="s">
        <v>199</v>
      </c>
      <c r="I70" s="64"/>
      <c r="J70" s="65" t="b">
        <f aca="false">FALSE()</f>
        <v>0</v>
      </c>
      <c r="K70" s="66" t="str">
        <f aca="false">IF(J70=TRUE(),A70&amp;" - "&amp;B70,"")</f>
        <v/>
      </c>
      <c r="L70" s="64"/>
    </row>
    <row r="71" customFormat="false" ht="14.25" hidden="false" customHeight="true" outlineLevel="0" collapsed="false">
      <c r="A71" s="63" t="s">
        <v>356</v>
      </c>
      <c r="B71" s="64" t="s">
        <v>357</v>
      </c>
      <c r="C71" s="64" t="n">
        <v>3</v>
      </c>
      <c r="D71" s="64" t="s">
        <v>62</v>
      </c>
      <c r="E71" s="64" t="s">
        <v>327</v>
      </c>
      <c r="F71" s="64" t="s">
        <v>358</v>
      </c>
      <c r="G71" s="64" t="s">
        <v>333</v>
      </c>
      <c r="H71" s="64" t="s">
        <v>206</v>
      </c>
      <c r="I71" s="64" t="s">
        <v>207</v>
      </c>
      <c r="J71" s="65" t="b">
        <f aca="false">TRUE()</f>
        <v>1</v>
      </c>
      <c r="K71" s="66" t="str">
        <f aca="false">IF(J71=TRUE(),A71&amp;" - "&amp;B71,"")</f>
        <v>421 - Paga dhe shpërblime</v>
      </c>
      <c r="L71" s="64" t="s">
        <v>334</v>
      </c>
    </row>
    <row r="72" customFormat="false" ht="14.25" hidden="false" customHeight="true" outlineLevel="0" collapsed="false">
      <c r="A72" s="63" t="s">
        <v>359</v>
      </c>
      <c r="B72" s="64" t="s">
        <v>360</v>
      </c>
      <c r="C72" s="64" t="n">
        <v>3</v>
      </c>
      <c r="D72" s="64" t="s">
        <v>62</v>
      </c>
      <c r="E72" s="64" t="s">
        <v>327</v>
      </c>
      <c r="F72" s="64" t="s">
        <v>358</v>
      </c>
      <c r="G72" s="64" t="s">
        <v>240</v>
      </c>
      <c r="H72" s="64" t="s">
        <v>206</v>
      </c>
      <c r="I72" s="64" t="s">
        <v>212</v>
      </c>
      <c r="J72" s="65" t="b">
        <f aca="false">TRUE()</f>
        <v>1</v>
      </c>
      <c r="K72" s="66" t="str">
        <f aca="false">IF(J72=TRUE(),A72&amp;" - "&amp;B72,"")</f>
        <v>423 - Paradhënie për punonjësit</v>
      </c>
      <c r="L72" s="64" t="s">
        <v>347</v>
      </c>
    </row>
    <row r="73" customFormat="false" ht="14.25" hidden="false" customHeight="true" outlineLevel="0" collapsed="false">
      <c r="A73" s="63" t="s">
        <v>361</v>
      </c>
      <c r="B73" s="64" t="s">
        <v>362</v>
      </c>
      <c r="C73" s="64" t="n">
        <v>2</v>
      </c>
      <c r="D73" s="64" t="s">
        <v>62</v>
      </c>
      <c r="E73" s="64" t="s">
        <v>327</v>
      </c>
      <c r="F73" s="64" t="s">
        <v>328</v>
      </c>
      <c r="G73" s="64" t="s">
        <v>198</v>
      </c>
      <c r="H73" s="64" t="s">
        <v>199</v>
      </c>
      <c r="I73" s="64"/>
      <c r="J73" s="65" t="b">
        <f aca="false">FALSE()</f>
        <v>0</v>
      </c>
      <c r="K73" s="66" t="str">
        <f aca="false">IF(J73=TRUE(),A73&amp;" - "&amp;B73,"")</f>
        <v/>
      </c>
      <c r="L73" s="64"/>
    </row>
    <row r="74" customFormat="false" ht="14.25" hidden="false" customHeight="true" outlineLevel="0" collapsed="false">
      <c r="A74" s="63" t="s">
        <v>363</v>
      </c>
      <c r="B74" s="64" t="s">
        <v>364</v>
      </c>
      <c r="C74" s="64" t="n">
        <v>3</v>
      </c>
      <c r="D74" s="64" t="s">
        <v>62</v>
      </c>
      <c r="E74" s="64" t="s">
        <v>327</v>
      </c>
      <c r="F74" s="64" t="s">
        <v>365</v>
      </c>
      <c r="G74" s="64" t="s">
        <v>333</v>
      </c>
      <c r="H74" s="64" t="s">
        <v>206</v>
      </c>
      <c r="I74" s="64" t="s">
        <v>207</v>
      </c>
      <c r="J74" s="65" t="b">
        <f aca="false">TRUE()</f>
        <v>1</v>
      </c>
      <c r="K74" s="66" t="str">
        <f aca="false">IF(J74=TRUE(),A74&amp;" - "&amp;B74,"")</f>
        <v>431 - Sigurime shoqërore dhe shëndetësore</v>
      </c>
      <c r="L74" s="64" t="s">
        <v>366</v>
      </c>
    </row>
    <row r="75" customFormat="false" ht="14.25" hidden="false" customHeight="true" outlineLevel="0" collapsed="false">
      <c r="A75" s="63" t="s">
        <v>367</v>
      </c>
      <c r="B75" s="64" t="s">
        <v>368</v>
      </c>
      <c r="C75" s="64" t="n">
        <v>3</v>
      </c>
      <c r="D75" s="64" t="s">
        <v>62</v>
      </c>
      <c r="E75" s="64" t="s">
        <v>327</v>
      </c>
      <c r="F75" s="64" t="s">
        <v>365</v>
      </c>
      <c r="G75" s="64" t="s">
        <v>333</v>
      </c>
      <c r="H75" s="64" t="s">
        <v>206</v>
      </c>
      <c r="I75" s="64" t="s">
        <v>207</v>
      </c>
      <c r="J75" s="65" t="b">
        <f aca="false">TRUE()</f>
        <v>1</v>
      </c>
      <c r="K75" s="66" t="str">
        <f aca="false">IF(J75=TRUE(),A75&amp;" - "&amp;B75,"")</f>
        <v>437 - Organizma të tjera shoqërore</v>
      </c>
      <c r="L75" s="64" t="s">
        <v>366</v>
      </c>
    </row>
    <row r="76" customFormat="false" ht="14.25" hidden="false" customHeight="true" outlineLevel="0" collapsed="false">
      <c r="A76" s="63" t="s">
        <v>369</v>
      </c>
      <c r="B76" s="64" t="s">
        <v>370</v>
      </c>
      <c r="C76" s="64" t="n">
        <v>3</v>
      </c>
      <c r="D76" s="64" t="s">
        <v>62</v>
      </c>
      <c r="E76" s="64" t="s">
        <v>327</v>
      </c>
      <c r="F76" s="64" t="s">
        <v>370</v>
      </c>
      <c r="G76" s="64" t="s">
        <v>333</v>
      </c>
      <c r="H76" s="64" t="s">
        <v>206</v>
      </c>
      <c r="I76" s="64" t="s">
        <v>207</v>
      </c>
      <c r="J76" s="65" t="b">
        <f aca="false">TRUE()</f>
        <v>1</v>
      </c>
      <c r="K76" s="66" t="str">
        <f aca="false">IF(J76=TRUE(),A76&amp;" - "&amp;B76,"")</f>
        <v>438 - Detyrime të tjera</v>
      </c>
      <c r="L76" s="64" t="s">
        <v>334</v>
      </c>
    </row>
    <row r="77" customFormat="false" ht="14.25" hidden="false" customHeight="true" outlineLevel="0" collapsed="false">
      <c r="A77" s="63" t="s">
        <v>371</v>
      </c>
      <c r="B77" s="64" t="s">
        <v>372</v>
      </c>
      <c r="C77" s="64" t="n">
        <v>2</v>
      </c>
      <c r="D77" s="64" t="s">
        <v>62</v>
      </c>
      <c r="E77" s="64" t="s">
        <v>327</v>
      </c>
      <c r="F77" s="64" t="s">
        <v>328</v>
      </c>
      <c r="G77" s="64" t="s">
        <v>198</v>
      </c>
      <c r="H77" s="64" t="s">
        <v>199</v>
      </c>
      <c r="I77" s="64"/>
      <c r="J77" s="65" t="b">
        <f aca="false">FALSE()</f>
        <v>0</v>
      </c>
      <c r="K77" s="66" t="str">
        <f aca="false">IF(J77=TRUE(),A77&amp;" - "&amp;B77,"")</f>
        <v/>
      </c>
      <c r="L77" s="64"/>
    </row>
    <row r="78" customFormat="false" ht="14.25" hidden="false" customHeight="true" outlineLevel="0" collapsed="false">
      <c r="A78" s="63" t="s">
        <v>373</v>
      </c>
      <c r="B78" s="64" t="s">
        <v>374</v>
      </c>
      <c r="C78" s="64" t="n">
        <v>3</v>
      </c>
      <c r="D78" s="64" t="s">
        <v>62</v>
      </c>
      <c r="E78" s="64" t="s">
        <v>327</v>
      </c>
      <c r="F78" s="64" t="s">
        <v>375</v>
      </c>
      <c r="G78" s="64" t="s">
        <v>333</v>
      </c>
      <c r="H78" s="64" t="s">
        <v>206</v>
      </c>
      <c r="I78" s="64" t="s">
        <v>207</v>
      </c>
      <c r="J78" s="65" t="b">
        <f aca="false">TRUE()</f>
        <v>1</v>
      </c>
      <c r="K78" s="66" t="str">
        <f aca="false">IF(J78=TRUE(),A78&amp;" - "&amp;B78,"")</f>
        <v>441 - Akciza</v>
      </c>
      <c r="L78" s="64" t="s">
        <v>366</v>
      </c>
    </row>
    <row r="79" customFormat="false" ht="14.25" hidden="false" customHeight="true" outlineLevel="0" collapsed="false">
      <c r="A79" s="63" t="s">
        <v>376</v>
      </c>
      <c r="B79" s="64" t="s">
        <v>377</v>
      </c>
      <c r="C79" s="64" t="n">
        <v>3</v>
      </c>
      <c r="D79" s="64" t="s">
        <v>62</v>
      </c>
      <c r="E79" s="64" t="s">
        <v>327</v>
      </c>
      <c r="F79" s="64" t="s">
        <v>375</v>
      </c>
      <c r="G79" s="64" t="s">
        <v>333</v>
      </c>
      <c r="H79" s="64" t="s">
        <v>206</v>
      </c>
      <c r="I79" s="64" t="s">
        <v>207</v>
      </c>
      <c r="J79" s="65" t="b">
        <f aca="false">TRUE()</f>
        <v>1</v>
      </c>
      <c r="K79" s="66" t="str">
        <f aca="false">IF(J79=TRUE(),A79&amp;" - "&amp;B79,"")</f>
        <v>442 - Tatimi mbi të ardhurat personale</v>
      </c>
      <c r="L79" s="64" t="s">
        <v>366</v>
      </c>
    </row>
    <row r="80" customFormat="false" ht="14.25" hidden="false" customHeight="true" outlineLevel="0" collapsed="false">
      <c r="A80" s="63" t="s">
        <v>378</v>
      </c>
      <c r="B80" s="64" t="s">
        <v>379</v>
      </c>
      <c r="C80" s="64" t="n">
        <v>3</v>
      </c>
      <c r="D80" s="64" t="s">
        <v>62</v>
      </c>
      <c r="E80" s="64" t="s">
        <v>327</v>
      </c>
      <c r="F80" s="64" t="s">
        <v>375</v>
      </c>
      <c r="G80" s="64" t="s">
        <v>333</v>
      </c>
      <c r="H80" s="64" t="s">
        <v>206</v>
      </c>
      <c r="I80" s="64" t="s">
        <v>207</v>
      </c>
      <c r="J80" s="65" t="b">
        <f aca="false">TRUE()</f>
        <v>1</v>
      </c>
      <c r="K80" s="66" t="str">
        <f aca="false">IF(J80=TRUE(),A80&amp;" - "&amp;B80,"")</f>
        <v>443 - Tatime të tjera për punonjësit</v>
      </c>
      <c r="L80" s="64" t="s">
        <v>366</v>
      </c>
    </row>
    <row r="81" customFormat="false" ht="14.25" hidden="false" customHeight="true" outlineLevel="0" collapsed="false">
      <c r="A81" s="63" t="s">
        <v>380</v>
      </c>
      <c r="B81" s="64" t="s">
        <v>381</v>
      </c>
      <c r="C81" s="64" t="n">
        <v>3</v>
      </c>
      <c r="D81" s="64" t="s">
        <v>62</v>
      </c>
      <c r="E81" s="64" t="s">
        <v>327</v>
      </c>
      <c r="F81" s="64" t="s">
        <v>375</v>
      </c>
      <c r="G81" s="64" t="s">
        <v>333</v>
      </c>
      <c r="H81" s="64" t="s">
        <v>206</v>
      </c>
      <c r="I81" s="64" t="s">
        <v>207</v>
      </c>
      <c r="J81" s="65" t="b">
        <f aca="false">TRUE()</f>
        <v>1</v>
      </c>
      <c r="K81" s="66" t="str">
        <f aca="false">IF(J81=TRUE(),A81&amp;" - "&amp;B81,"")</f>
        <v>444 - Tatim mbi fitimin</v>
      </c>
      <c r="L81" s="64" t="s">
        <v>366</v>
      </c>
    </row>
    <row r="82" customFormat="false" ht="14.25" hidden="false" customHeight="true" outlineLevel="0" collapsed="false">
      <c r="A82" s="63" t="s">
        <v>382</v>
      </c>
      <c r="B82" s="64" t="s">
        <v>383</v>
      </c>
      <c r="C82" s="64" t="n">
        <v>3</v>
      </c>
      <c r="D82" s="64" t="s">
        <v>62</v>
      </c>
      <c r="E82" s="64" t="s">
        <v>327</v>
      </c>
      <c r="F82" s="64" t="s">
        <v>375</v>
      </c>
      <c r="G82" s="64" t="s">
        <v>198</v>
      </c>
      <c r="H82" s="64" t="s">
        <v>199</v>
      </c>
      <c r="I82" s="64"/>
      <c r="J82" s="65" t="b">
        <f aca="false">FALSE()</f>
        <v>0</v>
      </c>
      <c r="K82" s="66" t="str">
        <f aca="false">IF(J82=TRUE(),A82&amp;" - "&amp;B82,"")</f>
        <v/>
      </c>
      <c r="L82" s="64"/>
    </row>
    <row r="83" customFormat="false" ht="14.25" hidden="false" customHeight="true" outlineLevel="0" collapsed="false">
      <c r="A83" s="63" t="s">
        <v>384</v>
      </c>
      <c r="B83" s="64" t="s">
        <v>385</v>
      </c>
      <c r="C83" s="64" t="n">
        <v>4</v>
      </c>
      <c r="D83" s="64" t="s">
        <v>62</v>
      </c>
      <c r="E83" s="64" t="s">
        <v>327</v>
      </c>
      <c r="F83" s="64" t="s">
        <v>375</v>
      </c>
      <c r="G83" s="64" t="s">
        <v>240</v>
      </c>
      <c r="H83" s="64" t="s">
        <v>206</v>
      </c>
      <c r="I83" s="64" t="s">
        <v>212</v>
      </c>
      <c r="J83" s="65" t="b">
        <f aca="false">TRUE()</f>
        <v>1</v>
      </c>
      <c r="K83" s="66" t="str">
        <f aca="false">IF(J83=TRUE(),A83&amp;" - "&amp;B83,"")</f>
        <v>4456 - Shteti - TVSH e zbritshme</v>
      </c>
      <c r="L83" s="64" t="s">
        <v>386</v>
      </c>
    </row>
    <row r="84" customFormat="false" ht="14.25" hidden="false" customHeight="true" outlineLevel="0" collapsed="false">
      <c r="A84" s="63" t="s">
        <v>387</v>
      </c>
      <c r="B84" s="64" t="s">
        <v>388</v>
      </c>
      <c r="C84" s="64" t="n">
        <v>4</v>
      </c>
      <c r="D84" s="64" t="s">
        <v>62</v>
      </c>
      <c r="E84" s="64" t="s">
        <v>327</v>
      </c>
      <c r="F84" s="64" t="s">
        <v>375</v>
      </c>
      <c r="G84" s="64" t="s">
        <v>333</v>
      </c>
      <c r="H84" s="64" t="s">
        <v>206</v>
      </c>
      <c r="I84" s="64" t="s">
        <v>207</v>
      </c>
      <c r="J84" s="65" t="b">
        <f aca="false">TRUE()</f>
        <v>1</v>
      </c>
      <c r="K84" s="66" t="str">
        <f aca="false">IF(J84=TRUE(),A84&amp;" - "&amp;B84,"")</f>
        <v>4457 - Shteti - TVSH e pagueshme</v>
      </c>
      <c r="L84" s="64" t="s">
        <v>366</v>
      </c>
    </row>
    <row r="85" customFormat="false" ht="14.25" hidden="false" customHeight="true" outlineLevel="0" collapsed="false">
      <c r="A85" s="63" t="s">
        <v>389</v>
      </c>
      <c r="B85" s="64" t="s">
        <v>390</v>
      </c>
      <c r="C85" s="64" t="n">
        <v>4</v>
      </c>
      <c r="D85" s="64" t="s">
        <v>62</v>
      </c>
      <c r="E85" s="64" t="s">
        <v>327</v>
      </c>
      <c r="F85" s="64" t="s">
        <v>375</v>
      </c>
      <c r="G85" s="64" t="s">
        <v>333</v>
      </c>
      <c r="H85" s="64" t="s">
        <v>206</v>
      </c>
      <c r="I85" s="64" t="s">
        <v>207</v>
      </c>
      <c r="J85" s="65" t="b">
        <f aca="false">TRUE()</f>
        <v>1</v>
      </c>
      <c r="K85" s="66" t="str">
        <f aca="false">IF(J85=TRUE(),A85&amp;" - "&amp;B85,"")</f>
        <v>4458 - Shteti - TVSH për t’u rregulluar</v>
      </c>
      <c r="L85" s="64" t="s">
        <v>366</v>
      </c>
    </row>
    <row r="86" customFormat="false" ht="14.25" hidden="false" customHeight="true" outlineLevel="0" collapsed="false">
      <c r="A86" s="63" t="s">
        <v>391</v>
      </c>
      <c r="B86" s="64" t="s">
        <v>392</v>
      </c>
      <c r="C86" s="64" t="n">
        <v>3</v>
      </c>
      <c r="D86" s="64" t="s">
        <v>62</v>
      </c>
      <c r="E86" s="64" t="s">
        <v>327</v>
      </c>
      <c r="F86" s="64" t="s">
        <v>375</v>
      </c>
      <c r="G86" s="64" t="s">
        <v>333</v>
      </c>
      <c r="H86" s="64" t="s">
        <v>206</v>
      </c>
      <c r="I86" s="64" t="s">
        <v>207</v>
      </c>
      <c r="J86" s="65" t="b">
        <f aca="false">TRUE()</f>
        <v>1</v>
      </c>
      <c r="K86" s="66" t="str">
        <f aca="false">IF(J86=TRUE(),A86&amp;" - "&amp;B86,"")</f>
        <v>446 - Tatime të tjera ndaj shtetit</v>
      </c>
      <c r="L86" s="64" t="s">
        <v>366</v>
      </c>
    </row>
    <row r="87" customFormat="false" ht="14.25" hidden="false" customHeight="true" outlineLevel="0" collapsed="false">
      <c r="A87" s="63" t="s">
        <v>393</v>
      </c>
      <c r="B87" s="64" t="s">
        <v>394</v>
      </c>
      <c r="C87" s="64" t="n">
        <v>4</v>
      </c>
      <c r="D87" s="64" t="s">
        <v>62</v>
      </c>
      <c r="E87" s="64" t="s">
        <v>327</v>
      </c>
      <c r="F87" s="64" t="s">
        <v>375</v>
      </c>
      <c r="G87" s="64" t="s">
        <v>333</v>
      </c>
      <c r="H87" s="64" t="s">
        <v>206</v>
      </c>
      <c r="I87" s="64" t="s">
        <v>207</v>
      </c>
      <c r="J87" s="65" t="b">
        <f aca="false">TRUE()</f>
        <v>1</v>
      </c>
      <c r="K87" s="66" t="str">
        <f aca="false">IF(J87=TRUE(),A87&amp;" - "&amp;B87,"")</f>
        <v>4461 - Detyrime për taksë doganore/TVSH në doganë</v>
      </c>
      <c r="L87" s="64" t="s">
        <v>366</v>
      </c>
    </row>
    <row r="88" customFormat="false" ht="14.25" hidden="false" customHeight="true" outlineLevel="0" collapsed="false">
      <c r="A88" s="63" t="s">
        <v>395</v>
      </c>
      <c r="B88" s="64" t="s">
        <v>396</v>
      </c>
      <c r="C88" s="64" t="n">
        <v>3</v>
      </c>
      <c r="D88" s="64" t="s">
        <v>62</v>
      </c>
      <c r="E88" s="64" t="s">
        <v>327</v>
      </c>
      <c r="F88" s="64" t="s">
        <v>375</v>
      </c>
      <c r="G88" s="64" t="s">
        <v>333</v>
      </c>
      <c r="H88" s="64" t="s">
        <v>206</v>
      </c>
      <c r="I88" s="64" t="s">
        <v>207</v>
      </c>
      <c r="J88" s="65" t="b">
        <f aca="false">TRUE()</f>
        <v>1</v>
      </c>
      <c r="K88" s="66" t="str">
        <f aca="false">IF(J88=TRUE(),A88&amp;" - "&amp;B88,"")</f>
        <v>447 - Të tjera tatime për t’u paguar/për t’u kthyer</v>
      </c>
      <c r="L88" s="64" t="s">
        <v>366</v>
      </c>
    </row>
    <row r="89" customFormat="false" ht="14.25" hidden="false" customHeight="true" outlineLevel="0" collapsed="false">
      <c r="A89" s="63" t="s">
        <v>397</v>
      </c>
      <c r="B89" s="64" t="s">
        <v>398</v>
      </c>
      <c r="C89" s="64" t="n">
        <v>4</v>
      </c>
      <c r="D89" s="64" t="s">
        <v>62</v>
      </c>
      <c r="E89" s="64" t="s">
        <v>327</v>
      </c>
      <c r="F89" s="64" t="s">
        <v>375</v>
      </c>
      <c r="G89" s="64" t="s">
        <v>333</v>
      </c>
      <c r="H89" s="64" t="s">
        <v>206</v>
      </c>
      <c r="I89" s="64" t="s">
        <v>207</v>
      </c>
      <c r="J89" s="65" t="b">
        <f aca="false">TRUE()</f>
        <v>1</v>
      </c>
      <c r="K89" s="66" t="str">
        <f aca="false">IF(J89=TRUE(),A89&amp;" - "&amp;B89,"")</f>
        <v>4471 - Tatim qiraje në burim</v>
      </c>
      <c r="L89" s="64" t="s">
        <v>366</v>
      </c>
    </row>
    <row r="90" customFormat="false" ht="14.25" hidden="false" customHeight="true" outlineLevel="0" collapsed="false">
      <c r="A90" s="63" t="s">
        <v>399</v>
      </c>
      <c r="B90" s="64" t="s">
        <v>400</v>
      </c>
      <c r="C90" s="64" t="n">
        <v>3</v>
      </c>
      <c r="D90" s="64" t="s">
        <v>62</v>
      </c>
      <c r="E90" s="64" t="s">
        <v>327</v>
      </c>
      <c r="F90" s="64" t="s">
        <v>375</v>
      </c>
      <c r="G90" s="64" t="s">
        <v>333</v>
      </c>
      <c r="H90" s="64" t="s">
        <v>206</v>
      </c>
      <c r="I90" s="64" t="s">
        <v>207</v>
      </c>
      <c r="J90" s="65" t="b">
        <f aca="false">TRUE()</f>
        <v>1</v>
      </c>
      <c r="K90" s="66" t="str">
        <f aca="false">IF(J90=TRUE(),A90&amp;" - "&amp;B90,"")</f>
        <v>448 - Tatime të shtyra</v>
      </c>
      <c r="L90" s="64" t="s">
        <v>366</v>
      </c>
    </row>
    <row r="91" customFormat="false" ht="14.25" hidden="false" customHeight="true" outlineLevel="0" collapsed="false">
      <c r="A91" s="63" t="s">
        <v>401</v>
      </c>
      <c r="B91" s="64" t="s">
        <v>402</v>
      </c>
      <c r="C91" s="64" t="n">
        <v>3</v>
      </c>
      <c r="D91" s="64" t="s">
        <v>62</v>
      </c>
      <c r="E91" s="64" t="s">
        <v>327</v>
      </c>
      <c r="F91" s="64" t="s">
        <v>375</v>
      </c>
      <c r="G91" s="64" t="s">
        <v>333</v>
      </c>
      <c r="H91" s="64" t="s">
        <v>206</v>
      </c>
      <c r="I91" s="64" t="s">
        <v>207</v>
      </c>
      <c r="J91" s="65" t="b">
        <f aca="false">TRUE()</f>
        <v>1</v>
      </c>
      <c r="K91" s="66" t="str">
        <f aca="false">IF(J91=TRUE(),A91&amp;" - "&amp;B91,"")</f>
        <v>449 - Tatimi në burim</v>
      </c>
      <c r="L91" s="64" t="s">
        <v>366</v>
      </c>
    </row>
    <row r="92" customFormat="false" ht="14.25" hidden="false" customHeight="true" outlineLevel="0" collapsed="false">
      <c r="A92" s="63" t="s">
        <v>403</v>
      </c>
      <c r="B92" s="64" t="s">
        <v>404</v>
      </c>
      <c r="C92" s="64" t="n">
        <v>2</v>
      </c>
      <c r="D92" s="64" t="s">
        <v>62</v>
      </c>
      <c r="E92" s="64" t="s">
        <v>327</v>
      </c>
      <c r="F92" s="64" t="s">
        <v>328</v>
      </c>
      <c r="G92" s="64" t="s">
        <v>198</v>
      </c>
      <c r="H92" s="64" t="s">
        <v>199</v>
      </c>
      <c r="I92" s="64"/>
      <c r="J92" s="65" t="b">
        <f aca="false">FALSE()</f>
        <v>0</v>
      </c>
      <c r="K92" s="66" t="str">
        <f aca="false">IF(J92=TRUE(),A92&amp;" - "&amp;B92,"")</f>
        <v/>
      </c>
      <c r="L92" s="64"/>
    </row>
    <row r="93" customFormat="false" ht="14.25" hidden="false" customHeight="true" outlineLevel="0" collapsed="false">
      <c r="A93" s="63" t="s">
        <v>405</v>
      </c>
      <c r="B93" s="64" t="s">
        <v>406</v>
      </c>
      <c r="C93" s="64" t="n">
        <v>3</v>
      </c>
      <c r="D93" s="64" t="s">
        <v>62</v>
      </c>
      <c r="E93" s="64" t="s">
        <v>327</v>
      </c>
      <c r="F93" s="64" t="s">
        <v>407</v>
      </c>
      <c r="G93" s="64" t="s">
        <v>408</v>
      </c>
      <c r="H93" s="64" t="s">
        <v>206</v>
      </c>
      <c r="I93" s="64" t="s">
        <v>228</v>
      </c>
      <c r="J93" s="65" t="b">
        <f aca="false">TRUE()</f>
        <v>1</v>
      </c>
      <c r="K93" s="66" t="str">
        <f aca="false">IF(J93=TRUE(),A93&amp;" - "&amp;B93,"")</f>
        <v>451 - Llogari rrjedhëse me pronarët</v>
      </c>
      <c r="L93" s="64" t="s">
        <v>409</v>
      </c>
    </row>
    <row r="94" customFormat="false" ht="14.25" hidden="false" customHeight="true" outlineLevel="0" collapsed="false">
      <c r="A94" s="63" t="s">
        <v>410</v>
      </c>
      <c r="B94" s="64" t="s">
        <v>404</v>
      </c>
      <c r="C94" s="64" t="n">
        <v>3</v>
      </c>
      <c r="D94" s="64" t="s">
        <v>62</v>
      </c>
      <c r="E94" s="64" t="s">
        <v>327</v>
      </c>
      <c r="F94" s="64" t="s">
        <v>407</v>
      </c>
      <c r="G94" s="64" t="s">
        <v>333</v>
      </c>
      <c r="H94" s="64" t="s">
        <v>206</v>
      </c>
      <c r="I94" s="64" t="s">
        <v>207</v>
      </c>
      <c r="J94" s="65" t="b">
        <f aca="false">TRUE()</f>
        <v>1</v>
      </c>
      <c r="K94" s="66" t="str">
        <f aca="false">IF(J94=TRUE(),A94&amp;" - "&amp;B94,"")</f>
        <v>455 - Të drejta/detyrime ndaj ortakëve</v>
      </c>
      <c r="L94" s="64" t="s">
        <v>411</v>
      </c>
    </row>
    <row r="95" customFormat="false" ht="14.25" hidden="false" customHeight="true" outlineLevel="0" collapsed="false">
      <c r="A95" s="63" t="s">
        <v>412</v>
      </c>
      <c r="B95" s="64" t="s">
        <v>413</v>
      </c>
      <c r="C95" s="64" t="n">
        <v>3</v>
      </c>
      <c r="D95" s="64" t="s">
        <v>62</v>
      </c>
      <c r="E95" s="64" t="s">
        <v>327</v>
      </c>
      <c r="F95" s="64" t="s">
        <v>407</v>
      </c>
      <c r="G95" s="64" t="s">
        <v>240</v>
      </c>
      <c r="H95" s="64" t="s">
        <v>206</v>
      </c>
      <c r="I95" s="64" t="s">
        <v>212</v>
      </c>
      <c r="J95" s="65" t="b">
        <f aca="false">TRUE()</f>
        <v>1</v>
      </c>
      <c r="K95" s="66" t="str">
        <f aca="false">IF(J95=TRUE(),A95&amp;" - "&amp;B95,"")</f>
        <v>456 - Të drejta ndaj pronarëve për kapitalin e nënshkruar</v>
      </c>
      <c r="L95" s="64" t="s">
        <v>213</v>
      </c>
    </row>
    <row r="96" customFormat="false" ht="14.25" hidden="false" customHeight="true" outlineLevel="0" collapsed="false">
      <c r="A96" s="63" t="s">
        <v>414</v>
      </c>
      <c r="B96" s="64" t="s">
        <v>415</v>
      </c>
      <c r="C96" s="64" t="n">
        <v>3</v>
      </c>
      <c r="D96" s="64" t="s">
        <v>62</v>
      </c>
      <c r="E96" s="64" t="s">
        <v>327</v>
      </c>
      <c r="F96" s="64" t="s">
        <v>407</v>
      </c>
      <c r="G96" s="64" t="s">
        <v>333</v>
      </c>
      <c r="H96" s="64" t="s">
        <v>206</v>
      </c>
      <c r="I96" s="64" t="s">
        <v>207</v>
      </c>
      <c r="J96" s="65" t="b">
        <f aca="false">TRUE()</f>
        <v>1</v>
      </c>
      <c r="K96" s="66" t="str">
        <f aca="false">IF(J96=TRUE(),A96&amp;" - "&amp;B96,"")</f>
        <v>457 - Dividentë për t’u paguar</v>
      </c>
      <c r="L96" s="64" t="s">
        <v>411</v>
      </c>
    </row>
    <row r="97" customFormat="false" ht="14.25" hidden="false" customHeight="true" outlineLevel="0" collapsed="false">
      <c r="A97" s="63" t="s">
        <v>416</v>
      </c>
      <c r="B97" s="64" t="s">
        <v>417</v>
      </c>
      <c r="C97" s="64" t="n">
        <v>2</v>
      </c>
      <c r="D97" s="64" t="s">
        <v>62</v>
      </c>
      <c r="E97" s="64" t="s">
        <v>327</v>
      </c>
      <c r="F97" s="64" t="s">
        <v>328</v>
      </c>
      <c r="G97" s="64" t="s">
        <v>198</v>
      </c>
      <c r="H97" s="64" t="s">
        <v>199</v>
      </c>
      <c r="I97" s="64"/>
      <c r="J97" s="65" t="b">
        <f aca="false">FALSE()</f>
        <v>0</v>
      </c>
      <c r="K97" s="66" t="str">
        <f aca="false">IF(J97=TRUE(),A97&amp;" - "&amp;B97,"")</f>
        <v/>
      </c>
      <c r="L97" s="64"/>
    </row>
    <row r="98" customFormat="false" ht="14.25" hidden="false" customHeight="true" outlineLevel="0" collapsed="false">
      <c r="A98" s="63" t="s">
        <v>418</v>
      </c>
      <c r="B98" s="64" t="s">
        <v>419</v>
      </c>
      <c r="C98" s="64" t="n">
        <v>3</v>
      </c>
      <c r="D98" s="64" t="s">
        <v>62</v>
      </c>
      <c r="E98" s="64" t="s">
        <v>327</v>
      </c>
      <c r="F98" s="64" t="s">
        <v>420</v>
      </c>
      <c r="G98" s="64" t="s">
        <v>333</v>
      </c>
      <c r="H98" s="64" t="s">
        <v>206</v>
      </c>
      <c r="I98" s="64" t="s">
        <v>207</v>
      </c>
      <c r="J98" s="65" t="b">
        <f aca="false">TRUE()</f>
        <v>1</v>
      </c>
      <c r="K98" s="66" t="str">
        <f aca="false">IF(J98=TRUE(),A98&amp;" - "&amp;B98,"")</f>
        <v>461 - Huamarrje afatshkurtra</v>
      </c>
      <c r="L98" s="64" t="s">
        <v>421</v>
      </c>
    </row>
    <row r="99" customFormat="false" ht="14.25" hidden="false" customHeight="true" outlineLevel="0" collapsed="false">
      <c r="A99" s="63" t="s">
        <v>422</v>
      </c>
      <c r="B99" s="64" t="s">
        <v>423</v>
      </c>
      <c r="C99" s="64" t="n">
        <v>3</v>
      </c>
      <c r="D99" s="64" t="s">
        <v>62</v>
      </c>
      <c r="E99" s="64" t="s">
        <v>327</v>
      </c>
      <c r="F99" s="64" t="s">
        <v>420</v>
      </c>
      <c r="G99" s="64" t="s">
        <v>333</v>
      </c>
      <c r="H99" s="64" t="s">
        <v>206</v>
      </c>
      <c r="I99" s="64" t="s">
        <v>207</v>
      </c>
      <c r="J99" s="65" t="b">
        <f aca="false">TRUE()</f>
        <v>1</v>
      </c>
      <c r="K99" s="66" t="str">
        <f aca="false">IF(J99=TRUE(),A99&amp;" - "&amp;B99,"")</f>
        <v>468 - Huamarrje afatgjata</v>
      </c>
      <c r="L99" s="64" t="s">
        <v>421</v>
      </c>
    </row>
    <row r="100" customFormat="false" ht="14.25" hidden="false" customHeight="true" outlineLevel="0" collapsed="false">
      <c r="A100" s="63" t="s">
        <v>424</v>
      </c>
      <c r="B100" s="64" t="s">
        <v>425</v>
      </c>
      <c r="C100" s="64" t="n">
        <v>2</v>
      </c>
      <c r="D100" s="64" t="s">
        <v>62</v>
      </c>
      <c r="E100" s="64" t="s">
        <v>327</v>
      </c>
      <c r="F100" s="64" t="s">
        <v>328</v>
      </c>
      <c r="G100" s="64" t="s">
        <v>198</v>
      </c>
      <c r="H100" s="64" t="s">
        <v>199</v>
      </c>
      <c r="I100" s="64"/>
      <c r="J100" s="65" t="b">
        <f aca="false">FALSE()</f>
        <v>0</v>
      </c>
      <c r="K100" s="66" t="str">
        <f aca="false">IF(J100=TRUE(),A100&amp;" - "&amp;B100,"")</f>
        <v/>
      </c>
      <c r="L100" s="64"/>
    </row>
    <row r="101" customFormat="false" ht="14.25" hidden="false" customHeight="true" outlineLevel="0" collapsed="false">
      <c r="A101" s="63" t="s">
        <v>426</v>
      </c>
      <c r="B101" s="64" t="s">
        <v>427</v>
      </c>
      <c r="C101" s="64" t="n">
        <v>3</v>
      </c>
      <c r="D101" s="64" t="s">
        <v>62</v>
      </c>
      <c r="E101" s="64" t="s">
        <v>327</v>
      </c>
      <c r="F101" s="64" t="s">
        <v>428</v>
      </c>
      <c r="G101" s="64" t="s">
        <v>240</v>
      </c>
      <c r="H101" s="64" t="s">
        <v>206</v>
      </c>
      <c r="I101" s="64" t="s">
        <v>212</v>
      </c>
      <c r="J101" s="65" t="b">
        <f aca="false">TRUE()</f>
        <v>1</v>
      </c>
      <c r="K101" s="66" t="str">
        <f aca="false">IF(J101=TRUE(),A101&amp;" - "&amp;B101,"")</f>
        <v>476 - Diferenca konvertimi aktive</v>
      </c>
      <c r="L101" s="64" t="s">
        <v>347</v>
      </c>
    </row>
    <row r="102" customFormat="false" ht="14.25" hidden="false" customHeight="true" outlineLevel="0" collapsed="false">
      <c r="A102" s="63" t="s">
        <v>429</v>
      </c>
      <c r="B102" s="64" t="s">
        <v>430</v>
      </c>
      <c r="C102" s="64" t="n">
        <v>3</v>
      </c>
      <c r="D102" s="64" t="s">
        <v>62</v>
      </c>
      <c r="E102" s="64" t="s">
        <v>327</v>
      </c>
      <c r="F102" s="64" t="s">
        <v>428</v>
      </c>
      <c r="G102" s="64" t="s">
        <v>333</v>
      </c>
      <c r="H102" s="64" t="s">
        <v>206</v>
      </c>
      <c r="I102" s="64" t="s">
        <v>207</v>
      </c>
      <c r="J102" s="65" t="b">
        <f aca="false">TRUE()</f>
        <v>1</v>
      </c>
      <c r="K102" s="66" t="str">
        <f aca="false">IF(J102=TRUE(),A102&amp;" - "&amp;B102,"")</f>
        <v>477 - Diferenca konvertimi pasive</v>
      </c>
      <c r="L102" s="64" t="s">
        <v>334</v>
      </c>
    </row>
    <row r="103" customFormat="false" ht="14.25" hidden="false" customHeight="true" outlineLevel="0" collapsed="false">
      <c r="A103" s="63" t="s">
        <v>431</v>
      </c>
      <c r="B103" s="64" t="s">
        <v>432</v>
      </c>
      <c r="C103" s="64" t="n">
        <v>2</v>
      </c>
      <c r="D103" s="64" t="s">
        <v>62</v>
      </c>
      <c r="E103" s="64" t="s">
        <v>327</v>
      </c>
      <c r="F103" s="64" t="s">
        <v>328</v>
      </c>
      <c r="G103" s="64" t="s">
        <v>198</v>
      </c>
      <c r="H103" s="64" t="s">
        <v>199</v>
      </c>
      <c r="I103" s="64"/>
      <c r="J103" s="65" t="b">
        <f aca="false">FALSE()</f>
        <v>0</v>
      </c>
      <c r="K103" s="66" t="str">
        <f aca="false">IF(J103=TRUE(),A103&amp;" - "&amp;B103,"")</f>
        <v/>
      </c>
      <c r="L103" s="64"/>
    </row>
    <row r="104" customFormat="false" ht="14.25" hidden="false" customHeight="true" outlineLevel="0" collapsed="false">
      <c r="A104" s="63" t="s">
        <v>433</v>
      </c>
      <c r="B104" s="64" t="s">
        <v>434</v>
      </c>
      <c r="C104" s="64" t="n">
        <v>3</v>
      </c>
      <c r="D104" s="64" t="s">
        <v>62</v>
      </c>
      <c r="E104" s="64" t="s">
        <v>327</v>
      </c>
      <c r="F104" s="64" t="s">
        <v>435</v>
      </c>
      <c r="G104" s="64" t="s">
        <v>333</v>
      </c>
      <c r="H104" s="64" t="s">
        <v>206</v>
      </c>
      <c r="I104" s="64" t="s">
        <v>207</v>
      </c>
      <c r="J104" s="65" t="b">
        <f aca="false">TRUE()</f>
        <v>1</v>
      </c>
      <c r="K104" s="66" t="str">
        <f aca="false">IF(J104=TRUE(),A104&amp;" - "&amp;B104,"")</f>
        <v>481 - Shpenzime të llogaritura</v>
      </c>
      <c r="L104" s="64" t="s">
        <v>334</v>
      </c>
    </row>
    <row r="105" customFormat="false" ht="14.25" hidden="false" customHeight="true" outlineLevel="0" collapsed="false">
      <c r="A105" s="63" t="s">
        <v>436</v>
      </c>
      <c r="B105" s="64" t="s">
        <v>437</v>
      </c>
      <c r="C105" s="64" t="n">
        <v>3</v>
      </c>
      <c r="D105" s="64" t="s">
        <v>62</v>
      </c>
      <c r="E105" s="64" t="s">
        <v>327</v>
      </c>
      <c r="F105" s="64" t="s">
        <v>435</v>
      </c>
      <c r="G105" s="64" t="s">
        <v>240</v>
      </c>
      <c r="H105" s="64" t="s">
        <v>206</v>
      </c>
      <c r="I105" s="64" t="s">
        <v>212</v>
      </c>
      <c r="J105" s="65" t="b">
        <f aca="false">TRUE()</f>
        <v>1</v>
      </c>
      <c r="K105" s="66" t="str">
        <f aca="false">IF(J105=TRUE(),A105&amp;" - "&amp;B105,"")</f>
        <v>486 - Shpenzime të periudhave të ardhme</v>
      </c>
      <c r="L105" s="64" t="s">
        <v>347</v>
      </c>
    </row>
    <row r="106" customFormat="false" ht="14.25" hidden="false" customHeight="true" outlineLevel="0" collapsed="false">
      <c r="A106" s="63" t="s">
        <v>438</v>
      </c>
      <c r="B106" s="64" t="s">
        <v>439</v>
      </c>
      <c r="C106" s="64" t="n">
        <v>3</v>
      </c>
      <c r="D106" s="64" t="s">
        <v>62</v>
      </c>
      <c r="E106" s="64" t="s">
        <v>327</v>
      </c>
      <c r="F106" s="64" t="s">
        <v>435</v>
      </c>
      <c r="G106" s="64" t="s">
        <v>240</v>
      </c>
      <c r="H106" s="64" t="s">
        <v>206</v>
      </c>
      <c r="I106" s="64" t="s">
        <v>212</v>
      </c>
      <c r="J106" s="65" t="b">
        <f aca="false">TRUE()</f>
        <v>1</v>
      </c>
      <c r="K106" s="66" t="str">
        <f aca="false">IF(J106=TRUE(),A106&amp;" - "&amp;B106,"")</f>
        <v>487 - Të ardhura të llogaritura</v>
      </c>
      <c r="L106" s="64" t="s">
        <v>347</v>
      </c>
    </row>
    <row r="107" customFormat="false" ht="14.25" hidden="false" customHeight="true" outlineLevel="0" collapsed="false">
      <c r="A107" s="63" t="s">
        <v>440</v>
      </c>
      <c r="B107" s="64" t="s">
        <v>441</v>
      </c>
      <c r="C107" s="64" t="n">
        <v>3</v>
      </c>
      <c r="D107" s="64" t="s">
        <v>62</v>
      </c>
      <c r="E107" s="64" t="s">
        <v>327</v>
      </c>
      <c r="F107" s="64" t="s">
        <v>435</v>
      </c>
      <c r="G107" s="64" t="s">
        <v>333</v>
      </c>
      <c r="H107" s="64" t="s">
        <v>206</v>
      </c>
      <c r="I107" s="64" t="s">
        <v>207</v>
      </c>
      <c r="J107" s="65" t="b">
        <f aca="false">TRUE()</f>
        <v>1</v>
      </c>
      <c r="K107" s="66" t="str">
        <f aca="false">IF(J107=TRUE(),A107&amp;" - "&amp;B107,"")</f>
        <v>488 - Të ardhura të periudhave të ardhme</v>
      </c>
      <c r="L107" s="64" t="s">
        <v>334</v>
      </c>
    </row>
    <row r="108" customFormat="false" ht="14.25" hidden="false" customHeight="true" outlineLevel="0" collapsed="false">
      <c r="A108" s="63" t="s">
        <v>442</v>
      </c>
      <c r="B108" s="64" t="s">
        <v>443</v>
      </c>
      <c r="C108" s="64" t="n">
        <v>2</v>
      </c>
      <c r="D108" s="64" t="s">
        <v>62</v>
      </c>
      <c r="E108" s="64" t="s">
        <v>327</v>
      </c>
      <c r="F108" s="64" t="s">
        <v>328</v>
      </c>
      <c r="G108" s="64" t="s">
        <v>198</v>
      </c>
      <c r="H108" s="64" t="s">
        <v>199</v>
      </c>
      <c r="I108" s="64"/>
      <c r="J108" s="65" t="b">
        <f aca="false">FALSE()</f>
        <v>0</v>
      </c>
      <c r="K108" s="66" t="str">
        <f aca="false">IF(J108=TRUE(),A108&amp;" - "&amp;B108,"")</f>
        <v/>
      </c>
      <c r="L108" s="64"/>
    </row>
    <row r="109" customFormat="false" ht="14.25" hidden="false" customHeight="true" outlineLevel="0" collapsed="false">
      <c r="A109" s="63" t="s">
        <v>444</v>
      </c>
      <c r="B109" s="64" t="s">
        <v>445</v>
      </c>
      <c r="C109" s="64" t="n">
        <v>3</v>
      </c>
      <c r="D109" s="64" t="s">
        <v>62</v>
      </c>
      <c r="E109" s="64" t="s">
        <v>327</v>
      </c>
      <c r="F109" s="64" t="s">
        <v>446</v>
      </c>
      <c r="G109" s="64" t="s">
        <v>267</v>
      </c>
      <c r="H109" s="64" t="s">
        <v>206</v>
      </c>
      <c r="I109" s="64" t="s">
        <v>207</v>
      </c>
      <c r="J109" s="65" t="b">
        <f aca="false">TRUE()</f>
        <v>1</v>
      </c>
      <c r="K109" s="66" t="str">
        <f aca="false">IF(J109=TRUE(),A109&amp;" - "&amp;B109,"")</f>
        <v>491 - Provizione për faturat e klientëve</v>
      </c>
      <c r="L109" s="64" t="s">
        <v>447</v>
      </c>
    </row>
    <row r="110" customFormat="false" ht="14.25" hidden="false" customHeight="true" outlineLevel="0" collapsed="false">
      <c r="A110" s="63" t="s">
        <v>448</v>
      </c>
      <c r="B110" s="64" t="s">
        <v>449</v>
      </c>
      <c r="C110" s="64" t="n">
        <v>3</v>
      </c>
      <c r="D110" s="64" t="s">
        <v>62</v>
      </c>
      <c r="E110" s="64" t="s">
        <v>327</v>
      </c>
      <c r="F110" s="64" t="s">
        <v>446</v>
      </c>
      <c r="G110" s="64" t="s">
        <v>267</v>
      </c>
      <c r="H110" s="64" t="s">
        <v>206</v>
      </c>
      <c r="I110" s="64" t="s">
        <v>207</v>
      </c>
      <c r="J110" s="65" t="b">
        <f aca="false">TRUE()</f>
        <v>1</v>
      </c>
      <c r="K110" s="66" t="str">
        <f aca="false">IF(J110=TRUE(),A110&amp;" - "&amp;B110,"")</f>
        <v>495 - Provizione për fatura për arkëtim</v>
      </c>
      <c r="L110" s="64" t="s">
        <v>447</v>
      </c>
    </row>
    <row r="111" customFormat="false" ht="14.25" hidden="false" customHeight="true" outlineLevel="0" collapsed="false">
      <c r="A111" s="63" t="s">
        <v>450</v>
      </c>
      <c r="B111" s="64" t="s">
        <v>451</v>
      </c>
      <c r="C111" s="64" t="n">
        <v>3</v>
      </c>
      <c r="D111" s="64" t="s">
        <v>62</v>
      </c>
      <c r="E111" s="64" t="s">
        <v>327</v>
      </c>
      <c r="F111" s="64" t="s">
        <v>446</v>
      </c>
      <c r="G111" s="64" t="s">
        <v>267</v>
      </c>
      <c r="H111" s="64" t="s">
        <v>206</v>
      </c>
      <c r="I111" s="64" t="s">
        <v>207</v>
      </c>
      <c r="J111" s="65" t="b">
        <f aca="false">TRUE()</f>
        <v>1</v>
      </c>
      <c r="K111" s="66" t="str">
        <f aca="false">IF(J111=TRUE(),A111&amp;" - "&amp;B111,"")</f>
        <v>496 - Provizione për debitorë të ndryshëm</v>
      </c>
      <c r="L111" s="64" t="s">
        <v>447</v>
      </c>
    </row>
    <row r="112" customFormat="false" ht="23.25" hidden="false" customHeight="true" outlineLevel="0" collapsed="false">
      <c r="A112" s="63" t="s">
        <v>67</v>
      </c>
      <c r="B112" s="64" t="s">
        <v>452</v>
      </c>
      <c r="C112" s="64" t="n">
        <v>1</v>
      </c>
      <c r="D112" s="64" t="s">
        <v>67</v>
      </c>
      <c r="E112" s="64" t="s">
        <v>453</v>
      </c>
      <c r="F112" s="64" t="s">
        <v>454</v>
      </c>
      <c r="G112" s="64" t="s">
        <v>198</v>
      </c>
      <c r="H112" s="64" t="s">
        <v>199</v>
      </c>
      <c r="I112" s="64"/>
      <c r="J112" s="65" t="b">
        <f aca="false">FALSE()</f>
        <v>0</v>
      </c>
      <c r="K112" s="66" t="str">
        <f aca="false">IF(J112=TRUE(),A112&amp;" - "&amp;B112,"")</f>
        <v/>
      </c>
      <c r="L112" s="64"/>
    </row>
    <row r="113" customFormat="false" ht="23.25" hidden="false" customHeight="true" outlineLevel="0" collapsed="false">
      <c r="A113" s="63" t="s">
        <v>455</v>
      </c>
      <c r="B113" s="64" t="s">
        <v>456</v>
      </c>
      <c r="C113" s="64" t="n">
        <v>2</v>
      </c>
      <c r="D113" s="64" t="s">
        <v>67</v>
      </c>
      <c r="E113" s="64" t="s">
        <v>453</v>
      </c>
      <c r="F113" s="64" t="s">
        <v>454</v>
      </c>
      <c r="G113" s="64" t="s">
        <v>198</v>
      </c>
      <c r="H113" s="64" t="s">
        <v>199</v>
      </c>
      <c r="I113" s="64"/>
      <c r="J113" s="65" t="b">
        <f aca="false">FALSE()</f>
        <v>0</v>
      </c>
      <c r="K113" s="66" t="str">
        <f aca="false">IF(J113=TRUE(),A113&amp;" - "&amp;B113,"")</f>
        <v/>
      </c>
      <c r="L113" s="64"/>
    </row>
    <row r="114" customFormat="false" ht="23.25" hidden="false" customHeight="true" outlineLevel="0" collapsed="false">
      <c r="A114" s="63" t="s">
        <v>457</v>
      </c>
      <c r="B114" s="64" t="s">
        <v>458</v>
      </c>
      <c r="C114" s="64" t="n">
        <v>3</v>
      </c>
      <c r="D114" s="64" t="s">
        <v>67</v>
      </c>
      <c r="E114" s="64" t="s">
        <v>453</v>
      </c>
      <c r="F114" s="64" t="s">
        <v>454</v>
      </c>
      <c r="G114" s="64" t="s">
        <v>240</v>
      </c>
      <c r="H114" s="64" t="s">
        <v>206</v>
      </c>
      <c r="I114" s="64" t="s">
        <v>212</v>
      </c>
      <c r="J114" s="65" t="b">
        <f aca="false">TRUE()</f>
        <v>1</v>
      </c>
      <c r="K114" s="66" t="str">
        <f aca="false">IF(J114=TRUE(),A114&amp;" - "&amp;B114,"")</f>
        <v>511 - Vlera monetare në tranzit</v>
      </c>
      <c r="L114" s="64" t="s">
        <v>459</v>
      </c>
    </row>
    <row r="115" customFormat="false" ht="23.25" hidden="false" customHeight="true" outlineLevel="0" collapsed="false">
      <c r="A115" s="63" t="s">
        <v>460</v>
      </c>
      <c r="B115" s="64" t="s">
        <v>461</v>
      </c>
      <c r="C115" s="64" t="n">
        <v>3</v>
      </c>
      <c r="D115" s="64" t="s">
        <v>67</v>
      </c>
      <c r="E115" s="64" t="s">
        <v>453</v>
      </c>
      <c r="F115" s="64" t="s">
        <v>454</v>
      </c>
      <c r="G115" s="64" t="s">
        <v>240</v>
      </c>
      <c r="H115" s="64" t="s">
        <v>206</v>
      </c>
      <c r="I115" s="64" t="s">
        <v>212</v>
      </c>
      <c r="J115" s="65" t="b">
        <f aca="false">TRUE()</f>
        <v>1</v>
      </c>
      <c r="K115" s="66" t="str">
        <f aca="false">IF(J115=TRUE(),A115&amp;" - "&amp;B115,"")</f>
        <v>512 - Vlera monetare në bankë</v>
      </c>
      <c r="L115" s="64" t="s">
        <v>459</v>
      </c>
    </row>
    <row r="116" customFormat="false" ht="23.25" hidden="false" customHeight="true" outlineLevel="0" collapsed="false">
      <c r="A116" s="63" t="s">
        <v>462</v>
      </c>
      <c r="B116" s="64" t="s">
        <v>463</v>
      </c>
      <c r="C116" s="64" t="n">
        <v>4</v>
      </c>
      <c r="D116" s="64" t="s">
        <v>67</v>
      </c>
      <c r="E116" s="64" t="s">
        <v>453</v>
      </c>
      <c r="F116" s="64" t="s">
        <v>454</v>
      </c>
      <c r="G116" s="64" t="s">
        <v>240</v>
      </c>
      <c r="H116" s="64" t="s">
        <v>206</v>
      </c>
      <c r="I116" s="64" t="s">
        <v>212</v>
      </c>
      <c r="J116" s="65" t="b">
        <f aca="false">TRUE()</f>
        <v>1</v>
      </c>
      <c r="K116" s="66" t="str">
        <f aca="false">IF(J116=TRUE(),A116&amp;" - "&amp;B116,"")</f>
        <v>5121 - Vlera monetare në bankë - lek</v>
      </c>
      <c r="L116" s="64" t="s">
        <v>459</v>
      </c>
    </row>
    <row r="117" customFormat="false" ht="23.25" hidden="false" customHeight="true" outlineLevel="0" collapsed="false">
      <c r="A117" s="63" t="s">
        <v>464</v>
      </c>
      <c r="B117" s="64" t="s">
        <v>465</v>
      </c>
      <c r="C117" s="64" t="n">
        <v>4</v>
      </c>
      <c r="D117" s="64" t="s">
        <v>67</v>
      </c>
      <c r="E117" s="64" t="s">
        <v>453</v>
      </c>
      <c r="F117" s="64" t="s">
        <v>454</v>
      </c>
      <c r="G117" s="64" t="s">
        <v>240</v>
      </c>
      <c r="H117" s="64" t="s">
        <v>206</v>
      </c>
      <c r="I117" s="64" t="s">
        <v>212</v>
      </c>
      <c r="J117" s="65" t="b">
        <f aca="false">TRUE()</f>
        <v>1</v>
      </c>
      <c r="K117" s="66" t="str">
        <f aca="false">IF(J117=TRUE(),A117&amp;" - "&amp;B117,"")</f>
        <v>5124 - Vlera monetare në bankë - valutë</v>
      </c>
      <c r="L117" s="64" t="s">
        <v>459</v>
      </c>
    </row>
    <row r="118" customFormat="false" ht="23.25" hidden="false" customHeight="true" outlineLevel="0" collapsed="false">
      <c r="A118" s="63" t="s">
        <v>466</v>
      </c>
      <c r="B118" s="64" t="s">
        <v>467</v>
      </c>
      <c r="C118" s="64" t="n">
        <v>3</v>
      </c>
      <c r="D118" s="64" t="s">
        <v>67</v>
      </c>
      <c r="E118" s="64" t="s">
        <v>453</v>
      </c>
      <c r="F118" s="64" t="s">
        <v>454</v>
      </c>
      <c r="G118" s="64" t="s">
        <v>333</v>
      </c>
      <c r="H118" s="64" t="s">
        <v>206</v>
      </c>
      <c r="I118" s="64" t="s">
        <v>207</v>
      </c>
      <c r="J118" s="65" t="b">
        <f aca="false">TRUE()</f>
        <v>1</v>
      </c>
      <c r="K118" s="66" t="str">
        <f aca="false">IF(J118=TRUE(),A118&amp;" - "&amp;B118,"")</f>
        <v>519 - Overdraft / llogari bankare të zbuluara</v>
      </c>
      <c r="L118" s="64" t="s">
        <v>421</v>
      </c>
    </row>
    <row r="119" customFormat="false" ht="23.25" hidden="false" customHeight="true" outlineLevel="0" collapsed="false">
      <c r="A119" s="63" t="s">
        <v>468</v>
      </c>
      <c r="B119" s="64" t="s">
        <v>469</v>
      </c>
      <c r="C119" s="64" t="n">
        <v>2</v>
      </c>
      <c r="D119" s="64" t="s">
        <v>67</v>
      </c>
      <c r="E119" s="64" t="s">
        <v>453</v>
      </c>
      <c r="F119" s="64" t="s">
        <v>454</v>
      </c>
      <c r="G119" s="64" t="s">
        <v>198</v>
      </c>
      <c r="H119" s="64" t="s">
        <v>199</v>
      </c>
      <c r="I119" s="64"/>
      <c r="J119" s="65" t="b">
        <f aca="false">FALSE()</f>
        <v>0</v>
      </c>
      <c r="K119" s="66" t="str">
        <f aca="false">IF(J119=TRUE(),A119&amp;" - "&amp;B119,"")</f>
        <v/>
      </c>
      <c r="L119" s="64"/>
    </row>
    <row r="120" customFormat="false" ht="23.25" hidden="false" customHeight="true" outlineLevel="0" collapsed="false">
      <c r="A120" s="63" t="s">
        <v>470</v>
      </c>
      <c r="B120" s="64" t="s">
        <v>469</v>
      </c>
      <c r="C120" s="64" t="n">
        <v>3</v>
      </c>
      <c r="D120" s="64" t="s">
        <v>67</v>
      </c>
      <c r="E120" s="64" t="s">
        <v>453</v>
      </c>
      <c r="F120" s="64" t="s">
        <v>454</v>
      </c>
      <c r="G120" s="64" t="s">
        <v>240</v>
      </c>
      <c r="H120" s="64" t="s">
        <v>206</v>
      </c>
      <c r="I120" s="64" t="s">
        <v>212</v>
      </c>
      <c r="J120" s="65" t="b">
        <f aca="false">TRUE()</f>
        <v>1</v>
      </c>
      <c r="K120" s="66" t="str">
        <f aca="false">IF(J120=TRUE(),A120&amp;" - "&amp;B120,"")</f>
        <v>531 - Vlera monetare në arkë</v>
      </c>
      <c r="L120" s="64" t="s">
        <v>459</v>
      </c>
    </row>
    <row r="121" customFormat="false" ht="23.25" hidden="false" customHeight="true" outlineLevel="0" collapsed="false">
      <c r="A121" s="63" t="s">
        <v>471</v>
      </c>
      <c r="B121" s="64" t="s">
        <v>472</v>
      </c>
      <c r="C121" s="64" t="n">
        <v>4</v>
      </c>
      <c r="D121" s="64" t="s">
        <v>67</v>
      </c>
      <c r="E121" s="64" t="s">
        <v>453</v>
      </c>
      <c r="F121" s="64" t="s">
        <v>454</v>
      </c>
      <c r="G121" s="64" t="s">
        <v>240</v>
      </c>
      <c r="H121" s="64" t="s">
        <v>206</v>
      </c>
      <c r="I121" s="64" t="s">
        <v>212</v>
      </c>
      <c r="J121" s="65" t="b">
        <f aca="false">TRUE()</f>
        <v>1</v>
      </c>
      <c r="K121" s="66" t="str">
        <f aca="false">IF(J121=TRUE(),A121&amp;" - "&amp;B121,"")</f>
        <v>5311 - Arka në lek</v>
      </c>
      <c r="L121" s="64" t="s">
        <v>459</v>
      </c>
    </row>
    <row r="122" customFormat="false" ht="23.25" hidden="false" customHeight="true" outlineLevel="0" collapsed="false">
      <c r="A122" s="63" t="s">
        <v>473</v>
      </c>
      <c r="B122" s="64" t="s">
        <v>474</v>
      </c>
      <c r="C122" s="64" t="n">
        <v>4</v>
      </c>
      <c r="D122" s="64" t="s">
        <v>67</v>
      </c>
      <c r="E122" s="64" t="s">
        <v>453</v>
      </c>
      <c r="F122" s="64" t="s">
        <v>454</v>
      </c>
      <c r="G122" s="64" t="s">
        <v>240</v>
      </c>
      <c r="H122" s="64" t="s">
        <v>206</v>
      </c>
      <c r="I122" s="64" t="s">
        <v>212</v>
      </c>
      <c r="J122" s="65" t="b">
        <f aca="false">TRUE()</f>
        <v>1</v>
      </c>
      <c r="K122" s="66" t="str">
        <f aca="false">IF(J122=TRUE(),A122&amp;" - "&amp;B122,"")</f>
        <v>5314 - Arka në monedha të huaja</v>
      </c>
      <c r="L122" s="64" t="s">
        <v>459</v>
      </c>
    </row>
    <row r="123" customFormat="false" ht="23.25" hidden="false" customHeight="true" outlineLevel="0" collapsed="false">
      <c r="A123" s="63" t="s">
        <v>475</v>
      </c>
      <c r="B123" s="64" t="s">
        <v>476</v>
      </c>
      <c r="C123" s="64" t="n">
        <v>2</v>
      </c>
      <c r="D123" s="64" t="s">
        <v>67</v>
      </c>
      <c r="E123" s="64" t="s">
        <v>453</v>
      </c>
      <c r="F123" s="64" t="s">
        <v>454</v>
      </c>
      <c r="G123" s="64" t="s">
        <v>198</v>
      </c>
      <c r="H123" s="64" t="s">
        <v>199</v>
      </c>
      <c r="I123" s="64"/>
      <c r="J123" s="65" t="b">
        <f aca="false">FALSE()</f>
        <v>0</v>
      </c>
      <c r="K123" s="66" t="str">
        <f aca="false">IF(J123=TRUE(),A123&amp;" - "&amp;B123,"")</f>
        <v/>
      </c>
      <c r="L123" s="64"/>
    </row>
    <row r="124" customFormat="false" ht="23.25" hidden="false" customHeight="true" outlineLevel="0" collapsed="false">
      <c r="A124" s="63" t="s">
        <v>477</v>
      </c>
      <c r="B124" s="64" t="s">
        <v>476</v>
      </c>
      <c r="C124" s="64" t="n">
        <v>3</v>
      </c>
      <c r="D124" s="64" t="s">
        <v>67</v>
      </c>
      <c r="E124" s="64" t="s">
        <v>453</v>
      </c>
      <c r="F124" s="64" t="s">
        <v>454</v>
      </c>
      <c r="G124" s="64" t="s">
        <v>478</v>
      </c>
      <c r="H124" s="64" t="s">
        <v>479</v>
      </c>
      <c r="I124" s="64" t="s">
        <v>212</v>
      </c>
      <c r="J124" s="65" t="b">
        <f aca="false">TRUE()</f>
        <v>1</v>
      </c>
      <c r="K124" s="66" t="str">
        <f aca="false">IF(J124=TRUE(),A124&amp;" - "&amp;B124,"")</f>
        <v>581 - Xhirime të brendshme</v>
      </c>
      <c r="L124" s="64" t="s">
        <v>459</v>
      </c>
    </row>
    <row r="125" customFormat="false" ht="14.25" hidden="false" customHeight="true" outlineLevel="0" collapsed="false">
      <c r="A125" s="63" t="s">
        <v>72</v>
      </c>
      <c r="B125" s="64" t="s">
        <v>480</v>
      </c>
      <c r="C125" s="64" t="n">
        <v>1</v>
      </c>
      <c r="D125" s="64" t="s">
        <v>72</v>
      </c>
      <c r="E125" s="64" t="s">
        <v>481</v>
      </c>
      <c r="F125" s="64" t="s">
        <v>481</v>
      </c>
      <c r="G125" s="64" t="s">
        <v>198</v>
      </c>
      <c r="H125" s="64" t="s">
        <v>199</v>
      </c>
      <c r="I125" s="64"/>
      <c r="J125" s="65" t="b">
        <f aca="false">FALSE()</f>
        <v>0</v>
      </c>
      <c r="K125" s="66" t="str">
        <f aca="false">IF(J125=TRUE(),A125&amp;" - "&amp;B125,"")</f>
        <v/>
      </c>
      <c r="L125" s="64"/>
    </row>
    <row r="126" customFormat="false" ht="14.25" hidden="false" customHeight="true" outlineLevel="0" collapsed="false">
      <c r="A126" s="63" t="s">
        <v>482</v>
      </c>
      <c r="B126" s="64" t="s">
        <v>483</v>
      </c>
      <c r="C126" s="64" t="n">
        <v>2</v>
      </c>
      <c r="D126" s="64" t="s">
        <v>72</v>
      </c>
      <c r="E126" s="64" t="s">
        <v>481</v>
      </c>
      <c r="F126" s="64" t="s">
        <v>481</v>
      </c>
      <c r="G126" s="64" t="s">
        <v>198</v>
      </c>
      <c r="H126" s="64" t="s">
        <v>199</v>
      </c>
      <c r="I126" s="64"/>
      <c r="J126" s="65" t="b">
        <f aca="false">FALSE()</f>
        <v>0</v>
      </c>
      <c r="K126" s="66" t="str">
        <f aca="false">IF(J126=TRUE(),A126&amp;" - "&amp;B126,"")</f>
        <v/>
      </c>
      <c r="L126" s="64"/>
    </row>
    <row r="127" customFormat="false" ht="14.25" hidden="false" customHeight="true" outlineLevel="0" collapsed="false">
      <c r="A127" s="63" t="s">
        <v>484</v>
      </c>
      <c r="B127" s="64" t="s">
        <v>485</v>
      </c>
      <c r="C127" s="64" t="n">
        <v>3</v>
      </c>
      <c r="D127" s="64" t="s">
        <v>72</v>
      </c>
      <c r="E127" s="64" t="s">
        <v>481</v>
      </c>
      <c r="F127" s="64" t="s">
        <v>486</v>
      </c>
      <c r="G127" s="64" t="s">
        <v>487</v>
      </c>
      <c r="H127" s="64" t="s">
        <v>139</v>
      </c>
      <c r="I127" s="64" t="s">
        <v>212</v>
      </c>
      <c r="J127" s="65" t="b">
        <f aca="false">TRUE()</f>
        <v>1</v>
      </c>
      <c r="K127" s="66" t="str">
        <f aca="false">IF(J127=TRUE(),A127&amp;" - "&amp;B127,"")</f>
        <v>601 - Blerje / shpenzime të materialeve</v>
      </c>
      <c r="L127" s="64" t="s">
        <v>139</v>
      </c>
    </row>
    <row r="128" customFormat="false" ht="14.25" hidden="false" customHeight="true" outlineLevel="0" collapsed="false">
      <c r="A128" s="63" t="s">
        <v>488</v>
      </c>
      <c r="B128" s="64" t="s">
        <v>489</v>
      </c>
      <c r="C128" s="64" t="n">
        <v>3</v>
      </c>
      <c r="D128" s="64" t="s">
        <v>72</v>
      </c>
      <c r="E128" s="64" t="s">
        <v>481</v>
      </c>
      <c r="F128" s="64" t="s">
        <v>486</v>
      </c>
      <c r="G128" s="64" t="s">
        <v>487</v>
      </c>
      <c r="H128" s="64" t="s">
        <v>139</v>
      </c>
      <c r="I128" s="64" t="s">
        <v>212</v>
      </c>
      <c r="J128" s="65" t="b">
        <f aca="false">TRUE()</f>
        <v>1</v>
      </c>
      <c r="K128" s="66" t="str">
        <f aca="false">IF(J128=TRUE(),A128&amp;" - "&amp;B128,"")</f>
        <v>602 - Blerje / shpenzime të materialeve të tjera</v>
      </c>
      <c r="L128" s="64" t="s">
        <v>139</v>
      </c>
    </row>
    <row r="129" customFormat="false" ht="14.25" hidden="false" customHeight="true" outlineLevel="0" collapsed="false">
      <c r="A129" s="63" t="s">
        <v>490</v>
      </c>
      <c r="B129" s="64" t="s">
        <v>491</v>
      </c>
      <c r="C129" s="64" t="n">
        <v>3</v>
      </c>
      <c r="D129" s="64" t="s">
        <v>72</v>
      </c>
      <c r="E129" s="64" t="s">
        <v>481</v>
      </c>
      <c r="F129" s="64" t="s">
        <v>486</v>
      </c>
      <c r="G129" s="64" t="s">
        <v>492</v>
      </c>
      <c r="H129" s="64" t="s">
        <v>139</v>
      </c>
      <c r="I129" s="64" t="s">
        <v>228</v>
      </c>
      <c r="J129" s="65" t="b">
        <f aca="false">TRUE()</f>
        <v>1</v>
      </c>
      <c r="K129" s="66" t="str">
        <f aca="false">IF(J129=TRUE(),A129&amp;" - "&amp;B129,"")</f>
        <v>603 - Ndryshim gjendje inventari</v>
      </c>
      <c r="L129" s="64" t="s">
        <v>139</v>
      </c>
    </row>
    <row r="130" customFormat="false" ht="14.25" hidden="false" customHeight="true" outlineLevel="0" collapsed="false">
      <c r="A130" s="63" t="s">
        <v>493</v>
      </c>
      <c r="B130" s="64" t="s">
        <v>494</v>
      </c>
      <c r="C130" s="64" t="n">
        <v>3</v>
      </c>
      <c r="D130" s="64" t="s">
        <v>72</v>
      </c>
      <c r="E130" s="64" t="s">
        <v>481</v>
      </c>
      <c r="F130" s="64" t="s">
        <v>486</v>
      </c>
      <c r="G130" s="64" t="s">
        <v>487</v>
      </c>
      <c r="H130" s="64" t="s">
        <v>139</v>
      </c>
      <c r="I130" s="64" t="s">
        <v>212</v>
      </c>
      <c r="J130" s="65" t="b">
        <f aca="false">TRUE()</f>
        <v>1</v>
      </c>
      <c r="K130" s="66" t="str">
        <f aca="false">IF(J130=TRUE(),A130&amp;" - "&amp;B130,"")</f>
        <v>604 - Blerje energji, avull, ujë</v>
      </c>
      <c r="L130" s="64" t="s">
        <v>139</v>
      </c>
    </row>
    <row r="131" customFormat="false" ht="14.25" hidden="false" customHeight="true" outlineLevel="0" collapsed="false">
      <c r="A131" s="63" t="s">
        <v>495</v>
      </c>
      <c r="B131" s="64" t="s">
        <v>496</v>
      </c>
      <c r="C131" s="64" t="n">
        <v>3</v>
      </c>
      <c r="D131" s="64" t="s">
        <v>72</v>
      </c>
      <c r="E131" s="64" t="s">
        <v>481</v>
      </c>
      <c r="F131" s="64" t="s">
        <v>486</v>
      </c>
      <c r="G131" s="64" t="s">
        <v>487</v>
      </c>
      <c r="H131" s="64" t="s">
        <v>139</v>
      </c>
      <c r="I131" s="64" t="s">
        <v>212</v>
      </c>
      <c r="J131" s="65" t="b">
        <f aca="false">TRUE()</f>
        <v>1</v>
      </c>
      <c r="K131" s="66" t="str">
        <f aca="false">IF(J131=TRUE(),A131&amp;" - "&amp;B131,"")</f>
        <v>605 - Blerje / shpenzime mallra, shërbimesh</v>
      </c>
      <c r="L131" s="64" t="s">
        <v>139</v>
      </c>
    </row>
    <row r="132" customFormat="false" ht="14.25" hidden="false" customHeight="true" outlineLevel="0" collapsed="false">
      <c r="A132" s="63" t="s">
        <v>497</v>
      </c>
      <c r="B132" s="64" t="s">
        <v>498</v>
      </c>
      <c r="C132" s="64" t="n">
        <v>3</v>
      </c>
      <c r="D132" s="64" t="s">
        <v>72</v>
      </c>
      <c r="E132" s="64" t="s">
        <v>481</v>
      </c>
      <c r="F132" s="64" t="s">
        <v>486</v>
      </c>
      <c r="G132" s="64" t="s">
        <v>487</v>
      </c>
      <c r="H132" s="64" t="s">
        <v>139</v>
      </c>
      <c r="I132" s="64" t="s">
        <v>212</v>
      </c>
      <c r="J132" s="65" t="b">
        <f aca="false">TRUE()</f>
        <v>1</v>
      </c>
      <c r="K132" s="66" t="str">
        <f aca="false">IF(J132=TRUE(),A132&amp;" - "&amp;B132,"")</f>
        <v>606 - Blerje ambalazhi</v>
      </c>
      <c r="L132" s="64" t="s">
        <v>139</v>
      </c>
    </row>
    <row r="133" customFormat="false" ht="14.25" hidden="false" customHeight="true" outlineLevel="0" collapsed="false">
      <c r="A133" s="63" t="s">
        <v>499</v>
      </c>
      <c r="B133" s="64" t="s">
        <v>500</v>
      </c>
      <c r="C133" s="64" t="n">
        <v>3</v>
      </c>
      <c r="D133" s="64" t="s">
        <v>72</v>
      </c>
      <c r="E133" s="64" t="s">
        <v>481</v>
      </c>
      <c r="F133" s="64" t="s">
        <v>486</v>
      </c>
      <c r="G133" s="64" t="s">
        <v>487</v>
      </c>
      <c r="H133" s="64" t="s">
        <v>139</v>
      </c>
      <c r="I133" s="64" t="s">
        <v>212</v>
      </c>
      <c r="J133" s="65" t="b">
        <f aca="false">TRUE()</f>
        <v>1</v>
      </c>
      <c r="K133" s="66" t="str">
        <f aca="false">IF(J133=TRUE(),A133&amp;" - "&amp;B133,"")</f>
        <v>607 - Blerje tek të tretë / kosto shitje</v>
      </c>
      <c r="L133" s="64" t="s">
        <v>139</v>
      </c>
    </row>
    <row r="134" customFormat="false" ht="14.25" hidden="false" customHeight="true" outlineLevel="0" collapsed="false">
      <c r="A134" s="63" t="s">
        <v>501</v>
      </c>
      <c r="B134" s="64" t="s">
        <v>502</v>
      </c>
      <c r="C134" s="64" t="n">
        <v>3</v>
      </c>
      <c r="D134" s="64" t="s">
        <v>72</v>
      </c>
      <c r="E134" s="64" t="s">
        <v>481</v>
      </c>
      <c r="F134" s="64" t="s">
        <v>486</v>
      </c>
      <c r="G134" s="64" t="s">
        <v>487</v>
      </c>
      <c r="H134" s="64" t="s">
        <v>139</v>
      </c>
      <c r="I134" s="64" t="s">
        <v>212</v>
      </c>
      <c r="J134" s="65" t="b">
        <f aca="false">TRUE()</f>
        <v>1</v>
      </c>
      <c r="K134" s="66" t="str">
        <f aca="false">IF(J134=TRUE(),A134&amp;" - "&amp;B134,"")</f>
        <v>608 - Blerje / shpenzime të tjera</v>
      </c>
      <c r="L134" s="64" t="s">
        <v>139</v>
      </c>
    </row>
    <row r="135" customFormat="false" ht="14.25" hidden="false" customHeight="true" outlineLevel="0" collapsed="false">
      <c r="A135" s="63" t="s">
        <v>503</v>
      </c>
      <c r="B135" s="64" t="s">
        <v>504</v>
      </c>
      <c r="C135" s="64" t="n">
        <v>3</v>
      </c>
      <c r="D135" s="64" t="s">
        <v>72</v>
      </c>
      <c r="E135" s="64" t="s">
        <v>481</v>
      </c>
      <c r="F135" s="64" t="s">
        <v>486</v>
      </c>
      <c r="G135" s="64" t="s">
        <v>505</v>
      </c>
      <c r="H135" s="64" t="s">
        <v>139</v>
      </c>
      <c r="I135" s="64" t="s">
        <v>207</v>
      </c>
      <c r="J135" s="65" t="b">
        <f aca="false">TRUE()</f>
        <v>1</v>
      </c>
      <c r="K135" s="66" t="str">
        <f aca="false">IF(J135=TRUE(),A135&amp;" - "&amp;B135,"")</f>
        <v>609 - Zbritje financiare nga furnitori</v>
      </c>
      <c r="L135" s="64" t="s">
        <v>139</v>
      </c>
    </row>
    <row r="136" customFormat="false" ht="14.25" hidden="false" customHeight="true" outlineLevel="0" collapsed="false">
      <c r="A136" s="63" t="s">
        <v>506</v>
      </c>
      <c r="B136" s="64" t="s">
        <v>507</v>
      </c>
      <c r="C136" s="64" t="n">
        <v>2</v>
      </c>
      <c r="D136" s="64" t="s">
        <v>72</v>
      </c>
      <c r="E136" s="64" t="s">
        <v>481</v>
      </c>
      <c r="F136" s="64" t="s">
        <v>481</v>
      </c>
      <c r="G136" s="64" t="s">
        <v>198</v>
      </c>
      <c r="H136" s="64" t="s">
        <v>199</v>
      </c>
      <c r="I136" s="64"/>
      <c r="J136" s="65" t="b">
        <f aca="false">FALSE()</f>
        <v>0</v>
      </c>
      <c r="K136" s="66" t="str">
        <f aca="false">IF(J136=TRUE(),A136&amp;" - "&amp;B136,"")</f>
        <v/>
      </c>
      <c r="L136" s="64"/>
    </row>
    <row r="137" customFormat="false" ht="14.25" hidden="false" customHeight="true" outlineLevel="0" collapsed="false">
      <c r="A137" s="63" t="s">
        <v>508</v>
      </c>
      <c r="B137" s="64" t="s">
        <v>509</v>
      </c>
      <c r="C137" s="64" t="n">
        <v>3</v>
      </c>
      <c r="D137" s="64" t="s">
        <v>72</v>
      </c>
      <c r="E137" s="64" t="s">
        <v>481</v>
      </c>
      <c r="F137" s="64" t="s">
        <v>510</v>
      </c>
      <c r="G137" s="64" t="s">
        <v>487</v>
      </c>
      <c r="H137" s="64" t="s">
        <v>139</v>
      </c>
      <c r="I137" s="64" t="s">
        <v>212</v>
      </c>
      <c r="J137" s="65" t="b">
        <f aca="false">TRUE()</f>
        <v>1</v>
      </c>
      <c r="K137" s="66" t="str">
        <f aca="false">IF(J137=TRUE(),A137&amp;" - "&amp;B137,"")</f>
        <v>611 - Trajtime të përgjithshme</v>
      </c>
      <c r="L137" s="64" t="s">
        <v>139</v>
      </c>
    </row>
    <row r="138" customFormat="false" ht="14.25" hidden="false" customHeight="true" outlineLevel="0" collapsed="false">
      <c r="A138" s="63" t="s">
        <v>511</v>
      </c>
      <c r="B138" s="64" t="s">
        <v>512</v>
      </c>
      <c r="C138" s="64" t="n">
        <v>3</v>
      </c>
      <c r="D138" s="64" t="s">
        <v>72</v>
      </c>
      <c r="E138" s="64" t="s">
        <v>481</v>
      </c>
      <c r="F138" s="64" t="s">
        <v>510</v>
      </c>
      <c r="G138" s="64" t="s">
        <v>487</v>
      </c>
      <c r="H138" s="64" t="s">
        <v>139</v>
      </c>
      <c r="I138" s="64" t="s">
        <v>212</v>
      </c>
      <c r="J138" s="65" t="b">
        <f aca="false">TRUE()</f>
        <v>1</v>
      </c>
      <c r="K138" s="66" t="str">
        <f aca="false">IF(J138=TRUE(),A138&amp;" - "&amp;B138,"")</f>
        <v>613 - Qira</v>
      </c>
      <c r="L138" s="64" t="s">
        <v>139</v>
      </c>
    </row>
    <row r="139" customFormat="false" ht="14.25" hidden="false" customHeight="true" outlineLevel="0" collapsed="false">
      <c r="A139" s="63" t="s">
        <v>513</v>
      </c>
      <c r="B139" s="64" t="s">
        <v>514</v>
      </c>
      <c r="C139" s="64" t="n">
        <v>3</v>
      </c>
      <c r="D139" s="64" t="s">
        <v>72</v>
      </c>
      <c r="E139" s="64" t="s">
        <v>481</v>
      </c>
      <c r="F139" s="64" t="s">
        <v>510</v>
      </c>
      <c r="G139" s="64" t="s">
        <v>487</v>
      </c>
      <c r="H139" s="64" t="s">
        <v>139</v>
      </c>
      <c r="I139" s="64" t="s">
        <v>212</v>
      </c>
      <c r="J139" s="65" t="b">
        <f aca="false">TRUE()</f>
        <v>1</v>
      </c>
      <c r="K139" s="66" t="str">
        <f aca="false">IF(J139=TRUE(),A139&amp;" - "&amp;B139,"")</f>
        <v>615 - Mirëmbajtje dhe riparime</v>
      </c>
      <c r="L139" s="64" t="s">
        <v>139</v>
      </c>
    </row>
    <row r="140" customFormat="false" ht="14.25" hidden="false" customHeight="true" outlineLevel="0" collapsed="false">
      <c r="A140" s="63" t="s">
        <v>515</v>
      </c>
      <c r="B140" s="64" t="s">
        <v>365</v>
      </c>
      <c r="C140" s="64" t="n">
        <v>3</v>
      </c>
      <c r="D140" s="64" t="s">
        <v>72</v>
      </c>
      <c r="E140" s="64" t="s">
        <v>481</v>
      </c>
      <c r="F140" s="64" t="s">
        <v>510</v>
      </c>
      <c r="G140" s="64" t="s">
        <v>487</v>
      </c>
      <c r="H140" s="64" t="s">
        <v>139</v>
      </c>
      <c r="I140" s="64" t="s">
        <v>212</v>
      </c>
      <c r="J140" s="65" t="b">
        <f aca="false">TRUE()</f>
        <v>1</v>
      </c>
      <c r="K140" s="66" t="str">
        <f aca="false">IF(J140=TRUE(),A140&amp;" - "&amp;B140,"")</f>
        <v>616 - Sigurime</v>
      </c>
      <c r="L140" s="64" t="s">
        <v>139</v>
      </c>
    </row>
    <row r="141" customFormat="false" ht="14.25" hidden="false" customHeight="true" outlineLevel="0" collapsed="false">
      <c r="A141" s="63" t="s">
        <v>516</v>
      </c>
      <c r="B141" s="64" t="s">
        <v>517</v>
      </c>
      <c r="C141" s="64" t="n">
        <v>3</v>
      </c>
      <c r="D141" s="64" t="s">
        <v>72</v>
      </c>
      <c r="E141" s="64" t="s">
        <v>481</v>
      </c>
      <c r="F141" s="64" t="s">
        <v>510</v>
      </c>
      <c r="G141" s="64" t="s">
        <v>487</v>
      </c>
      <c r="H141" s="64" t="s">
        <v>139</v>
      </c>
      <c r="I141" s="64" t="s">
        <v>212</v>
      </c>
      <c r="J141" s="65" t="b">
        <f aca="false">TRUE()</f>
        <v>1</v>
      </c>
      <c r="K141" s="66" t="str">
        <f aca="false">IF(J141=TRUE(),A141&amp;" - "&amp;B141,"")</f>
        <v>617 - Kërkime dhe studime</v>
      </c>
      <c r="L141" s="64" t="s">
        <v>139</v>
      </c>
    </row>
    <row r="142" customFormat="false" ht="14.25" hidden="false" customHeight="true" outlineLevel="0" collapsed="false">
      <c r="A142" s="63" t="s">
        <v>518</v>
      </c>
      <c r="B142" s="64" t="s">
        <v>519</v>
      </c>
      <c r="C142" s="64" t="n">
        <v>3</v>
      </c>
      <c r="D142" s="64" t="s">
        <v>72</v>
      </c>
      <c r="E142" s="64" t="s">
        <v>481</v>
      </c>
      <c r="F142" s="64" t="s">
        <v>510</v>
      </c>
      <c r="G142" s="64" t="s">
        <v>487</v>
      </c>
      <c r="H142" s="64" t="s">
        <v>139</v>
      </c>
      <c r="I142" s="64" t="s">
        <v>212</v>
      </c>
      <c r="J142" s="65" t="b">
        <f aca="false">TRUE()</f>
        <v>1</v>
      </c>
      <c r="K142" s="66" t="str">
        <f aca="false">IF(J142=TRUE(),A142&amp;" - "&amp;B142,"")</f>
        <v>618 - Të tjera shërbime nga të tretët</v>
      </c>
      <c r="L142" s="64" t="s">
        <v>139</v>
      </c>
    </row>
    <row r="143" customFormat="false" ht="14.25" hidden="false" customHeight="true" outlineLevel="0" collapsed="false">
      <c r="A143" s="63" t="s">
        <v>520</v>
      </c>
      <c r="B143" s="64" t="s">
        <v>521</v>
      </c>
      <c r="C143" s="64" t="n">
        <v>2</v>
      </c>
      <c r="D143" s="64" t="s">
        <v>72</v>
      </c>
      <c r="E143" s="64" t="s">
        <v>481</v>
      </c>
      <c r="F143" s="64" t="s">
        <v>481</v>
      </c>
      <c r="G143" s="64" t="s">
        <v>198</v>
      </c>
      <c r="H143" s="64" t="s">
        <v>199</v>
      </c>
      <c r="I143" s="64"/>
      <c r="J143" s="65" t="b">
        <f aca="false">FALSE()</f>
        <v>0</v>
      </c>
      <c r="K143" s="66" t="str">
        <f aca="false">IF(J143=TRUE(),A143&amp;" - "&amp;B143,"")</f>
        <v/>
      </c>
      <c r="L143" s="64"/>
    </row>
    <row r="144" customFormat="false" ht="14.25" hidden="false" customHeight="true" outlineLevel="0" collapsed="false">
      <c r="A144" s="63" t="s">
        <v>522</v>
      </c>
      <c r="B144" s="64" t="s">
        <v>523</v>
      </c>
      <c r="C144" s="64" t="n">
        <v>3</v>
      </c>
      <c r="D144" s="64" t="s">
        <v>72</v>
      </c>
      <c r="E144" s="64" t="s">
        <v>481</v>
      </c>
      <c r="F144" s="64" t="s">
        <v>510</v>
      </c>
      <c r="G144" s="64" t="s">
        <v>487</v>
      </c>
      <c r="H144" s="64" t="s">
        <v>139</v>
      </c>
      <c r="I144" s="64" t="s">
        <v>212</v>
      </c>
      <c r="J144" s="65" t="b">
        <f aca="false">TRUE()</f>
        <v>1</v>
      </c>
      <c r="K144" s="66" t="str">
        <f aca="false">IF(J144=TRUE(),A144&amp;" - "&amp;B144,"")</f>
        <v>621 - Personel jashtë ndërmarrjes</v>
      </c>
      <c r="L144" s="64" t="s">
        <v>139</v>
      </c>
    </row>
    <row r="145" customFormat="false" ht="14.25" hidden="false" customHeight="true" outlineLevel="0" collapsed="false">
      <c r="A145" s="63" t="s">
        <v>524</v>
      </c>
      <c r="B145" s="64" t="s">
        <v>525</v>
      </c>
      <c r="C145" s="64" t="n">
        <v>3</v>
      </c>
      <c r="D145" s="64" t="s">
        <v>72</v>
      </c>
      <c r="E145" s="64" t="s">
        <v>481</v>
      </c>
      <c r="F145" s="64" t="s">
        <v>510</v>
      </c>
      <c r="G145" s="64" t="s">
        <v>487</v>
      </c>
      <c r="H145" s="64" t="s">
        <v>139</v>
      </c>
      <c r="I145" s="64" t="s">
        <v>212</v>
      </c>
      <c r="J145" s="65" t="b">
        <f aca="false">TRUE()</f>
        <v>1</v>
      </c>
      <c r="K145" s="66" t="str">
        <f aca="false">IF(J145=TRUE(),A145&amp;" - "&amp;B145,"")</f>
        <v>622 - Komisione ndërmjetësimi dhe honorare</v>
      </c>
      <c r="L145" s="64" t="s">
        <v>139</v>
      </c>
    </row>
    <row r="146" customFormat="false" ht="14.25" hidden="false" customHeight="true" outlineLevel="0" collapsed="false">
      <c r="A146" s="63" t="s">
        <v>526</v>
      </c>
      <c r="B146" s="64" t="s">
        <v>527</v>
      </c>
      <c r="C146" s="64" t="n">
        <v>3</v>
      </c>
      <c r="D146" s="64" t="s">
        <v>72</v>
      </c>
      <c r="E146" s="64" t="s">
        <v>481</v>
      </c>
      <c r="F146" s="64" t="s">
        <v>510</v>
      </c>
      <c r="G146" s="64" t="s">
        <v>487</v>
      </c>
      <c r="H146" s="64" t="s">
        <v>139</v>
      </c>
      <c r="I146" s="64" t="s">
        <v>212</v>
      </c>
      <c r="J146" s="65" t="b">
        <f aca="false">TRUE()</f>
        <v>1</v>
      </c>
      <c r="K146" s="66" t="str">
        <f aca="false">IF(J146=TRUE(),A146&amp;" - "&amp;B146,"")</f>
        <v>623 - Shpenzime për koncesione, patenta, licenca</v>
      </c>
      <c r="L146" s="64" t="s">
        <v>139</v>
      </c>
    </row>
    <row r="147" customFormat="false" ht="14.25" hidden="false" customHeight="true" outlineLevel="0" collapsed="false">
      <c r="A147" s="63" t="s">
        <v>528</v>
      </c>
      <c r="B147" s="64" t="s">
        <v>529</v>
      </c>
      <c r="C147" s="64" t="n">
        <v>3</v>
      </c>
      <c r="D147" s="64" t="s">
        <v>72</v>
      </c>
      <c r="E147" s="64" t="s">
        <v>481</v>
      </c>
      <c r="F147" s="64" t="s">
        <v>510</v>
      </c>
      <c r="G147" s="64" t="s">
        <v>487</v>
      </c>
      <c r="H147" s="64" t="s">
        <v>139</v>
      </c>
      <c r="I147" s="64" t="s">
        <v>212</v>
      </c>
      <c r="J147" s="65" t="b">
        <f aca="false">TRUE()</f>
        <v>1</v>
      </c>
      <c r="K147" s="66" t="str">
        <f aca="false">IF(J147=TRUE(),A147&amp;" - "&amp;B147,"")</f>
        <v>624 - Publicitet, reklamë</v>
      </c>
      <c r="L147" s="64" t="s">
        <v>139</v>
      </c>
    </row>
    <row r="148" customFormat="false" ht="14.25" hidden="false" customHeight="true" outlineLevel="0" collapsed="false">
      <c r="A148" s="63" t="s">
        <v>530</v>
      </c>
      <c r="B148" s="64" t="s">
        <v>531</v>
      </c>
      <c r="C148" s="64" t="n">
        <v>3</v>
      </c>
      <c r="D148" s="64" t="s">
        <v>72</v>
      </c>
      <c r="E148" s="64" t="s">
        <v>481</v>
      </c>
      <c r="F148" s="64" t="s">
        <v>510</v>
      </c>
      <c r="G148" s="64" t="s">
        <v>487</v>
      </c>
      <c r="H148" s="64" t="s">
        <v>139</v>
      </c>
      <c r="I148" s="64" t="s">
        <v>212</v>
      </c>
      <c r="J148" s="65" t="b">
        <f aca="false">TRUE()</f>
        <v>1</v>
      </c>
      <c r="K148" s="66" t="str">
        <f aca="false">IF(J148=TRUE(),A148&amp;" - "&amp;B148,"")</f>
        <v>625 - Transferime, udhëtime, dieta</v>
      </c>
      <c r="L148" s="64" t="s">
        <v>139</v>
      </c>
    </row>
    <row r="149" customFormat="false" ht="14.25" hidden="false" customHeight="true" outlineLevel="0" collapsed="false">
      <c r="A149" s="63" t="s">
        <v>532</v>
      </c>
      <c r="B149" s="64" t="s">
        <v>533</v>
      </c>
      <c r="C149" s="64" t="n">
        <v>3</v>
      </c>
      <c r="D149" s="64" t="s">
        <v>72</v>
      </c>
      <c r="E149" s="64" t="s">
        <v>481</v>
      </c>
      <c r="F149" s="64" t="s">
        <v>510</v>
      </c>
      <c r="G149" s="64" t="s">
        <v>487</v>
      </c>
      <c r="H149" s="64" t="s">
        <v>139</v>
      </c>
      <c r="I149" s="64" t="s">
        <v>212</v>
      </c>
      <c r="J149" s="65" t="b">
        <f aca="false">TRUE()</f>
        <v>1</v>
      </c>
      <c r="K149" s="66" t="str">
        <f aca="false">IF(J149=TRUE(),A149&amp;" - "&amp;B149,"")</f>
        <v>626 - Shpenzime postare dhe telekomunikimi</v>
      </c>
      <c r="L149" s="64" t="s">
        <v>139</v>
      </c>
    </row>
    <row r="150" customFormat="false" ht="14.25" hidden="false" customHeight="true" outlineLevel="0" collapsed="false">
      <c r="A150" s="63" t="s">
        <v>534</v>
      </c>
      <c r="B150" s="64" t="s">
        <v>535</v>
      </c>
      <c r="C150" s="64" t="n">
        <v>3</v>
      </c>
      <c r="D150" s="64" t="s">
        <v>72</v>
      </c>
      <c r="E150" s="64" t="s">
        <v>481</v>
      </c>
      <c r="F150" s="64" t="s">
        <v>510</v>
      </c>
      <c r="G150" s="64" t="s">
        <v>487</v>
      </c>
      <c r="H150" s="64" t="s">
        <v>139</v>
      </c>
      <c r="I150" s="64" t="s">
        <v>212</v>
      </c>
      <c r="J150" s="65" t="b">
        <f aca="false">TRUE()</f>
        <v>1</v>
      </c>
      <c r="K150" s="66" t="str">
        <f aca="false">IF(J150=TRUE(),A150&amp;" - "&amp;B150,"")</f>
        <v>627 - Shpenzime transporti</v>
      </c>
      <c r="L150" s="64" t="s">
        <v>139</v>
      </c>
    </row>
    <row r="151" customFormat="false" ht="14.25" hidden="false" customHeight="true" outlineLevel="0" collapsed="false">
      <c r="A151" s="63" t="s">
        <v>536</v>
      </c>
      <c r="B151" s="64" t="s">
        <v>537</v>
      </c>
      <c r="C151" s="64" t="n">
        <v>4</v>
      </c>
      <c r="D151" s="64" t="s">
        <v>72</v>
      </c>
      <c r="E151" s="64" t="s">
        <v>481</v>
      </c>
      <c r="F151" s="64" t="s">
        <v>510</v>
      </c>
      <c r="G151" s="64" t="s">
        <v>487</v>
      </c>
      <c r="H151" s="64" t="s">
        <v>139</v>
      </c>
      <c r="I151" s="64" t="s">
        <v>212</v>
      </c>
      <c r="J151" s="65" t="b">
        <f aca="false">TRUE()</f>
        <v>1</v>
      </c>
      <c r="K151" s="66" t="str">
        <f aca="false">IF(J151=TRUE(),A151&amp;" - "&amp;B151,"")</f>
        <v>6271 - Transport për blerje</v>
      </c>
      <c r="L151" s="64" t="s">
        <v>139</v>
      </c>
    </row>
    <row r="152" customFormat="false" ht="14.25" hidden="false" customHeight="true" outlineLevel="0" collapsed="false">
      <c r="A152" s="63" t="s">
        <v>538</v>
      </c>
      <c r="B152" s="64" t="s">
        <v>539</v>
      </c>
      <c r="C152" s="64" t="n">
        <v>4</v>
      </c>
      <c r="D152" s="64" t="s">
        <v>72</v>
      </c>
      <c r="E152" s="64" t="s">
        <v>481</v>
      </c>
      <c r="F152" s="64" t="s">
        <v>510</v>
      </c>
      <c r="G152" s="64" t="s">
        <v>487</v>
      </c>
      <c r="H152" s="64" t="s">
        <v>139</v>
      </c>
      <c r="I152" s="64" t="s">
        <v>212</v>
      </c>
      <c r="J152" s="65" t="b">
        <f aca="false">TRUE()</f>
        <v>1</v>
      </c>
      <c r="K152" s="66" t="str">
        <f aca="false">IF(J152=TRUE(),A152&amp;" - "&amp;B152,"")</f>
        <v>6272 - Transport për shitje</v>
      </c>
      <c r="L152" s="64" t="s">
        <v>139</v>
      </c>
    </row>
    <row r="153" customFormat="false" ht="14.25" hidden="false" customHeight="true" outlineLevel="0" collapsed="false">
      <c r="A153" s="63" t="s">
        <v>540</v>
      </c>
      <c r="B153" s="64" t="s">
        <v>541</v>
      </c>
      <c r="C153" s="64" t="n">
        <v>3</v>
      </c>
      <c r="D153" s="64" t="s">
        <v>72</v>
      </c>
      <c r="E153" s="64" t="s">
        <v>481</v>
      </c>
      <c r="F153" s="64" t="s">
        <v>510</v>
      </c>
      <c r="G153" s="64" t="s">
        <v>487</v>
      </c>
      <c r="H153" s="64" t="s">
        <v>139</v>
      </c>
      <c r="I153" s="64" t="s">
        <v>212</v>
      </c>
      <c r="J153" s="65" t="b">
        <f aca="false">TRUE()</f>
        <v>1</v>
      </c>
      <c r="K153" s="66" t="str">
        <f aca="false">IF(J153=TRUE(),A153&amp;" - "&amp;B153,"")</f>
        <v>628 - Shpenzime për shërbimet bankare</v>
      </c>
      <c r="L153" s="64" t="s">
        <v>139</v>
      </c>
    </row>
    <row r="154" customFormat="false" ht="14.25" hidden="false" customHeight="true" outlineLevel="0" collapsed="false">
      <c r="A154" s="63" t="s">
        <v>542</v>
      </c>
      <c r="B154" s="64" t="s">
        <v>543</v>
      </c>
      <c r="C154" s="64" t="n">
        <v>2</v>
      </c>
      <c r="D154" s="64" t="s">
        <v>72</v>
      </c>
      <c r="E154" s="64" t="s">
        <v>481</v>
      </c>
      <c r="F154" s="64" t="s">
        <v>481</v>
      </c>
      <c r="G154" s="64" t="s">
        <v>198</v>
      </c>
      <c r="H154" s="64" t="s">
        <v>199</v>
      </c>
      <c r="I154" s="64"/>
      <c r="J154" s="65" t="b">
        <f aca="false">FALSE()</f>
        <v>0</v>
      </c>
      <c r="K154" s="66" t="str">
        <f aca="false">IF(J154=TRUE(),A154&amp;" - "&amp;B154,"")</f>
        <v/>
      </c>
      <c r="L154" s="64"/>
    </row>
    <row r="155" customFormat="false" ht="14.25" hidden="false" customHeight="true" outlineLevel="0" collapsed="false">
      <c r="A155" s="63" t="s">
        <v>544</v>
      </c>
      <c r="B155" s="64" t="s">
        <v>545</v>
      </c>
      <c r="C155" s="64" t="n">
        <v>3</v>
      </c>
      <c r="D155" s="64" t="s">
        <v>72</v>
      </c>
      <c r="E155" s="64" t="s">
        <v>481</v>
      </c>
      <c r="F155" s="64" t="s">
        <v>543</v>
      </c>
      <c r="G155" s="64" t="s">
        <v>487</v>
      </c>
      <c r="H155" s="64" t="s">
        <v>139</v>
      </c>
      <c r="I155" s="64" t="s">
        <v>212</v>
      </c>
      <c r="J155" s="65" t="b">
        <f aca="false">TRUE()</f>
        <v>1</v>
      </c>
      <c r="K155" s="66" t="str">
        <f aca="false">IF(J155=TRUE(),A155&amp;" - "&amp;B155,"")</f>
        <v>631 - Tatim mbi qarkullimin dhe akciza</v>
      </c>
      <c r="L155" s="64" t="s">
        <v>139</v>
      </c>
    </row>
    <row r="156" customFormat="false" ht="14.25" hidden="false" customHeight="true" outlineLevel="0" collapsed="false">
      <c r="A156" s="63" t="s">
        <v>546</v>
      </c>
      <c r="B156" s="64" t="s">
        <v>547</v>
      </c>
      <c r="C156" s="64" t="n">
        <v>3</v>
      </c>
      <c r="D156" s="64" t="s">
        <v>72</v>
      </c>
      <c r="E156" s="64" t="s">
        <v>481</v>
      </c>
      <c r="F156" s="64" t="s">
        <v>543</v>
      </c>
      <c r="G156" s="64" t="s">
        <v>487</v>
      </c>
      <c r="H156" s="64" t="s">
        <v>139</v>
      </c>
      <c r="I156" s="64" t="s">
        <v>212</v>
      </c>
      <c r="J156" s="65" t="b">
        <f aca="false">TRUE()</f>
        <v>1</v>
      </c>
      <c r="K156" s="66" t="str">
        <f aca="false">IF(J156=TRUE(),A156&amp;" - "&amp;B156,"")</f>
        <v>632 - Taksa, tarifa doganore</v>
      </c>
      <c r="L156" s="64" t="s">
        <v>139</v>
      </c>
    </row>
    <row r="157" customFormat="false" ht="14.25" hidden="false" customHeight="true" outlineLevel="0" collapsed="false">
      <c r="A157" s="63" t="s">
        <v>548</v>
      </c>
      <c r="B157" s="64" t="s">
        <v>374</v>
      </c>
      <c r="C157" s="64" t="n">
        <v>3</v>
      </c>
      <c r="D157" s="64" t="s">
        <v>72</v>
      </c>
      <c r="E157" s="64" t="s">
        <v>481</v>
      </c>
      <c r="F157" s="64" t="s">
        <v>543</v>
      </c>
      <c r="G157" s="64" t="s">
        <v>487</v>
      </c>
      <c r="H157" s="64" t="s">
        <v>139</v>
      </c>
      <c r="I157" s="64" t="s">
        <v>212</v>
      </c>
      <c r="J157" s="65" t="b">
        <f aca="false">TRUE()</f>
        <v>1</v>
      </c>
      <c r="K157" s="66" t="str">
        <f aca="false">IF(J157=TRUE(),A157&amp;" - "&amp;B157,"")</f>
        <v>633 - Akciza</v>
      </c>
      <c r="L157" s="64" t="s">
        <v>139</v>
      </c>
    </row>
    <row r="158" customFormat="false" ht="14.25" hidden="false" customHeight="true" outlineLevel="0" collapsed="false">
      <c r="A158" s="63" t="s">
        <v>549</v>
      </c>
      <c r="B158" s="64" t="s">
        <v>550</v>
      </c>
      <c r="C158" s="64" t="n">
        <v>3</v>
      </c>
      <c r="D158" s="64" t="s">
        <v>72</v>
      </c>
      <c r="E158" s="64" t="s">
        <v>481</v>
      </c>
      <c r="F158" s="64" t="s">
        <v>543</v>
      </c>
      <c r="G158" s="64" t="s">
        <v>487</v>
      </c>
      <c r="H158" s="64" t="s">
        <v>139</v>
      </c>
      <c r="I158" s="64" t="s">
        <v>212</v>
      </c>
      <c r="J158" s="65" t="b">
        <f aca="false">TRUE()</f>
        <v>1</v>
      </c>
      <c r="K158" s="66" t="str">
        <f aca="false">IF(J158=TRUE(),A158&amp;" - "&amp;B158,"")</f>
        <v>634 - Taksa dhe tarifa vendore</v>
      </c>
      <c r="L158" s="64" t="s">
        <v>139</v>
      </c>
    </row>
    <row r="159" customFormat="false" ht="14.25" hidden="false" customHeight="true" outlineLevel="0" collapsed="false">
      <c r="A159" s="63" t="s">
        <v>551</v>
      </c>
      <c r="B159" s="64" t="s">
        <v>552</v>
      </c>
      <c r="C159" s="64" t="n">
        <v>3</v>
      </c>
      <c r="D159" s="64" t="s">
        <v>72</v>
      </c>
      <c r="E159" s="64" t="s">
        <v>481</v>
      </c>
      <c r="F159" s="64" t="s">
        <v>543</v>
      </c>
      <c r="G159" s="64" t="s">
        <v>487</v>
      </c>
      <c r="H159" s="64" t="s">
        <v>139</v>
      </c>
      <c r="I159" s="64" t="s">
        <v>212</v>
      </c>
      <c r="J159" s="65" t="b">
        <f aca="false">TRUE()</f>
        <v>1</v>
      </c>
      <c r="K159" s="66" t="str">
        <f aca="false">IF(J159=TRUE(),A159&amp;" - "&amp;B159,"")</f>
        <v>638 - Tatime të tjera</v>
      </c>
      <c r="L159" s="64" t="s">
        <v>139</v>
      </c>
    </row>
    <row r="160" customFormat="false" ht="14.25" hidden="false" customHeight="true" outlineLevel="0" collapsed="false">
      <c r="A160" s="63" t="s">
        <v>553</v>
      </c>
      <c r="B160" s="64" t="s">
        <v>554</v>
      </c>
      <c r="C160" s="64" t="n">
        <v>2</v>
      </c>
      <c r="D160" s="64" t="s">
        <v>72</v>
      </c>
      <c r="E160" s="64" t="s">
        <v>481</v>
      </c>
      <c r="F160" s="64" t="s">
        <v>481</v>
      </c>
      <c r="G160" s="64" t="s">
        <v>198</v>
      </c>
      <c r="H160" s="64" t="s">
        <v>199</v>
      </c>
      <c r="I160" s="64"/>
      <c r="J160" s="65" t="b">
        <f aca="false">FALSE()</f>
        <v>0</v>
      </c>
      <c r="K160" s="66" t="str">
        <f aca="false">IF(J160=TRUE(),A160&amp;" - "&amp;B160,"")</f>
        <v/>
      </c>
      <c r="L160" s="64"/>
    </row>
    <row r="161" customFormat="false" ht="14.25" hidden="false" customHeight="true" outlineLevel="0" collapsed="false">
      <c r="A161" s="63" t="s">
        <v>555</v>
      </c>
      <c r="B161" s="64" t="s">
        <v>556</v>
      </c>
      <c r="C161" s="64" t="n">
        <v>3</v>
      </c>
      <c r="D161" s="64" t="s">
        <v>72</v>
      </c>
      <c r="E161" s="64" t="s">
        <v>481</v>
      </c>
      <c r="F161" s="64" t="s">
        <v>557</v>
      </c>
      <c r="G161" s="64" t="s">
        <v>487</v>
      </c>
      <c r="H161" s="64" t="s">
        <v>139</v>
      </c>
      <c r="I161" s="64" t="s">
        <v>212</v>
      </c>
      <c r="J161" s="65" t="b">
        <f aca="false">TRUE()</f>
        <v>1</v>
      </c>
      <c r="K161" s="66" t="str">
        <f aca="false">IF(J161=TRUE(),A161&amp;" - "&amp;B161,"")</f>
        <v>641 - Pagat dhe shpërblimet e personelit</v>
      </c>
      <c r="L161" s="64" t="s">
        <v>139</v>
      </c>
    </row>
    <row r="162" customFormat="false" ht="14.25" hidden="false" customHeight="true" outlineLevel="0" collapsed="false">
      <c r="A162" s="63" t="s">
        <v>558</v>
      </c>
      <c r="B162" s="64" t="s">
        <v>559</v>
      </c>
      <c r="C162" s="64" t="n">
        <v>3</v>
      </c>
      <c r="D162" s="64" t="s">
        <v>72</v>
      </c>
      <c r="E162" s="64" t="s">
        <v>481</v>
      </c>
      <c r="F162" s="64" t="s">
        <v>557</v>
      </c>
      <c r="G162" s="64" t="s">
        <v>487</v>
      </c>
      <c r="H162" s="64" t="s">
        <v>139</v>
      </c>
      <c r="I162" s="64" t="s">
        <v>212</v>
      </c>
      <c r="J162" s="65" t="b">
        <f aca="false">TRUE()</f>
        <v>1</v>
      </c>
      <c r="K162" s="66" t="str">
        <f aca="false">IF(J162=TRUE(),A162&amp;" - "&amp;B162,"")</f>
        <v>644 - Sigurimet shoqërore dhe shëndetësore</v>
      </c>
      <c r="L162" s="64" t="s">
        <v>139</v>
      </c>
    </row>
    <row r="163" customFormat="false" ht="14.25" hidden="false" customHeight="true" outlineLevel="0" collapsed="false">
      <c r="A163" s="63" t="s">
        <v>560</v>
      </c>
      <c r="B163" s="64" t="s">
        <v>561</v>
      </c>
      <c r="C163" s="64" t="n">
        <v>3</v>
      </c>
      <c r="D163" s="64" t="s">
        <v>72</v>
      </c>
      <c r="E163" s="64" t="s">
        <v>481</v>
      </c>
      <c r="F163" s="64" t="s">
        <v>557</v>
      </c>
      <c r="G163" s="64" t="s">
        <v>487</v>
      </c>
      <c r="H163" s="64" t="s">
        <v>139</v>
      </c>
      <c r="I163" s="64" t="s">
        <v>212</v>
      </c>
      <c r="J163" s="65" t="b">
        <f aca="false">TRUE()</f>
        <v>1</v>
      </c>
      <c r="K163" s="66" t="str">
        <f aca="false">IF(J163=TRUE(),A163&amp;" - "&amp;B163,"")</f>
        <v>645 - Kontributet dhe kuota të tjera për personelin</v>
      </c>
      <c r="L163" s="64" t="s">
        <v>139</v>
      </c>
    </row>
    <row r="164" customFormat="false" ht="14.25" hidden="false" customHeight="true" outlineLevel="0" collapsed="false">
      <c r="A164" s="63" t="s">
        <v>562</v>
      </c>
      <c r="B164" s="64" t="s">
        <v>563</v>
      </c>
      <c r="C164" s="64" t="n">
        <v>3</v>
      </c>
      <c r="D164" s="64" t="s">
        <v>72</v>
      </c>
      <c r="E164" s="64" t="s">
        <v>481</v>
      </c>
      <c r="F164" s="64" t="s">
        <v>557</v>
      </c>
      <c r="G164" s="64" t="s">
        <v>487</v>
      </c>
      <c r="H164" s="64" t="s">
        <v>139</v>
      </c>
      <c r="I164" s="64" t="s">
        <v>212</v>
      </c>
      <c r="J164" s="65" t="b">
        <f aca="false">TRUE()</f>
        <v>1</v>
      </c>
      <c r="K164" s="66" t="str">
        <f aca="false">IF(J164=TRUE(),A164&amp;" - "&amp;B164,"")</f>
        <v>648 - Shpenzime të tjera për personelin</v>
      </c>
      <c r="L164" s="64" t="s">
        <v>139</v>
      </c>
    </row>
    <row r="165" customFormat="false" ht="14.25" hidden="false" customHeight="true" outlineLevel="0" collapsed="false">
      <c r="A165" s="63" t="s">
        <v>564</v>
      </c>
      <c r="B165" s="64" t="s">
        <v>565</v>
      </c>
      <c r="C165" s="64" t="n">
        <v>2</v>
      </c>
      <c r="D165" s="64" t="s">
        <v>72</v>
      </c>
      <c r="E165" s="64" t="s">
        <v>481</v>
      </c>
      <c r="F165" s="64" t="s">
        <v>481</v>
      </c>
      <c r="G165" s="64" t="s">
        <v>198</v>
      </c>
      <c r="H165" s="64" t="s">
        <v>199</v>
      </c>
      <c r="I165" s="64"/>
      <c r="J165" s="65" t="b">
        <f aca="false">FALSE()</f>
        <v>0</v>
      </c>
      <c r="K165" s="66" t="str">
        <f aca="false">IF(J165=TRUE(),A165&amp;" - "&amp;B165,"")</f>
        <v/>
      </c>
      <c r="L165" s="64"/>
    </row>
    <row r="166" customFormat="false" ht="14.25" hidden="false" customHeight="true" outlineLevel="0" collapsed="false">
      <c r="A166" s="63" t="s">
        <v>566</v>
      </c>
      <c r="B166" s="64" t="s">
        <v>567</v>
      </c>
      <c r="C166" s="64" t="n">
        <v>3</v>
      </c>
      <c r="D166" s="64" t="s">
        <v>72</v>
      </c>
      <c r="E166" s="64" t="s">
        <v>481</v>
      </c>
      <c r="F166" s="64" t="s">
        <v>565</v>
      </c>
      <c r="G166" s="64" t="s">
        <v>487</v>
      </c>
      <c r="H166" s="64" t="s">
        <v>139</v>
      </c>
      <c r="I166" s="64" t="s">
        <v>212</v>
      </c>
      <c r="J166" s="65" t="b">
        <f aca="false">TRUE()</f>
        <v>1</v>
      </c>
      <c r="K166" s="66" t="str">
        <f aca="false">IF(J166=TRUE(),A166&amp;" - "&amp;B166,"")</f>
        <v>652 - Vlera kontabël e AAGJ të shitura</v>
      </c>
      <c r="L166" s="64" t="s">
        <v>139</v>
      </c>
    </row>
    <row r="167" customFormat="false" ht="14.25" hidden="false" customHeight="true" outlineLevel="0" collapsed="false">
      <c r="A167" s="63" t="s">
        <v>568</v>
      </c>
      <c r="B167" s="64" t="s">
        <v>569</v>
      </c>
      <c r="C167" s="64" t="n">
        <v>3</v>
      </c>
      <c r="D167" s="64" t="s">
        <v>72</v>
      </c>
      <c r="E167" s="64" t="s">
        <v>481</v>
      </c>
      <c r="F167" s="64" t="s">
        <v>565</v>
      </c>
      <c r="G167" s="64" t="s">
        <v>487</v>
      </c>
      <c r="H167" s="64" t="s">
        <v>139</v>
      </c>
      <c r="I167" s="64" t="s">
        <v>212</v>
      </c>
      <c r="J167" s="65" t="b">
        <f aca="false">TRUE()</f>
        <v>1</v>
      </c>
      <c r="K167" s="66" t="str">
        <f aca="false">IF(J167=TRUE(),A167&amp;" - "&amp;B167,"")</f>
        <v>654 - Shpenzime për pritje dhe përfaqësime</v>
      </c>
      <c r="L167" s="64" t="s">
        <v>139</v>
      </c>
    </row>
    <row r="168" customFormat="false" ht="14.25" hidden="false" customHeight="true" outlineLevel="0" collapsed="false">
      <c r="A168" s="63" t="s">
        <v>570</v>
      </c>
      <c r="B168" s="64" t="s">
        <v>571</v>
      </c>
      <c r="C168" s="64" t="n">
        <v>3</v>
      </c>
      <c r="D168" s="64" t="s">
        <v>72</v>
      </c>
      <c r="E168" s="64" t="s">
        <v>481</v>
      </c>
      <c r="F168" s="64" t="s">
        <v>565</v>
      </c>
      <c r="G168" s="64" t="s">
        <v>487</v>
      </c>
      <c r="H168" s="64" t="s">
        <v>139</v>
      </c>
      <c r="I168" s="64" t="s">
        <v>212</v>
      </c>
      <c r="J168" s="65" t="b">
        <f aca="false">TRUE()</f>
        <v>1</v>
      </c>
      <c r="K168" s="66" t="str">
        <f aca="false">IF(J168=TRUE(),A168&amp;" - "&amp;B168,"")</f>
        <v>656 - Humbje nga mosarkëtimi i kërkesave/të drejtave</v>
      </c>
      <c r="L168" s="64" t="s">
        <v>139</v>
      </c>
    </row>
    <row r="169" customFormat="false" ht="14.25" hidden="false" customHeight="true" outlineLevel="0" collapsed="false">
      <c r="A169" s="63" t="s">
        <v>572</v>
      </c>
      <c r="B169" s="64" t="s">
        <v>573</v>
      </c>
      <c r="C169" s="64" t="n">
        <v>3</v>
      </c>
      <c r="D169" s="64" t="s">
        <v>72</v>
      </c>
      <c r="E169" s="64" t="s">
        <v>481</v>
      </c>
      <c r="F169" s="64" t="s">
        <v>565</v>
      </c>
      <c r="G169" s="64" t="s">
        <v>487</v>
      </c>
      <c r="H169" s="64" t="s">
        <v>139</v>
      </c>
      <c r="I169" s="64" t="s">
        <v>212</v>
      </c>
      <c r="J169" s="65" t="b">
        <f aca="false">TRUE()</f>
        <v>1</v>
      </c>
      <c r="K169" s="66" t="str">
        <f aca="false">IF(J169=TRUE(),A169&amp;" - "&amp;B169,"")</f>
        <v>657 - Gjoba dhe dëmshpërblime</v>
      </c>
      <c r="L169" s="64" t="s">
        <v>139</v>
      </c>
    </row>
    <row r="170" customFormat="false" ht="14.25" hidden="false" customHeight="true" outlineLevel="0" collapsed="false">
      <c r="A170" s="63" t="s">
        <v>574</v>
      </c>
      <c r="B170" s="64" t="s">
        <v>565</v>
      </c>
      <c r="C170" s="64" t="n">
        <v>3</v>
      </c>
      <c r="D170" s="64" t="s">
        <v>72</v>
      </c>
      <c r="E170" s="64" t="s">
        <v>481</v>
      </c>
      <c r="F170" s="64" t="s">
        <v>565</v>
      </c>
      <c r="G170" s="64" t="s">
        <v>487</v>
      </c>
      <c r="H170" s="64" t="s">
        <v>139</v>
      </c>
      <c r="I170" s="64" t="s">
        <v>212</v>
      </c>
      <c r="J170" s="65" t="b">
        <f aca="false">TRUE()</f>
        <v>1</v>
      </c>
      <c r="K170" s="66" t="str">
        <f aca="false">IF(J170=TRUE(),A170&amp;" - "&amp;B170,"")</f>
        <v>658 - Shpenzime të tjera</v>
      </c>
      <c r="L170" s="64" t="s">
        <v>139</v>
      </c>
    </row>
    <row r="171" customFormat="false" ht="14.25" hidden="false" customHeight="true" outlineLevel="0" collapsed="false">
      <c r="A171" s="63" t="s">
        <v>575</v>
      </c>
      <c r="B171" s="64" t="s">
        <v>576</v>
      </c>
      <c r="C171" s="64" t="n">
        <v>2</v>
      </c>
      <c r="D171" s="64" t="s">
        <v>72</v>
      </c>
      <c r="E171" s="64" t="s">
        <v>481</v>
      </c>
      <c r="F171" s="64" t="s">
        <v>481</v>
      </c>
      <c r="G171" s="64" t="s">
        <v>198</v>
      </c>
      <c r="H171" s="64" t="s">
        <v>199</v>
      </c>
      <c r="I171" s="64"/>
      <c r="J171" s="65" t="b">
        <f aca="false">FALSE()</f>
        <v>0</v>
      </c>
      <c r="K171" s="66" t="str">
        <f aca="false">IF(J171=TRUE(),A171&amp;" - "&amp;B171,"")</f>
        <v/>
      </c>
      <c r="L171" s="64"/>
    </row>
    <row r="172" customFormat="false" ht="14.25" hidden="false" customHeight="true" outlineLevel="0" collapsed="false">
      <c r="A172" s="63" t="s">
        <v>577</v>
      </c>
      <c r="B172" s="64" t="s">
        <v>578</v>
      </c>
      <c r="C172" s="64" t="n">
        <v>3</v>
      </c>
      <c r="D172" s="64" t="s">
        <v>72</v>
      </c>
      <c r="E172" s="64" t="s">
        <v>481</v>
      </c>
      <c r="F172" s="64" t="s">
        <v>576</v>
      </c>
      <c r="G172" s="64" t="s">
        <v>487</v>
      </c>
      <c r="H172" s="64" t="s">
        <v>139</v>
      </c>
      <c r="I172" s="64" t="s">
        <v>212</v>
      </c>
      <c r="J172" s="65" t="b">
        <f aca="false">TRUE()</f>
        <v>1</v>
      </c>
      <c r="K172" s="66" t="str">
        <f aca="false">IF(J172=TRUE(),A172&amp;" - "&amp;B172,"")</f>
        <v>661 - Shpenzime financiare nga shoqëritë e kontrolluara</v>
      </c>
      <c r="L172" s="64" t="s">
        <v>139</v>
      </c>
    </row>
    <row r="173" customFormat="false" ht="14.25" hidden="false" customHeight="true" outlineLevel="0" collapsed="false">
      <c r="A173" s="63" t="s">
        <v>579</v>
      </c>
      <c r="B173" s="64" t="s">
        <v>580</v>
      </c>
      <c r="C173" s="64" t="n">
        <v>3</v>
      </c>
      <c r="D173" s="64" t="s">
        <v>72</v>
      </c>
      <c r="E173" s="64" t="s">
        <v>481</v>
      </c>
      <c r="F173" s="64" t="s">
        <v>576</v>
      </c>
      <c r="G173" s="64" t="s">
        <v>487</v>
      </c>
      <c r="H173" s="64" t="s">
        <v>139</v>
      </c>
      <c r="I173" s="64" t="s">
        <v>212</v>
      </c>
      <c r="J173" s="65" t="b">
        <f aca="false">TRUE()</f>
        <v>1</v>
      </c>
      <c r="K173" s="66" t="str">
        <f aca="false">IF(J173=TRUE(),A173&amp;" - "&amp;B173,"")</f>
        <v>662 - Shpenzime financiare nga shoqëritë e lidhura</v>
      </c>
      <c r="L173" s="64" t="s">
        <v>139</v>
      </c>
    </row>
    <row r="174" customFormat="false" ht="14.25" hidden="false" customHeight="true" outlineLevel="0" collapsed="false">
      <c r="A174" s="63" t="s">
        <v>581</v>
      </c>
      <c r="B174" s="64" t="s">
        <v>582</v>
      </c>
      <c r="C174" s="64" t="n">
        <v>3</v>
      </c>
      <c r="D174" s="64" t="s">
        <v>72</v>
      </c>
      <c r="E174" s="64" t="s">
        <v>481</v>
      </c>
      <c r="F174" s="64" t="s">
        <v>576</v>
      </c>
      <c r="G174" s="64" t="s">
        <v>487</v>
      </c>
      <c r="H174" s="64" t="s">
        <v>139</v>
      </c>
      <c r="I174" s="64" t="s">
        <v>212</v>
      </c>
      <c r="J174" s="65" t="b">
        <f aca="false">TRUE()</f>
        <v>1</v>
      </c>
      <c r="K174" s="66" t="str">
        <f aca="false">IF(J174=TRUE(),A174&amp;" - "&amp;B174,"")</f>
        <v>667 - Shpenzime për interesa</v>
      </c>
      <c r="L174" s="64" t="s">
        <v>139</v>
      </c>
    </row>
    <row r="175" customFormat="false" ht="14.25" hidden="false" customHeight="true" outlineLevel="0" collapsed="false">
      <c r="A175" s="63" t="s">
        <v>583</v>
      </c>
      <c r="B175" s="64" t="s">
        <v>584</v>
      </c>
      <c r="C175" s="64" t="n">
        <v>3</v>
      </c>
      <c r="D175" s="64" t="s">
        <v>72</v>
      </c>
      <c r="E175" s="64" t="s">
        <v>481</v>
      </c>
      <c r="F175" s="64" t="s">
        <v>576</v>
      </c>
      <c r="G175" s="64" t="s">
        <v>487</v>
      </c>
      <c r="H175" s="64" t="s">
        <v>139</v>
      </c>
      <c r="I175" s="64" t="s">
        <v>212</v>
      </c>
      <c r="J175" s="65" t="b">
        <f aca="false">TRUE()</f>
        <v>1</v>
      </c>
      <c r="K175" s="66" t="str">
        <f aca="false">IF(J175=TRUE(),A175&amp;" - "&amp;B175,"")</f>
        <v>668 - Shpenzime financiare të tjera</v>
      </c>
      <c r="L175" s="64" t="s">
        <v>139</v>
      </c>
    </row>
    <row r="176" customFormat="false" ht="14.25" hidden="false" customHeight="true" outlineLevel="0" collapsed="false">
      <c r="A176" s="63" t="s">
        <v>585</v>
      </c>
      <c r="B176" s="64" t="s">
        <v>586</v>
      </c>
      <c r="C176" s="64" t="n">
        <v>3</v>
      </c>
      <c r="D176" s="64" t="s">
        <v>72</v>
      </c>
      <c r="E176" s="64" t="s">
        <v>481</v>
      </c>
      <c r="F176" s="64" t="s">
        <v>576</v>
      </c>
      <c r="G176" s="64" t="s">
        <v>487</v>
      </c>
      <c r="H176" s="64" t="s">
        <v>139</v>
      </c>
      <c r="I176" s="64" t="s">
        <v>212</v>
      </c>
      <c r="J176" s="65" t="b">
        <f aca="false">TRUE()</f>
        <v>1</v>
      </c>
      <c r="K176" s="66" t="str">
        <f aca="false">IF(J176=TRUE(),A176&amp;" - "&amp;B176,"")</f>
        <v>669 - Humbje nga këmbimet dhe përkthimet valutore</v>
      </c>
      <c r="L176" s="64" t="s">
        <v>139</v>
      </c>
    </row>
    <row r="177" customFormat="false" ht="14.25" hidden="false" customHeight="true" outlineLevel="0" collapsed="false">
      <c r="A177" s="63" t="s">
        <v>587</v>
      </c>
      <c r="B177" s="64" t="s">
        <v>588</v>
      </c>
      <c r="C177" s="64" t="n">
        <v>2</v>
      </c>
      <c r="D177" s="64" t="s">
        <v>72</v>
      </c>
      <c r="E177" s="64" t="s">
        <v>481</v>
      </c>
      <c r="F177" s="64" t="s">
        <v>481</v>
      </c>
      <c r="G177" s="64" t="s">
        <v>198</v>
      </c>
      <c r="H177" s="64" t="s">
        <v>199</v>
      </c>
      <c r="I177" s="64"/>
      <c r="J177" s="65" t="b">
        <f aca="false">FALSE()</f>
        <v>0</v>
      </c>
      <c r="K177" s="66" t="str">
        <f aca="false">IF(J177=TRUE(),A177&amp;" - "&amp;B177,"")</f>
        <v/>
      </c>
      <c r="L177" s="64"/>
    </row>
    <row r="178" customFormat="false" ht="14.25" hidden="false" customHeight="true" outlineLevel="0" collapsed="false">
      <c r="A178" s="63" t="s">
        <v>589</v>
      </c>
      <c r="B178" s="64" t="s">
        <v>590</v>
      </c>
      <c r="C178" s="64" t="n">
        <v>3</v>
      </c>
      <c r="D178" s="64" t="s">
        <v>72</v>
      </c>
      <c r="E178" s="64" t="s">
        <v>481</v>
      </c>
      <c r="F178" s="64" t="s">
        <v>591</v>
      </c>
      <c r="G178" s="64" t="s">
        <v>487</v>
      </c>
      <c r="H178" s="64" t="s">
        <v>139</v>
      </c>
      <c r="I178" s="64" t="s">
        <v>212</v>
      </c>
      <c r="J178" s="65" t="b">
        <f aca="false">TRUE()</f>
        <v>1</v>
      </c>
      <c r="K178" s="66" t="str">
        <f aca="false">IF(J178=TRUE(),A178&amp;" - "&amp;B178,"")</f>
        <v>672 - Vlera kontabël e aktiveve afatgjata të shitura</v>
      </c>
      <c r="L178" s="64" t="s">
        <v>139</v>
      </c>
    </row>
    <row r="179" customFormat="false" ht="14.25" hidden="false" customHeight="true" outlineLevel="0" collapsed="false">
      <c r="A179" s="63" t="s">
        <v>592</v>
      </c>
      <c r="B179" s="64" t="s">
        <v>593</v>
      </c>
      <c r="C179" s="64" t="n">
        <v>3</v>
      </c>
      <c r="D179" s="64" t="s">
        <v>72</v>
      </c>
      <c r="E179" s="64" t="s">
        <v>481</v>
      </c>
      <c r="F179" s="64" t="s">
        <v>591</v>
      </c>
      <c r="G179" s="64" t="s">
        <v>487</v>
      </c>
      <c r="H179" s="64" t="s">
        <v>139</v>
      </c>
      <c r="I179" s="64" t="s">
        <v>212</v>
      </c>
      <c r="J179" s="65" t="b">
        <f aca="false">TRUE()</f>
        <v>1</v>
      </c>
      <c r="K179" s="66" t="str">
        <f aca="false">IF(J179=TRUE(),A179&amp;" - "&amp;B179,"")</f>
        <v>677 - Humbje nga gabime të lejuara në ushtrimet</v>
      </c>
      <c r="L179" s="64" t="s">
        <v>139</v>
      </c>
    </row>
    <row r="180" customFormat="false" ht="14.25" hidden="false" customHeight="true" outlineLevel="0" collapsed="false">
      <c r="A180" s="63" t="s">
        <v>594</v>
      </c>
      <c r="B180" s="64" t="s">
        <v>595</v>
      </c>
      <c r="C180" s="64" t="n">
        <v>2</v>
      </c>
      <c r="D180" s="64" t="s">
        <v>72</v>
      </c>
      <c r="E180" s="64" t="s">
        <v>481</v>
      </c>
      <c r="F180" s="64" t="s">
        <v>481</v>
      </c>
      <c r="G180" s="64" t="s">
        <v>198</v>
      </c>
      <c r="H180" s="64" t="s">
        <v>199</v>
      </c>
      <c r="I180" s="64"/>
      <c r="J180" s="65" t="b">
        <f aca="false">FALSE()</f>
        <v>0</v>
      </c>
      <c r="K180" s="66" t="str">
        <f aca="false">IF(J180=TRUE(),A180&amp;" - "&amp;B180,"")</f>
        <v/>
      </c>
      <c r="L180" s="64"/>
    </row>
    <row r="181" customFormat="false" ht="14.25" hidden="false" customHeight="true" outlineLevel="0" collapsed="false">
      <c r="A181" s="63" t="s">
        <v>596</v>
      </c>
      <c r="B181" s="64" t="s">
        <v>597</v>
      </c>
      <c r="C181" s="64" t="n">
        <v>3</v>
      </c>
      <c r="D181" s="64" t="s">
        <v>72</v>
      </c>
      <c r="E181" s="64" t="s">
        <v>481</v>
      </c>
      <c r="F181" s="64" t="s">
        <v>598</v>
      </c>
      <c r="G181" s="64" t="s">
        <v>487</v>
      </c>
      <c r="H181" s="64" t="s">
        <v>139</v>
      </c>
      <c r="I181" s="64" t="s">
        <v>212</v>
      </c>
      <c r="J181" s="65" t="b">
        <f aca="false">TRUE()</f>
        <v>1</v>
      </c>
      <c r="K181" s="66" t="str">
        <f aca="false">IF(J181=TRUE(),A181&amp;" - "&amp;B181,"")</f>
        <v>681 - Amortizime të aktiveve afatgjata</v>
      </c>
      <c r="L181" s="64" t="s">
        <v>139</v>
      </c>
    </row>
    <row r="182" customFormat="false" ht="14.25" hidden="false" customHeight="true" outlineLevel="0" collapsed="false">
      <c r="A182" s="63" t="s">
        <v>599</v>
      </c>
      <c r="B182" s="64" t="s">
        <v>600</v>
      </c>
      <c r="C182" s="64" t="n">
        <v>4</v>
      </c>
      <c r="D182" s="64" t="s">
        <v>72</v>
      </c>
      <c r="E182" s="64" t="s">
        <v>481</v>
      </c>
      <c r="F182" s="64" t="s">
        <v>598</v>
      </c>
      <c r="G182" s="64" t="s">
        <v>487</v>
      </c>
      <c r="H182" s="64" t="s">
        <v>139</v>
      </c>
      <c r="I182" s="64" t="s">
        <v>212</v>
      </c>
      <c r="J182" s="65" t="b">
        <f aca="false">TRUE()</f>
        <v>1</v>
      </c>
      <c r="K182" s="66" t="str">
        <f aca="false">IF(J182=TRUE(),A182&amp;" - "&amp;B182,"")</f>
        <v>6812 - Shpenzime amortizimi për ndërtesat</v>
      </c>
      <c r="L182" s="64" t="s">
        <v>139</v>
      </c>
    </row>
    <row r="183" customFormat="false" ht="14.25" hidden="false" customHeight="true" outlineLevel="0" collapsed="false">
      <c r="A183" s="63" t="s">
        <v>601</v>
      </c>
      <c r="B183" s="64" t="s">
        <v>602</v>
      </c>
      <c r="C183" s="64" t="n">
        <v>4</v>
      </c>
      <c r="D183" s="64" t="s">
        <v>72</v>
      </c>
      <c r="E183" s="64" t="s">
        <v>481</v>
      </c>
      <c r="F183" s="64" t="s">
        <v>598</v>
      </c>
      <c r="G183" s="64" t="s">
        <v>487</v>
      </c>
      <c r="H183" s="64" t="s">
        <v>139</v>
      </c>
      <c r="I183" s="64" t="s">
        <v>212</v>
      </c>
      <c r="J183" s="65" t="b">
        <f aca="false">TRUE()</f>
        <v>1</v>
      </c>
      <c r="K183" s="66" t="str">
        <f aca="false">IF(J183=TRUE(),A183&amp;" - "&amp;B183,"")</f>
        <v>6813 - Shpenzime amortizimi për instalime/makineri/pajisje</v>
      </c>
      <c r="L183" s="64" t="s">
        <v>139</v>
      </c>
    </row>
    <row r="184" customFormat="false" ht="14.25" hidden="false" customHeight="true" outlineLevel="0" collapsed="false">
      <c r="A184" s="63" t="s">
        <v>603</v>
      </c>
      <c r="B184" s="64" t="s">
        <v>604</v>
      </c>
      <c r="C184" s="64" t="n">
        <v>4</v>
      </c>
      <c r="D184" s="64" t="s">
        <v>72</v>
      </c>
      <c r="E184" s="64" t="s">
        <v>481</v>
      </c>
      <c r="F184" s="64" t="s">
        <v>598</v>
      </c>
      <c r="G184" s="64" t="s">
        <v>487</v>
      </c>
      <c r="H184" s="64" t="s">
        <v>139</v>
      </c>
      <c r="I184" s="64" t="s">
        <v>212</v>
      </c>
      <c r="J184" s="65" t="b">
        <f aca="false">TRUE()</f>
        <v>1</v>
      </c>
      <c r="K184" s="66" t="str">
        <f aca="false">IF(J184=TRUE(),A184&amp;" - "&amp;B184,"")</f>
        <v>6815 - Shpenzime amortizimi për mjete transporti</v>
      </c>
      <c r="L184" s="64" t="s">
        <v>139</v>
      </c>
    </row>
    <row r="185" customFormat="false" ht="14.25" hidden="false" customHeight="true" outlineLevel="0" collapsed="false">
      <c r="A185" s="63" t="s">
        <v>605</v>
      </c>
      <c r="B185" s="64" t="s">
        <v>606</v>
      </c>
      <c r="C185" s="64" t="n">
        <v>3</v>
      </c>
      <c r="D185" s="64" t="s">
        <v>72</v>
      </c>
      <c r="E185" s="64" t="s">
        <v>481</v>
      </c>
      <c r="F185" s="64" t="s">
        <v>607</v>
      </c>
      <c r="G185" s="64" t="s">
        <v>487</v>
      </c>
      <c r="H185" s="64" t="s">
        <v>139</v>
      </c>
      <c r="I185" s="64" t="s">
        <v>212</v>
      </c>
      <c r="J185" s="65" t="b">
        <f aca="false">TRUE()</f>
        <v>1</v>
      </c>
      <c r="K185" s="66" t="str">
        <f aca="false">IF(J185=TRUE(),A185&amp;" - "&amp;B185,"")</f>
        <v>686 - Provizione për zhvlerësimin e aktiveve financiare</v>
      </c>
      <c r="L185" s="64" t="s">
        <v>139</v>
      </c>
    </row>
    <row r="186" customFormat="false" ht="14.25" hidden="false" customHeight="true" outlineLevel="0" collapsed="false">
      <c r="A186" s="63" t="s">
        <v>608</v>
      </c>
      <c r="B186" s="64" t="s">
        <v>609</v>
      </c>
      <c r="C186" s="64" t="n">
        <v>3</v>
      </c>
      <c r="D186" s="64" t="s">
        <v>72</v>
      </c>
      <c r="E186" s="64" t="s">
        <v>481</v>
      </c>
      <c r="F186" s="64" t="s">
        <v>607</v>
      </c>
      <c r="G186" s="64" t="s">
        <v>487</v>
      </c>
      <c r="H186" s="64" t="s">
        <v>139</v>
      </c>
      <c r="I186" s="64" t="s">
        <v>212</v>
      </c>
      <c r="J186" s="65" t="b">
        <f aca="false">TRUE()</f>
        <v>1</v>
      </c>
      <c r="K186" s="66" t="str">
        <f aca="false">IF(J186=TRUE(),A186&amp;" - "&amp;B186,"")</f>
        <v>687 - Shpenzime të tjera nga rivlerësimi</v>
      </c>
      <c r="L186" s="64" t="s">
        <v>139</v>
      </c>
    </row>
    <row r="187" customFormat="false" ht="14.25" hidden="false" customHeight="true" outlineLevel="0" collapsed="false">
      <c r="A187" s="63" t="s">
        <v>610</v>
      </c>
      <c r="B187" s="64" t="s">
        <v>611</v>
      </c>
      <c r="C187" s="64" t="n">
        <v>2</v>
      </c>
      <c r="D187" s="64" t="s">
        <v>72</v>
      </c>
      <c r="E187" s="64" t="s">
        <v>481</v>
      </c>
      <c r="F187" s="64" t="s">
        <v>481</v>
      </c>
      <c r="G187" s="64" t="s">
        <v>198</v>
      </c>
      <c r="H187" s="64" t="s">
        <v>199</v>
      </c>
      <c r="I187" s="64"/>
      <c r="J187" s="65" t="b">
        <f aca="false">FALSE()</f>
        <v>0</v>
      </c>
      <c r="K187" s="66" t="str">
        <f aca="false">IF(J187=TRUE(),A187&amp;" - "&amp;B187,"")</f>
        <v/>
      </c>
      <c r="L187" s="64"/>
    </row>
    <row r="188" customFormat="false" ht="14.25" hidden="false" customHeight="true" outlineLevel="0" collapsed="false">
      <c r="A188" s="63" t="s">
        <v>612</v>
      </c>
      <c r="B188" s="64" t="s">
        <v>611</v>
      </c>
      <c r="C188" s="64" t="n">
        <v>3</v>
      </c>
      <c r="D188" s="64" t="s">
        <v>72</v>
      </c>
      <c r="E188" s="64" t="s">
        <v>481</v>
      </c>
      <c r="F188" s="64" t="s">
        <v>613</v>
      </c>
      <c r="G188" s="64" t="s">
        <v>487</v>
      </c>
      <c r="H188" s="64" t="s">
        <v>139</v>
      </c>
      <c r="I188" s="64" t="s">
        <v>212</v>
      </c>
      <c r="J188" s="65" t="b">
        <f aca="false">TRUE()</f>
        <v>1</v>
      </c>
      <c r="K188" s="66" t="str">
        <f aca="false">IF(J188=TRUE(),A188&amp;" - "&amp;B188,"")</f>
        <v>694 - Tatime mbi fitimet</v>
      </c>
      <c r="L188" s="64" t="s">
        <v>139</v>
      </c>
    </row>
    <row r="189" customFormat="false" ht="14.25" hidden="false" customHeight="true" outlineLevel="0" collapsed="false">
      <c r="A189" s="63" t="s">
        <v>614</v>
      </c>
      <c r="B189" s="64" t="s">
        <v>615</v>
      </c>
      <c r="C189" s="64" t="n">
        <v>1</v>
      </c>
      <c r="D189" s="64" t="s">
        <v>614</v>
      </c>
      <c r="E189" s="64" t="s">
        <v>616</v>
      </c>
      <c r="F189" s="64" t="s">
        <v>616</v>
      </c>
      <c r="G189" s="64" t="s">
        <v>198</v>
      </c>
      <c r="H189" s="64" t="s">
        <v>199</v>
      </c>
      <c r="I189" s="64"/>
      <c r="J189" s="65" t="b">
        <f aca="false">FALSE()</f>
        <v>0</v>
      </c>
      <c r="K189" s="66" t="str">
        <f aca="false">IF(J189=TRUE(),A189&amp;" - "&amp;B189,"")</f>
        <v/>
      </c>
      <c r="L189" s="64"/>
    </row>
    <row r="190" customFormat="false" ht="14.25" hidden="false" customHeight="true" outlineLevel="0" collapsed="false">
      <c r="A190" s="63" t="s">
        <v>617</v>
      </c>
      <c r="B190" s="64" t="s">
        <v>618</v>
      </c>
      <c r="C190" s="64" t="n">
        <v>2</v>
      </c>
      <c r="D190" s="64" t="s">
        <v>614</v>
      </c>
      <c r="E190" s="64" t="s">
        <v>616</v>
      </c>
      <c r="F190" s="64" t="s">
        <v>616</v>
      </c>
      <c r="G190" s="64" t="s">
        <v>198</v>
      </c>
      <c r="H190" s="64" t="s">
        <v>199</v>
      </c>
      <c r="I190" s="64"/>
      <c r="J190" s="65" t="b">
        <f aca="false">FALSE()</f>
        <v>0</v>
      </c>
      <c r="K190" s="66" t="str">
        <f aca="false">IF(J190=TRUE(),A190&amp;" - "&amp;B190,"")</f>
        <v/>
      </c>
      <c r="L190" s="64"/>
    </row>
    <row r="191" customFormat="false" ht="14.25" hidden="false" customHeight="true" outlineLevel="0" collapsed="false">
      <c r="A191" s="63" t="s">
        <v>619</v>
      </c>
      <c r="B191" s="64" t="s">
        <v>620</v>
      </c>
      <c r="C191" s="64" t="n">
        <v>3</v>
      </c>
      <c r="D191" s="64" t="s">
        <v>614</v>
      </c>
      <c r="E191" s="64" t="s">
        <v>616</v>
      </c>
      <c r="F191" s="64" t="s">
        <v>621</v>
      </c>
      <c r="G191" s="64" t="s">
        <v>616</v>
      </c>
      <c r="H191" s="64" t="s">
        <v>139</v>
      </c>
      <c r="I191" s="64" t="s">
        <v>207</v>
      </c>
      <c r="J191" s="65" t="b">
        <f aca="false">TRUE()</f>
        <v>1</v>
      </c>
      <c r="K191" s="66" t="str">
        <f aca="false">IF(J191=TRUE(),A191&amp;" - "&amp;B191,"")</f>
        <v>701 - Shitje e produkteve të gatshme</v>
      </c>
      <c r="L191" s="64" t="s">
        <v>139</v>
      </c>
    </row>
    <row r="192" customFormat="false" ht="14.25" hidden="false" customHeight="true" outlineLevel="0" collapsed="false">
      <c r="A192" s="63" t="s">
        <v>622</v>
      </c>
      <c r="B192" s="64" t="s">
        <v>623</v>
      </c>
      <c r="C192" s="64" t="n">
        <v>3</v>
      </c>
      <c r="D192" s="64" t="s">
        <v>614</v>
      </c>
      <c r="E192" s="64" t="s">
        <v>616</v>
      </c>
      <c r="F192" s="64" t="s">
        <v>621</v>
      </c>
      <c r="G192" s="64" t="s">
        <v>616</v>
      </c>
      <c r="H192" s="64" t="s">
        <v>139</v>
      </c>
      <c r="I192" s="64" t="s">
        <v>207</v>
      </c>
      <c r="J192" s="65" t="b">
        <f aca="false">TRUE()</f>
        <v>1</v>
      </c>
      <c r="K192" s="66" t="str">
        <f aca="false">IF(J192=TRUE(),A192&amp;" - "&amp;B192,"")</f>
        <v>702 - Shitje e produkteve të ndërmjetme</v>
      </c>
      <c r="L192" s="64" t="s">
        <v>139</v>
      </c>
    </row>
    <row r="193" customFormat="false" ht="14.25" hidden="false" customHeight="true" outlineLevel="0" collapsed="false">
      <c r="A193" s="63" t="s">
        <v>624</v>
      </c>
      <c r="B193" s="64" t="s">
        <v>625</v>
      </c>
      <c r="C193" s="64" t="n">
        <v>3</v>
      </c>
      <c r="D193" s="64" t="s">
        <v>614</v>
      </c>
      <c r="E193" s="64" t="s">
        <v>616</v>
      </c>
      <c r="F193" s="64" t="s">
        <v>621</v>
      </c>
      <c r="G193" s="64" t="s">
        <v>616</v>
      </c>
      <c r="H193" s="64" t="s">
        <v>139</v>
      </c>
      <c r="I193" s="64" t="s">
        <v>207</v>
      </c>
      <c r="J193" s="65" t="b">
        <f aca="false">TRUE()</f>
        <v>1</v>
      </c>
      <c r="K193" s="66" t="str">
        <f aca="false">IF(J193=TRUE(),A193&amp;" - "&amp;B193,"")</f>
        <v>703 - Shitje e nënprodukteve</v>
      </c>
      <c r="L193" s="64" t="s">
        <v>139</v>
      </c>
    </row>
    <row r="194" customFormat="false" ht="14.25" hidden="false" customHeight="true" outlineLevel="0" collapsed="false">
      <c r="A194" s="63" t="s">
        <v>626</v>
      </c>
      <c r="B194" s="64" t="s">
        <v>627</v>
      </c>
      <c r="C194" s="64" t="n">
        <v>3</v>
      </c>
      <c r="D194" s="64" t="s">
        <v>614</v>
      </c>
      <c r="E194" s="64" t="s">
        <v>616</v>
      </c>
      <c r="F194" s="64" t="s">
        <v>621</v>
      </c>
      <c r="G194" s="64" t="s">
        <v>616</v>
      </c>
      <c r="H194" s="64" t="s">
        <v>139</v>
      </c>
      <c r="I194" s="64" t="s">
        <v>207</v>
      </c>
      <c r="J194" s="65" t="b">
        <f aca="false">TRUE()</f>
        <v>1</v>
      </c>
      <c r="K194" s="66" t="str">
        <f aca="false">IF(J194=TRUE(),A194&amp;" - "&amp;B194,"")</f>
        <v>704 - Shitje punime dhe shërbime</v>
      </c>
      <c r="L194" s="64" t="s">
        <v>139</v>
      </c>
    </row>
    <row r="195" customFormat="false" ht="14.25" hidden="false" customHeight="true" outlineLevel="0" collapsed="false">
      <c r="A195" s="63" t="s">
        <v>628</v>
      </c>
      <c r="B195" s="64" t="s">
        <v>629</v>
      </c>
      <c r="C195" s="64" t="n">
        <v>3</v>
      </c>
      <c r="D195" s="64" t="s">
        <v>614</v>
      </c>
      <c r="E195" s="64" t="s">
        <v>616</v>
      </c>
      <c r="F195" s="64" t="s">
        <v>621</v>
      </c>
      <c r="G195" s="64" t="s">
        <v>616</v>
      </c>
      <c r="H195" s="64" t="s">
        <v>139</v>
      </c>
      <c r="I195" s="64" t="s">
        <v>207</v>
      </c>
      <c r="J195" s="65" t="b">
        <f aca="false">TRUE()</f>
        <v>1</v>
      </c>
      <c r="K195" s="66" t="str">
        <f aca="false">IF(J195=TRUE(),A195&amp;" - "&amp;B195,"")</f>
        <v>705 - Shitje mallrash</v>
      </c>
      <c r="L195" s="64" t="s">
        <v>139</v>
      </c>
    </row>
    <row r="196" customFormat="false" ht="14.25" hidden="false" customHeight="true" outlineLevel="0" collapsed="false">
      <c r="A196" s="63" t="s">
        <v>630</v>
      </c>
      <c r="B196" s="64" t="s">
        <v>631</v>
      </c>
      <c r="C196" s="64" t="n">
        <v>3</v>
      </c>
      <c r="D196" s="64" t="s">
        <v>614</v>
      </c>
      <c r="E196" s="64" t="s">
        <v>616</v>
      </c>
      <c r="F196" s="64" t="s">
        <v>632</v>
      </c>
      <c r="G196" s="64" t="s">
        <v>616</v>
      </c>
      <c r="H196" s="64" t="s">
        <v>139</v>
      </c>
      <c r="I196" s="64" t="s">
        <v>207</v>
      </c>
      <c r="J196" s="65" t="b">
        <f aca="false">TRUE()</f>
        <v>1</v>
      </c>
      <c r="K196" s="66" t="str">
        <f aca="false">IF(J196=TRUE(),A196&amp;" - "&amp;B196,"")</f>
        <v>706 - Të ardhura nga komisionet bankare</v>
      </c>
      <c r="L196" s="64" t="s">
        <v>139</v>
      </c>
    </row>
    <row r="197" customFormat="false" ht="14.25" hidden="false" customHeight="true" outlineLevel="0" collapsed="false">
      <c r="A197" s="63" t="s">
        <v>633</v>
      </c>
      <c r="B197" s="64" t="s">
        <v>634</v>
      </c>
      <c r="C197" s="64" t="n">
        <v>3</v>
      </c>
      <c r="D197" s="64" t="s">
        <v>614</v>
      </c>
      <c r="E197" s="64" t="s">
        <v>616</v>
      </c>
      <c r="F197" s="64" t="s">
        <v>632</v>
      </c>
      <c r="G197" s="64" t="s">
        <v>616</v>
      </c>
      <c r="H197" s="64" t="s">
        <v>139</v>
      </c>
      <c r="I197" s="64" t="s">
        <v>207</v>
      </c>
      <c r="J197" s="65" t="b">
        <f aca="false">TRUE()</f>
        <v>1</v>
      </c>
      <c r="K197" s="66" t="str">
        <f aca="false">IF(J197=TRUE(),A197&amp;" - "&amp;B197,"")</f>
        <v>707 - Shitje materiale dhe furnitura</v>
      </c>
      <c r="L197" s="64" t="s">
        <v>139</v>
      </c>
    </row>
    <row r="198" customFormat="false" ht="14.25" hidden="false" customHeight="true" outlineLevel="0" collapsed="false">
      <c r="A198" s="63" t="s">
        <v>635</v>
      </c>
      <c r="B198" s="64" t="s">
        <v>636</v>
      </c>
      <c r="C198" s="64" t="n">
        <v>3</v>
      </c>
      <c r="D198" s="64" t="s">
        <v>614</v>
      </c>
      <c r="E198" s="64" t="s">
        <v>616</v>
      </c>
      <c r="F198" s="64" t="s">
        <v>632</v>
      </c>
      <c r="G198" s="64" t="s">
        <v>616</v>
      </c>
      <c r="H198" s="64" t="s">
        <v>139</v>
      </c>
      <c r="I198" s="64" t="s">
        <v>207</v>
      </c>
      <c r="J198" s="65" t="b">
        <f aca="false">TRUE()</f>
        <v>1</v>
      </c>
      <c r="K198" s="66" t="str">
        <f aca="false">IF(J198=TRUE(),A198&amp;" - "&amp;B198,"")</f>
        <v>708 - Të ardhura nga shitje të tjera</v>
      </c>
      <c r="L198" s="64" t="s">
        <v>139</v>
      </c>
    </row>
    <row r="199" customFormat="false" ht="23.25" hidden="false" customHeight="true" outlineLevel="0" collapsed="false">
      <c r="A199" s="63" t="s">
        <v>637</v>
      </c>
      <c r="B199" s="64" t="s">
        <v>638</v>
      </c>
      <c r="C199" s="64" t="n">
        <v>2</v>
      </c>
      <c r="D199" s="64" t="s">
        <v>614</v>
      </c>
      <c r="E199" s="64" t="s">
        <v>616</v>
      </c>
      <c r="F199" s="64" t="s">
        <v>616</v>
      </c>
      <c r="G199" s="64" t="s">
        <v>198</v>
      </c>
      <c r="H199" s="64" t="s">
        <v>199</v>
      </c>
      <c r="I199" s="64"/>
      <c r="J199" s="65" t="b">
        <f aca="false">FALSE()</f>
        <v>0</v>
      </c>
      <c r="K199" s="66" t="str">
        <f aca="false">IF(J199=TRUE(),A199&amp;" - "&amp;B199,"")</f>
        <v/>
      </c>
      <c r="L199" s="64"/>
    </row>
    <row r="200" customFormat="false" ht="14.25" hidden="false" customHeight="true" outlineLevel="0" collapsed="false">
      <c r="A200" s="63" t="s">
        <v>639</v>
      </c>
      <c r="B200" s="64" t="s">
        <v>640</v>
      </c>
      <c r="C200" s="64" t="n">
        <v>3</v>
      </c>
      <c r="D200" s="64" t="s">
        <v>614</v>
      </c>
      <c r="E200" s="64" t="s">
        <v>616</v>
      </c>
      <c r="F200" s="64" t="s">
        <v>641</v>
      </c>
      <c r="G200" s="64" t="s">
        <v>642</v>
      </c>
      <c r="H200" s="64" t="s">
        <v>139</v>
      </c>
      <c r="I200" s="64" t="s">
        <v>643</v>
      </c>
      <c r="J200" s="65" t="b">
        <f aca="false">TRUE()</f>
        <v>1</v>
      </c>
      <c r="K200" s="66" t="str">
        <f aca="false">IF(J200=TRUE(),A200&amp;" - "&amp;B200,"")</f>
        <v>713 - Ndryshim gjendje prodhim në proces</v>
      </c>
      <c r="L200" s="64" t="s">
        <v>139</v>
      </c>
    </row>
    <row r="201" customFormat="false" ht="14.25" hidden="false" customHeight="true" outlineLevel="0" collapsed="false">
      <c r="A201" s="63" t="s">
        <v>644</v>
      </c>
      <c r="B201" s="64" t="s">
        <v>645</v>
      </c>
      <c r="C201" s="64" t="n">
        <v>3</v>
      </c>
      <c r="D201" s="64" t="s">
        <v>614</v>
      </c>
      <c r="E201" s="64" t="s">
        <v>616</v>
      </c>
      <c r="F201" s="64" t="s">
        <v>641</v>
      </c>
      <c r="G201" s="64" t="s">
        <v>642</v>
      </c>
      <c r="H201" s="64" t="s">
        <v>139</v>
      </c>
      <c r="I201" s="64" t="s">
        <v>643</v>
      </c>
      <c r="J201" s="65" t="b">
        <f aca="false">TRUE()</f>
        <v>1</v>
      </c>
      <c r="K201" s="66" t="str">
        <f aca="false">IF(J201=TRUE(),A201&amp;" - "&amp;B201,"")</f>
        <v>714 - Ndryshim gjendje produkti</v>
      </c>
      <c r="L201" s="64" t="s">
        <v>139</v>
      </c>
    </row>
    <row r="202" customFormat="false" ht="14.25" hidden="false" customHeight="true" outlineLevel="0" collapsed="false">
      <c r="A202" s="63" t="s">
        <v>646</v>
      </c>
      <c r="B202" s="64" t="s">
        <v>647</v>
      </c>
      <c r="C202" s="64" t="n">
        <v>2</v>
      </c>
      <c r="D202" s="64" t="s">
        <v>614</v>
      </c>
      <c r="E202" s="64" t="s">
        <v>616</v>
      </c>
      <c r="F202" s="64" t="s">
        <v>616</v>
      </c>
      <c r="G202" s="64" t="s">
        <v>198</v>
      </c>
      <c r="H202" s="64" t="s">
        <v>199</v>
      </c>
      <c r="I202" s="64"/>
      <c r="J202" s="65" t="b">
        <f aca="false">FALSE()</f>
        <v>0</v>
      </c>
      <c r="K202" s="66" t="str">
        <f aca="false">IF(J202=TRUE(),A202&amp;" - "&amp;B202,"")</f>
        <v/>
      </c>
      <c r="L202" s="64"/>
    </row>
    <row r="203" customFormat="false" ht="14.25" hidden="false" customHeight="true" outlineLevel="0" collapsed="false">
      <c r="A203" s="63" t="s">
        <v>648</v>
      </c>
      <c r="B203" s="64" t="s">
        <v>649</v>
      </c>
      <c r="C203" s="64" t="n">
        <v>3</v>
      </c>
      <c r="D203" s="64" t="s">
        <v>614</v>
      </c>
      <c r="E203" s="64" t="s">
        <v>616</v>
      </c>
      <c r="F203" s="64" t="s">
        <v>650</v>
      </c>
      <c r="G203" s="64" t="s">
        <v>616</v>
      </c>
      <c r="H203" s="64" t="s">
        <v>139</v>
      </c>
      <c r="I203" s="64" t="s">
        <v>207</v>
      </c>
      <c r="J203" s="65" t="b">
        <f aca="false">TRUE()</f>
        <v>1</v>
      </c>
      <c r="K203" s="66" t="str">
        <f aca="false">IF(J203=TRUE(),A203&amp;" - "&amp;B203,"")</f>
        <v>721 - Prodhimi i AA jomateriale</v>
      </c>
      <c r="L203" s="64" t="s">
        <v>139</v>
      </c>
    </row>
    <row r="204" customFormat="false" ht="14.25" hidden="false" customHeight="true" outlineLevel="0" collapsed="false">
      <c r="A204" s="63" t="s">
        <v>651</v>
      </c>
      <c r="B204" s="64" t="s">
        <v>652</v>
      </c>
      <c r="C204" s="64" t="n">
        <v>3</v>
      </c>
      <c r="D204" s="64" t="s">
        <v>614</v>
      </c>
      <c r="E204" s="64" t="s">
        <v>616</v>
      </c>
      <c r="F204" s="64" t="s">
        <v>650</v>
      </c>
      <c r="G204" s="64" t="s">
        <v>616</v>
      </c>
      <c r="H204" s="64" t="s">
        <v>139</v>
      </c>
      <c r="I204" s="64" t="s">
        <v>207</v>
      </c>
      <c r="J204" s="65" t="b">
        <f aca="false">TRUE()</f>
        <v>1</v>
      </c>
      <c r="K204" s="66" t="str">
        <f aca="false">IF(J204=TRUE(),A204&amp;" - "&amp;B204,"")</f>
        <v>722 - Prodhimi i AA materiale</v>
      </c>
      <c r="L204" s="64" t="s">
        <v>139</v>
      </c>
    </row>
    <row r="205" customFormat="false" ht="14.25" hidden="false" customHeight="true" outlineLevel="0" collapsed="false">
      <c r="A205" s="63" t="s">
        <v>653</v>
      </c>
      <c r="B205" s="64" t="s">
        <v>654</v>
      </c>
      <c r="C205" s="64" t="n">
        <v>2</v>
      </c>
      <c r="D205" s="64" t="s">
        <v>614</v>
      </c>
      <c r="E205" s="64" t="s">
        <v>616</v>
      </c>
      <c r="F205" s="64" t="s">
        <v>616</v>
      </c>
      <c r="G205" s="64" t="s">
        <v>198</v>
      </c>
      <c r="H205" s="64" t="s">
        <v>199</v>
      </c>
      <c r="I205" s="64"/>
      <c r="J205" s="65" t="b">
        <f aca="false">FALSE()</f>
        <v>0</v>
      </c>
      <c r="K205" s="66" t="str">
        <f aca="false">IF(J205=TRUE(),A205&amp;" - "&amp;B205,"")</f>
        <v/>
      </c>
      <c r="L205" s="64"/>
    </row>
    <row r="206" customFormat="false" ht="14.25" hidden="false" customHeight="true" outlineLevel="0" collapsed="false">
      <c r="A206" s="63" t="s">
        <v>655</v>
      </c>
      <c r="B206" s="64" t="s">
        <v>654</v>
      </c>
      <c r="C206" s="64" t="n">
        <v>3</v>
      </c>
      <c r="D206" s="64" t="s">
        <v>614</v>
      </c>
      <c r="E206" s="64" t="s">
        <v>616</v>
      </c>
      <c r="F206" s="64" t="s">
        <v>656</v>
      </c>
      <c r="G206" s="64" t="s">
        <v>616</v>
      </c>
      <c r="H206" s="64" t="s">
        <v>139</v>
      </c>
      <c r="I206" s="64" t="s">
        <v>207</v>
      </c>
      <c r="J206" s="65" t="b">
        <f aca="false">TRUE()</f>
        <v>1</v>
      </c>
      <c r="K206" s="66" t="str">
        <f aca="false">IF(J206=TRUE(),A206&amp;" - "&amp;B206,"")</f>
        <v>731 - Të ardhura nga grantet</v>
      </c>
      <c r="L206" s="64" t="s">
        <v>139</v>
      </c>
    </row>
    <row r="207" customFormat="false" ht="14.25" hidden="false" customHeight="true" outlineLevel="0" collapsed="false">
      <c r="A207" s="63" t="s">
        <v>657</v>
      </c>
      <c r="B207" s="64" t="s">
        <v>658</v>
      </c>
      <c r="C207" s="64" t="n">
        <v>2</v>
      </c>
      <c r="D207" s="64" t="s">
        <v>614</v>
      </c>
      <c r="E207" s="64" t="s">
        <v>616</v>
      </c>
      <c r="F207" s="64" t="s">
        <v>616</v>
      </c>
      <c r="G207" s="64" t="s">
        <v>198</v>
      </c>
      <c r="H207" s="64" t="s">
        <v>199</v>
      </c>
      <c r="I207" s="64"/>
      <c r="J207" s="65" t="b">
        <f aca="false">FALSE()</f>
        <v>0</v>
      </c>
      <c r="K207" s="66" t="str">
        <f aca="false">IF(J207=TRUE(),A207&amp;" - "&amp;B207,"")</f>
        <v/>
      </c>
      <c r="L207" s="64"/>
    </row>
    <row r="208" customFormat="false" ht="14.25" hidden="false" customHeight="true" outlineLevel="0" collapsed="false">
      <c r="A208" s="63" t="s">
        <v>659</v>
      </c>
      <c r="B208" s="64" t="s">
        <v>660</v>
      </c>
      <c r="C208" s="64" t="n">
        <v>3</v>
      </c>
      <c r="D208" s="64" t="s">
        <v>614</v>
      </c>
      <c r="E208" s="64" t="s">
        <v>616</v>
      </c>
      <c r="F208" s="64" t="s">
        <v>661</v>
      </c>
      <c r="G208" s="64" t="s">
        <v>616</v>
      </c>
      <c r="H208" s="64" t="s">
        <v>139</v>
      </c>
      <c r="I208" s="64" t="s">
        <v>207</v>
      </c>
      <c r="J208" s="65" t="b">
        <f aca="false">TRUE()</f>
        <v>1</v>
      </c>
      <c r="K208" s="66" t="str">
        <f aca="false">IF(J208=TRUE(),A208&amp;" - "&amp;B208,"")</f>
        <v>752 - Të ardhura nga shitja e AAGJ</v>
      </c>
      <c r="L208" s="64" t="s">
        <v>139</v>
      </c>
    </row>
    <row r="209" customFormat="false" ht="14.25" hidden="false" customHeight="true" outlineLevel="0" collapsed="false">
      <c r="A209" s="63" t="s">
        <v>662</v>
      </c>
      <c r="B209" s="64" t="s">
        <v>663</v>
      </c>
      <c r="C209" s="64" t="n">
        <v>3</v>
      </c>
      <c r="D209" s="64" t="s">
        <v>614</v>
      </c>
      <c r="E209" s="64" t="s">
        <v>616</v>
      </c>
      <c r="F209" s="64" t="s">
        <v>661</v>
      </c>
      <c r="G209" s="64" t="s">
        <v>616</v>
      </c>
      <c r="H209" s="64" t="s">
        <v>139</v>
      </c>
      <c r="I209" s="64" t="s">
        <v>207</v>
      </c>
      <c r="J209" s="65" t="b">
        <f aca="false">TRUE()</f>
        <v>1</v>
      </c>
      <c r="K209" s="66" t="str">
        <f aca="false">IF(J209=TRUE(),A209&amp;" - "&amp;B209,"")</f>
        <v>754 - Dhurata e ndihma të marra</v>
      </c>
      <c r="L209" s="64" t="s">
        <v>139</v>
      </c>
    </row>
    <row r="210" customFormat="false" ht="14.25" hidden="false" customHeight="true" outlineLevel="0" collapsed="false">
      <c r="A210" s="63" t="s">
        <v>664</v>
      </c>
      <c r="B210" s="64" t="s">
        <v>665</v>
      </c>
      <c r="C210" s="64" t="n">
        <v>3</v>
      </c>
      <c r="D210" s="64" t="s">
        <v>614</v>
      </c>
      <c r="E210" s="64" t="s">
        <v>616</v>
      </c>
      <c r="F210" s="64" t="s">
        <v>661</v>
      </c>
      <c r="G210" s="64" t="s">
        <v>616</v>
      </c>
      <c r="H210" s="64" t="s">
        <v>139</v>
      </c>
      <c r="I210" s="64" t="s">
        <v>207</v>
      </c>
      <c r="J210" s="65" t="b">
        <f aca="false">TRUE()</f>
        <v>1</v>
      </c>
      <c r="K210" s="66" t="str">
        <f aca="false">IF(J210=TRUE(),A210&amp;" - "&amp;B210,"")</f>
        <v>757 - Penalitete dhe gjoba të arkëtuara</v>
      </c>
      <c r="L210" s="64" t="s">
        <v>139</v>
      </c>
    </row>
    <row r="211" customFormat="false" ht="14.25" hidden="false" customHeight="true" outlineLevel="0" collapsed="false">
      <c r="A211" s="63" t="s">
        <v>666</v>
      </c>
      <c r="B211" s="64" t="s">
        <v>667</v>
      </c>
      <c r="C211" s="64" t="n">
        <v>3</v>
      </c>
      <c r="D211" s="64" t="s">
        <v>614</v>
      </c>
      <c r="E211" s="64" t="s">
        <v>616</v>
      </c>
      <c r="F211" s="64" t="s">
        <v>661</v>
      </c>
      <c r="G211" s="64" t="s">
        <v>616</v>
      </c>
      <c r="H211" s="64" t="s">
        <v>139</v>
      </c>
      <c r="I211" s="64" t="s">
        <v>207</v>
      </c>
      <c r="J211" s="65" t="b">
        <f aca="false">TRUE()</f>
        <v>1</v>
      </c>
      <c r="K211" s="66" t="str">
        <f aca="false">IF(J211=TRUE(),A211&amp;" - "&amp;B211,"")</f>
        <v>758 - Të ndryshme</v>
      </c>
      <c r="L211" s="64" t="s">
        <v>139</v>
      </c>
    </row>
    <row r="212" customFormat="false" ht="14.25" hidden="false" customHeight="true" outlineLevel="0" collapsed="false">
      <c r="A212" s="63" t="s">
        <v>668</v>
      </c>
      <c r="B212" s="64" t="s">
        <v>669</v>
      </c>
      <c r="C212" s="64" t="n">
        <v>2</v>
      </c>
      <c r="D212" s="64" t="s">
        <v>614</v>
      </c>
      <c r="E212" s="64" t="s">
        <v>616</v>
      </c>
      <c r="F212" s="64" t="s">
        <v>616</v>
      </c>
      <c r="G212" s="64" t="s">
        <v>198</v>
      </c>
      <c r="H212" s="64" t="s">
        <v>199</v>
      </c>
      <c r="I212" s="64"/>
      <c r="J212" s="65" t="b">
        <f aca="false">FALSE()</f>
        <v>0</v>
      </c>
      <c r="K212" s="66" t="str">
        <f aca="false">IF(J212=TRUE(),A212&amp;" - "&amp;B212,"")</f>
        <v/>
      </c>
      <c r="L212" s="64"/>
    </row>
    <row r="213" customFormat="false" ht="14.25" hidden="false" customHeight="true" outlineLevel="0" collapsed="false">
      <c r="A213" s="63" t="s">
        <v>670</v>
      </c>
      <c r="B213" s="64" t="s">
        <v>671</v>
      </c>
      <c r="C213" s="64" t="n">
        <v>3</v>
      </c>
      <c r="D213" s="64" t="s">
        <v>614</v>
      </c>
      <c r="E213" s="64" t="s">
        <v>616</v>
      </c>
      <c r="F213" s="64" t="s">
        <v>669</v>
      </c>
      <c r="G213" s="64" t="s">
        <v>616</v>
      </c>
      <c r="H213" s="64" t="s">
        <v>139</v>
      </c>
      <c r="I213" s="64" t="s">
        <v>207</v>
      </c>
      <c r="J213" s="65" t="b">
        <f aca="false">TRUE()</f>
        <v>1</v>
      </c>
      <c r="K213" s="66" t="str">
        <f aca="false">IF(J213=TRUE(),A213&amp;" - "&amp;B213,"")</f>
        <v>761 - Të ardhura financiare nga shoqëritë e kontrolluara</v>
      </c>
      <c r="L213" s="64" t="s">
        <v>139</v>
      </c>
    </row>
    <row r="214" customFormat="false" ht="14.25" hidden="false" customHeight="true" outlineLevel="0" collapsed="false">
      <c r="A214" s="63" t="s">
        <v>672</v>
      </c>
      <c r="B214" s="64" t="s">
        <v>673</v>
      </c>
      <c r="C214" s="64" t="n">
        <v>3</v>
      </c>
      <c r="D214" s="64" t="s">
        <v>614</v>
      </c>
      <c r="E214" s="64" t="s">
        <v>616</v>
      </c>
      <c r="F214" s="64" t="s">
        <v>669</v>
      </c>
      <c r="G214" s="64" t="s">
        <v>616</v>
      </c>
      <c r="H214" s="64" t="s">
        <v>139</v>
      </c>
      <c r="I214" s="64" t="s">
        <v>207</v>
      </c>
      <c r="J214" s="65" t="b">
        <f aca="false">TRUE()</f>
        <v>1</v>
      </c>
      <c r="K214" s="66" t="str">
        <f aca="false">IF(J214=TRUE(),A214&amp;" - "&amp;B214,"")</f>
        <v>762 - Të ardhura financiare nga shoqëritë e lidhura</v>
      </c>
      <c r="L214" s="64" t="s">
        <v>139</v>
      </c>
    </row>
    <row r="215" customFormat="false" ht="14.25" hidden="false" customHeight="true" outlineLevel="0" collapsed="false">
      <c r="A215" s="63" t="s">
        <v>674</v>
      </c>
      <c r="B215" s="64" t="s">
        <v>675</v>
      </c>
      <c r="C215" s="64" t="n">
        <v>3</v>
      </c>
      <c r="D215" s="64" t="s">
        <v>614</v>
      </c>
      <c r="E215" s="64" t="s">
        <v>616</v>
      </c>
      <c r="F215" s="64" t="s">
        <v>669</v>
      </c>
      <c r="G215" s="64" t="s">
        <v>616</v>
      </c>
      <c r="H215" s="64" t="s">
        <v>139</v>
      </c>
      <c r="I215" s="64" t="s">
        <v>207</v>
      </c>
      <c r="J215" s="65" t="b">
        <f aca="false">TRUE()</f>
        <v>1</v>
      </c>
      <c r="K215" s="66" t="str">
        <f aca="false">IF(J215=TRUE(),A215&amp;" - "&amp;B215,"")</f>
        <v>763 - Të ardhura nga dividentët</v>
      </c>
      <c r="L215" s="64" t="s">
        <v>139</v>
      </c>
    </row>
    <row r="216" customFormat="false" ht="14.25" hidden="false" customHeight="true" outlineLevel="0" collapsed="false">
      <c r="A216" s="63" t="s">
        <v>676</v>
      </c>
      <c r="B216" s="64" t="s">
        <v>677</v>
      </c>
      <c r="C216" s="64" t="n">
        <v>3</v>
      </c>
      <c r="D216" s="64" t="s">
        <v>614</v>
      </c>
      <c r="E216" s="64" t="s">
        <v>616</v>
      </c>
      <c r="F216" s="64" t="s">
        <v>669</v>
      </c>
      <c r="G216" s="64" t="s">
        <v>616</v>
      </c>
      <c r="H216" s="64" t="s">
        <v>139</v>
      </c>
      <c r="I216" s="64" t="s">
        <v>207</v>
      </c>
      <c r="J216" s="65" t="b">
        <f aca="false">TRUE()</f>
        <v>1</v>
      </c>
      <c r="K216" s="66" t="str">
        <f aca="false">IF(J216=TRUE(),A216&amp;" - "&amp;B216,"")</f>
        <v>764 - Fitime nga rivlerësimi i letrave me vlerë</v>
      </c>
      <c r="L216" s="64" t="s">
        <v>139</v>
      </c>
    </row>
    <row r="217" customFormat="false" ht="14.25" hidden="false" customHeight="true" outlineLevel="0" collapsed="false">
      <c r="A217" s="63" t="s">
        <v>678</v>
      </c>
      <c r="B217" s="64" t="s">
        <v>679</v>
      </c>
      <c r="C217" s="64" t="n">
        <v>3</v>
      </c>
      <c r="D217" s="64" t="s">
        <v>614</v>
      </c>
      <c r="E217" s="64" t="s">
        <v>616</v>
      </c>
      <c r="F217" s="64" t="s">
        <v>669</v>
      </c>
      <c r="G217" s="64" t="s">
        <v>616</v>
      </c>
      <c r="H217" s="64" t="s">
        <v>139</v>
      </c>
      <c r="I217" s="64" t="s">
        <v>207</v>
      </c>
      <c r="J217" s="65" t="b">
        <f aca="false">TRUE()</f>
        <v>1</v>
      </c>
      <c r="K217" s="66" t="str">
        <f aca="false">IF(J217=TRUE(),A217&amp;" - "&amp;B217,"")</f>
        <v>765 - Fitime nga shitja e letrave me vlerë</v>
      </c>
      <c r="L217" s="64" t="s">
        <v>139</v>
      </c>
    </row>
    <row r="218" customFormat="false" ht="14.25" hidden="false" customHeight="true" outlineLevel="0" collapsed="false">
      <c r="A218" s="63" t="s">
        <v>680</v>
      </c>
      <c r="B218" s="64" t="s">
        <v>681</v>
      </c>
      <c r="C218" s="64" t="n">
        <v>3</v>
      </c>
      <c r="D218" s="64" t="s">
        <v>614</v>
      </c>
      <c r="E218" s="64" t="s">
        <v>616</v>
      </c>
      <c r="F218" s="64" t="s">
        <v>669</v>
      </c>
      <c r="G218" s="64" t="s">
        <v>616</v>
      </c>
      <c r="H218" s="64" t="s">
        <v>139</v>
      </c>
      <c r="I218" s="64" t="s">
        <v>207</v>
      </c>
      <c r="J218" s="65" t="b">
        <f aca="false">TRUE()</f>
        <v>1</v>
      </c>
      <c r="K218" s="66" t="str">
        <f aca="false">IF(J218=TRUE(),A218&amp;" - "&amp;B218,"")</f>
        <v>767 - Të ardhura nga interesat</v>
      </c>
      <c r="L218" s="64" t="s">
        <v>139</v>
      </c>
    </row>
    <row r="219" customFormat="false" ht="14.25" hidden="false" customHeight="true" outlineLevel="0" collapsed="false">
      <c r="A219" s="63" t="s">
        <v>682</v>
      </c>
      <c r="B219" s="64" t="s">
        <v>683</v>
      </c>
      <c r="C219" s="64" t="n">
        <v>3</v>
      </c>
      <c r="D219" s="64" t="s">
        <v>614</v>
      </c>
      <c r="E219" s="64" t="s">
        <v>616</v>
      </c>
      <c r="F219" s="64" t="s">
        <v>669</v>
      </c>
      <c r="G219" s="64" t="s">
        <v>616</v>
      </c>
      <c r="H219" s="64" t="s">
        <v>139</v>
      </c>
      <c r="I219" s="64" t="s">
        <v>207</v>
      </c>
      <c r="J219" s="65" t="b">
        <f aca="false">TRUE()</f>
        <v>1</v>
      </c>
      <c r="K219" s="66" t="str">
        <f aca="false">IF(J219=TRUE(),A219&amp;" - "&amp;B219,"")</f>
        <v>768 - Të ardhura të tjera financiare</v>
      </c>
      <c r="L219" s="64" t="s">
        <v>139</v>
      </c>
    </row>
    <row r="220" customFormat="false" ht="14.25" hidden="false" customHeight="true" outlineLevel="0" collapsed="false">
      <c r="A220" s="63" t="s">
        <v>684</v>
      </c>
      <c r="B220" s="64" t="s">
        <v>685</v>
      </c>
      <c r="C220" s="64" t="n">
        <v>3</v>
      </c>
      <c r="D220" s="64" t="s">
        <v>614</v>
      </c>
      <c r="E220" s="64" t="s">
        <v>616</v>
      </c>
      <c r="F220" s="64" t="s">
        <v>669</v>
      </c>
      <c r="G220" s="64" t="s">
        <v>616</v>
      </c>
      <c r="H220" s="64" t="s">
        <v>139</v>
      </c>
      <c r="I220" s="64" t="s">
        <v>207</v>
      </c>
      <c r="J220" s="65" t="b">
        <f aca="false">TRUE()</f>
        <v>1</v>
      </c>
      <c r="K220" s="66" t="str">
        <f aca="false">IF(J220=TRUE(),A220&amp;" - "&amp;B220,"")</f>
        <v>769 - Fitim nga këmbimet valutore</v>
      </c>
      <c r="L220" s="64" t="s">
        <v>139</v>
      </c>
    </row>
    <row r="221" customFormat="false" ht="14.25" hidden="false" customHeight="true" outlineLevel="0" collapsed="false">
      <c r="A221" s="63" t="s">
        <v>686</v>
      </c>
      <c r="B221" s="64" t="s">
        <v>687</v>
      </c>
      <c r="C221" s="64" t="n">
        <v>2</v>
      </c>
      <c r="D221" s="64" t="s">
        <v>614</v>
      </c>
      <c r="E221" s="64" t="s">
        <v>616</v>
      </c>
      <c r="F221" s="64" t="s">
        <v>616</v>
      </c>
      <c r="G221" s="64" t="s">
        <v>198</v>
      </c>
      <c r="H221" s="64" t="s">
        <v>199</v>
      </c>
      <c r="I221" s="64"/>
      <c r="J221" s="65" t="b">
        <f aca="false">FALSE()</f>
        <v>0</v>
      </c>
      <c r="K221" s="66" t="str">
        <f aca="false">IF(J221=TRUE(),A221&amp;" - "&amp;B221,"")</f>
        <v/>
      </c>
      <c r="L221" s="64"/>
    </row>
    <row r="222" customFormat="false" ht="14.25" hidden="false" customHeight="true" outlineLevel="0" collapsed="false">
      <c r="A222" s="63" t="s">
        <v>688</v>
      </c>
      <c r="B222" s="64" t="s">
        <v>660</v>
      </c>
      <c r="C222" s="64" t="n">
        <v>3</v>
      </c>
      <c r="D222" s="64" t="s">
        <v>614</v>
      </c>
      <c r="E222" s="64" t="s">
        <v>616</v>
      </c>
      <c r="F222" s="64" t="s">
        <v>689</v>
      </c>
      <c r="G222" s="64" t="s">
        <v>616</v>
      </c>
      <c r="H222" s="64" t="s">
        <v>139</v>
      </c>
      <c r="I222" s="64" t="s">
        <v>207</v>
      </c>
      <c r="J222" s="65" t="b">
        <f aca="false">TRUE()</f>
        <v>1</v>
      </c>
      <c r="K222" s="66" t="str">
        <f aca="false">IF(J222=TRUE(),A222&amp;" - "&amp;B222,"")</f>
        <v>771 - Të ardhura nga shitja e AAGJ</v>
      </c>
      <c r="L222" s="64" t="s">
        <v>139</v>
      </c>
    </row>
    <row r="223" customFormat="false" ht="14.25" hidden="false" customHeight="true" outlineLevel="0" collapsed="false">
      <c r="A223" s="63" t="s">
        <v>690</v>
      </c>
      <c r="B223" s="64" t="s">
        <v>691</v>
      </c>
      <c r="C223" s="64" t="n">
        <v>3</v>
      </c>
      <c r="D223" s="64" t="s">
        <v>614</v>
      </c>
      <c r="E223" s="64" t="s">
        <v>616</v>
      </c>
      <c r="F223" s="64" t="s">
        <v>689</v>
      </c>
      <c r="G223" s="64" t="s">
        <v>616</v>
      </c>
      <c r="H223" s="64" t="s">
        <v>139</v>
      </c>
      <c r="I223" s="64" t="s">
        <v>207</v>
      </c>
      <c r="J223" s="65" t="b">
        <f aca="false">TRUE()</f>
        <v>1</v>
      </c>
      <c r="K223" s="66" t="str">
        <f aca="false">IF(J223=TRUE(),A223&amp;" - "&amp;B223,"")</f>
        <v>772 - Dëmshpërblime të tjera</v>
      </c>
      <c r="L223" s="64" t="s">
        <v>139</v>
      </c>
    </row>
    <row r="224" customFormat="false" ht="14.25" hidden="false" customHeight="true" outlineLevel="0" collapsed="false">
      <c r="A224" s="63" t="s">
        <v>692</v>
      </c>
      <c r="B224" s="64" t="s">
        <v>693</v>
      </c>
      <c r="C224" s="64" t="n">
        <v>2</v>
      </c>
      <c r="D224" s="64" t="s">
        <v>614</v>
      </c>
      <c r="E224" s="64" t="s">
        <v>616</v>
      </c>
      <c r="F224" s="64" t="s">
        <v>616</v>
      </c>
      <c r="G224" s="64" t="s">
        <v>198</v>
      </c>
      <c r="H224" s="64" t="s">
        <v>199</v>
      </c>
      <c r="I224" s="64"/>
      <c r="J224" s="65" t="b">
        <f aca="false">FALSE()</f>
        <v>0</v>
      </c>
      <c r="K224" s="66" t="str">
        <f aca="false">IF(J224=TRUE(),A224&amp;" - "&amp;B224,"")</f>
        <v/>
      </c>
      <c r="L224" s="64"/>
    </row>
    <row r="225" customFormat="false" ht="14.25" hidden="false" customHeight="true" outlineLevel="0" collapsed="false">
      <c r="A225" s="63" t="s">
        <v>694</v>
      </c>
      <c r="B225" s="64" t="s">
        <v>695</v>
      </c>
      <c r="C225" s="64" t="n">
        <v>3</v>
      </c>
      <c r="D225" s="64" t="s">
        <v>614</v>
      </c>
      <c r="E225" s="64" t="s">
        <v>616</v>
      </c>
      <c r="F225" s="64" t="s">
        <v>696</v>
      </c>
      <c r="G225" s="64" t="s">
        <v>616</v>
      </c>
      <c r="H225" s="64" t="s">
        <v>139</v>
      </c>
      <c r="I225" s="64" t="s">
        <v>207</v>
      </c>
      <c r="J225" s="65" t="b">
        <f aca="false">TRUE()</f>
        <v>1</v>
      </c>
      <c r="K225" s="66" t="str">
        <f aca="false">IF(J225=TRUE(),A225&amp;" - "&amp;B225,"")</f>
        <v>781 - Rimarrje lidhur me veprimtarinë e shfrytëzimit</v>
      </c>
      <c r="L225" s="64" t="s">
        <v>139</v>
      </c>
    </row>
    <row r="226" customFormat="false" ht="14.25" hidden="false" customHeight="true" outlineLevel="0" collapsed="false">
      <c r="A226" s="63" t="s">
        <v>697</v>
      </c>
      <c r="B226" s="64" t="s">
        <v>698</v>
      </c>
      <c r="C226" s="64" t="n">
        <v>3</v>
      </c>
      <c r="D226" s="64" t="s">
        <v>614</v>
      </c>
      <c r="E226" s="64" t="s">
        <v>616</v>
      </c>
      <c r="F226" s="64" t="s">
        <v>696</v>
      </c>
      <c r="G226" s="64" t="s">
        <v>616</v>
      </c>
      <c r="H226" s="64" t="s">
        <v>139</v>
      </c>
      <c r="I226" s="64" t="s">
        <v>207</v>
      </c>
      <c r="J226" s="65" t="b">
        <f aca="false">TRUE()</f>
        <v>1</v>
      </c>
      <c r="K226" s="66" t="str">
        <f aca="false">IF(J226=TRUE(),A226&amp;" - "&amp;B226,"")</f>
        <v>786 - Rimarrje provizionesh për aktivet financiare</v>
      </c>
      <c r="L226" s="64" t="s">
        <v>139</v>
      </c>
    </row>
    <row r="227" customFormat="false" ht="23.25" hidden="false" customHeight="true" outlineLevel="0" collapsed="false">
      <c r="A227" s="63" t="s">
        <v>699</v>
      </c>
      <c r="B227" s="64" t="s">
        <v>700</v>
      </c>
      <c r="C227" s="64" t="n">
        <v>1</v>
      </c>
      <c r="D227" s="64" t="s">
        <v>699</v>
      </c>
      <c r="E227" s="64" t="s">
        <v>701</v>
      </c>
      <c r="F227" s="64" t="s">
        <v>702</v>
      </c>
      <c r="G227" s="64" t="s">
        <v>198</v>
      </c>
      <c r="H227" s="64" t="s">
        <v>199</v>
      </c>
      <c r="I227" s="64"/>
      <c r="J227" s="65" t="b">
        <f aca="false">FALSE()</f>
        <v>0</v>
      </c>
      <c r="K227" s="66" t="str">
        <f aca="false">IF(J227=TRUE(),A227&amp;" - "&amp;B227,"")</f>
        <v/>
      </c>
      <c r="L227" s="64"/>
    </row>
    <row r="228" customFormat="false" ht="23.25" hidden="false" customHeight="true" outlineLevel="0" collapsed="false">
      <c r="A228" s="63" t="s">
        <v>703</v>
      </c>
      <c r="B228" s="64" t="s">
        <v>704</v>
      </c>
      <c r="C228" s="64" t="n">
        <v>2</v>
      </c>
      <c r="D228" s="64" t="s">
        <v>699</v>
      </c>
      <c r="E228" s="64" t="s">
        <v>701</v>
      </c>
      <c r="F228" s="64" t="s">
        <v>702</v>
      </c>
      <c r="G228" s="64" t="s">
        <v>198</v>
      </c>
      <c r="H228" s="64" t="s">
        <v>199</v>
      </c>
      <c r="I228" s="64"/>
      <c r="J228" s="65" t="b">
        <f aca="false">FALSE()</f>
        <v>0</v>
      </c>
      <c r="K228" s="66" t="str">
        <f aca="false">IF(J228=TRUE(),A228&amp;" - "&amp;B228,"")</f>
        <v/>
      </c>
      <c r="L228" s="64"/>
    </row>
    <row r="229" customFormat="false" ht="23.25" hidden="false" customHeight="true" outlineLevel="0" collapsed="false">
      <c r="A229" s="63" t="s">
        <v>705</v>
      </c>
      <c r="B229" s="64" t="s">
        <v>706</v>
      </c>
      <c r="C229" s="64" t="n">
        <v>3</v>
      </c>
      <c r="D229" s="64" t="s">
        <v>699</v>
      </c>
      <c r="E229" s="64" t="s">
        <v>701</v>
      </c>
      <c r="F229" s="64" t="s">
        <v>702</v>
      </c>
      <c r="G229" s="64" t="s">
        <v>478</v>
      </c>
      <c r="H229" s="64" t="s">
        <v>479</v>
      </c>
      <c r="I229" s="64" t="s">
        <v>207</v>
      </c>
      <c r="J229" s="65" t="b">
        <f aca="false">FALSE()</f>
        <v>0</v>
      </c>
      <c r="K229" s="66" t="str">
        <f aca="false">IF(J229=TRUE(),A229&amp;" - "&amp;B229,"")</f>
        <v/>
      </c>
      <c r="L229" s="64" t="s">
        <v>197</v>
      </c>
    </row>
    <row r="230" customFormat="false" ht="23.25" hidden="false" customHeight="true" outlineLevel="0" collapsed="false">
      <c r="A230" s="63" t="s">
        <v>707</v>
      </c>
      <c r="B230" s="64" t="s">
        <v>708</v>
      </c>
      <c r="C230" s="64" t="n">
        <v>3</v>
      </c>
      <c r="D230" s="64" t="s">
        <v>699</v>
      </c>
      <c r="E230" s="64" t="s">
        <v>701</v>
      </c>
      <c r="F230" s="64" t="s">
        <v>702</v>
      </c>
      <c r="G230" s="64" t="s">
        <v>478</v>
      </c>
      <c r="H230" s="64" t="s">
        <v>479</v>
      </c>
      <c r="I230" s="64" t="s">
        <v>212</v>
      </c>
      <c r="J230" s="65" t="b">
        <f aca="false">FALSE()</f>
        <v>0</v>
      </c>
      <c r="K230" s="66" t="str">
        <f aca="false">IF(J230=TRUE(),A230&amp;" - "&amp;B230,"")</f>
        <v/>
      </c>
      <c r="L230" s="64" t="s">
        <v>197</v>
      </c>
    </row>
    <row r="231" customFormat="false" ht="14.25" hidden="false" customHeight="true" outlineLevel="0" collapsed="false">
      <c r="A231" s="63" t="s">
        <v>709</v>
      </c>
      <c r="B231" s="64" t="s">
        <v>710</v>
      </c>
      <c r="C231" s="64" t="n">
        <v>1</v>
      </c>
      <c r="D231" s="64" t="s">
        <v>709</v>
      </c>
      <c r="E231" s="64" t="s">
        <v>710</v>
      </c>
      <c r="F231" s="64" t="s">
        <v>711</v>
      </c>
      <c r="G231" s="64" t="s">
        <v>198</v>
      </c>
      <c r="H231" s="64" t="s">
        <v>199</v>
      </c>
      <c r="I231" s="64"/>
      <c r="J231" s="65" t="b">
        <f aca="false">FALSE()</f>
        <v>0</v>
      </c>
      <c r="K231" s="66" t="str">
        <f aca="false">IF(J231=TRUE(),A231&amp;" - "&amp;B231,"")</f>
        <v/>
      </c>
      <c r="L231" s="64"/>
    </row>
    <row r="232" customFormat="false" ht="14.25" hidden="false" customHeight="true" outlineLevel="0" collapsed="false">
      <c r="A232" s="63" t="s">
        <v>712</v>
      </c>
      <c r="B232" s="64" t="s">
        <v>713</v>
      </c>
      <c r="C232" s="64" t="n">
        <v>2</v>
      </c>
      <c r="D232" s="64" t="s">
        <v>709</v>
      </c>
      <c r="E232" s="64" t="s">
        <v>710</v>
      </c>
      <c r="F232" s="64" t="s">
        <v>711</v>
      </c>
      <c r="G232" s="64" t="s">
        <v>198</v>
      </c>
      <c r="H232" s="64" t="s">
        <v>199</v>
      </c>
      <c r="I232" s="64"/>
      <c r="J232" s="65" t="b">
        <f aca="false">FALSE()</f>
        <v>0</v>
      </c>
      <c r="K232" s="66" t="str">
        <f aca="false">IF(J232=TRUE(),A232&amp;" - "&amp;B232,"")</f>
        <v/>
      </c>
      <c r="L232" s="64"/>
    </row>
    <row r="233" customFormat="false" ht="14.25" hidden="false" customHeight="true" outlineLevel="0" collapsed="false">
      <c r="A233" s="63" t="s">
        <v>714</v>
      </c>
      <c r="B233" s="64" t="s">
        <v>715</v>
      </c>
      <c r="C233" s="64" t="n">
        <v>3</v>
      </c>
      <c r="D233" s="64" t="s">
        <v>709</v>
      </c>
      <c r="E233" s="64" t="s">
        <v>710</v>
      </c>
      <c r="F233" s="64" t="s">
        <v>711</v>
      </c>
      <c r="G233" s="64" t="s">
        <v>478</v>
      </c>
      <c r="H233" s="64" t="s">
        <v>479</v>
      </c>
      <c r="I233" s="64" t="s">
        <v>228</v>
      </c>
      <c r="J233" s="65" t="b">
        <f aca="false">FALSE()</f>
        <v>0</v>
      </c>
      <c r="K233" s="66" t="str">
        <f aca="false">IF(J233=TRUE(),A233&amp;" - "&amp;B233,"")</f>
        <v/>
      </c>
      <c r="L233" s="64"/>
    </row>
    <row r="234" customFormat="false" ht="14.25" hidden="false" customHeight="true" outlineLevel="0" collapsed="false">
      <c r="A234" s="63" t="s">
        <v>716</v>
      </c>
      <c r="B234" s="64" t="s">
        <v>717</v>
      </c>
      <c r="C234" s="64" t="n">
        <v>3</v>
      </c>
      <c r="D234" s="64" t="s">
        <v>709</v>
      </c>
      <c r="E234" s="64" t="s">
        <v>710</v>
      </c>
      <c r="F234" s="64" t="s">
        <v>711</v>
      </c>
      <c r="G234" s="64" t="s">
        <v>478</v>
      </c>
      <c r="H234" s="64" t="s">
        <v>479</v>
      </c>
      <c r="I234" s="64" t="s">
        <v>228</v>
      </c>
      <c r="J234" s="65" t="b">
        <f aca="false">FALSE()</f>
        <v>0</v>
      </c>
      <c r="K234" s="66" t="str">
        <f aca="false">IF(J234=TRUE(),A234&amp;" - "&amp;B234,"")</f>
        <v/>
      </c>
      <c r="L234" s="64"/>
    </row>
    <row r="235" customFormat="false" ht="14.25" hidden="false" customHeight="true" outlineLevel="0" collapsed="false">
      <c r="A235" s="63" t="s">
        <v>718</v>
      </c>
      <c r="B235" s="64" t="s">
        <v>719</v>
      </c>
      <c r="C235" s="64" t="n">
        <v>2</v>
      </c>
      <c r="D235" s="64" t="s">
        <v>709</v>
      </c>
      <c r="E235" s="64" t="s">
        <v>710</v>
      </c>
      <c r="F235" s="64" t="s">
        <v>711</v>
      </c>
      <c r="G235" s="64" t="s">
        <v>198</v>
      </c>
      <c r="H235" s="64" t="s">
        <v>199</v>
      </c>
      <c r="I235" s="64"/>
      <c r="J235" s="65" t="b">
        <f aca="false">FALSE()</f>
        <v>0</v>
      </c>
      <c r="K235" s="66" t="str">
        <f aca="false">IF(J235=TRUE(),A235&amp;" - "&amp;B235,"")</f>
        <v/>
      </c>
      <c r="L235" s="64"/>
    </row>
    <row r="236" customFormat="false" ht="14.25" hidden="false" customHeight="true" outlineLevel="0" collapsed="false">
      <c r="A236" s="63" t="s">
        <v>720</v>
      </c>
      <c r="B236" s="64" t="s">
        <v>721</v>
      </c>
      <c r="C236" s="64" t="n">
        <v>3</v>
      </c>
      <c r="D236" s="64" t="s">
        <v>709</v>
      </c>
      <c r="E236" s="64" t="s">
        <v>710</v>
      </c>
      <c r="F236" s="64" t="s">
        <v>711</v>
      </c>
      <c r="G236" s="64" t="s">
        <v>478</v>
      </c>
      <c r="H236" s="64" t="s">
        <v>479</v>
      </c>
      <c r="I236" s="64" t="s">
        <v>228</v>
      </c>
      <c r="J236" s="65" t="b">
        <f aca="false">FALSE()</f>
        <v>0</v>
      </c>
      <c r="K236" s="66" t="str">
        <f aca="false">IF(J236=TRUE(),A236&amp;" - "&amp;B236,"")</f>
        <v/>
      </c>
      <c r="L236" s="64"/>
    </row>
    <row r="237" customFormat="false" ht="34.5" hidden="false" customHeight="true" outlineLevel="0" collapsed="false">
      <c r="A237" s="68" t="s">
        <v>722</v>
      </c>
      <c r="B237" s="69" t="s">
        <v>723</v>
      </c>
      <c r="C237" s="69"/>
      <c r="D237" s="69"/>
      <c r="E237" s="69"/>
      <c r="F237" s="69"/>
      <c r="G237" s="69"/>
      <c r="H237" s="69"/>
      <c r="I237" s="69"/>
      <c r="J237" s="70"/>
      <c r="K237" s="69"/>
      <c r="L237" s="69"/>
    </row>
    <row r="238" customFormat="false" ht="14.25" hidden="false" customHeight="true" outlineLevel="0" collapsed="false">
      <c r="A238" s="63"/>
      <c r="B238" s="64"/>
      <c r="C238" s="64"/>
      <c r="D238" s="64"/>
      <c r="E238" s="64"/>
      <c r="F238" s="64"/>
      <c r="G238" s="64"/>
      <c r="H238" s="64"/>
      <c r="I238" s="64"/>
      <c r="J238" s="71"/>
      <c r="K238" s="66" t="str">
        <f aca="false">IF(J238=TRUE(),A238&amp;" - "&amp;B238,"")</f>
        <v/>
      </c>
      <c r="L238" s="64"/>
    </row>
    <row r="239" customFormat="false" ht="14.25" hidden="false" customHeight="true" outlineLevel="0" collapsed="false">
      <c r="A239" s="63"/>
      <c r="B239" s="64"/>
      <c r="C239" s="64"/>
      <c r="D239" s="64"/>
      <c r="E239" s="64"/>
      <c r="F239" s="64"/>
      <c r="G239" s="64"/>
      <c r="H239" s="64"/>
      <c r="I239" s="64"/>
      <c r="J239" s="71"/>
      <c r="K239" s="66" t="str">
        <f aca="false">IF(J239=TRUE(),A239&amp;" - "&amp;B239,"")</f>
        <v/>
      </c>
      <c r="L239" s="64"/>
    </row>
    <row r="240" customFormat="false" ht="14.25" hidden="false" customHeight="true" outlineLevel="0" collapsed="false">
      <c r="A240" s="63"/>
      <c r="B240" s="64"/>
      <c r="C240" s="64"/>
      <c r="D240" s="64"/>
      <c r="E240" s="64"/>
      <c r="F240" s="64"/>
      <c r="G240" s="64"/>
      <c r="H240" s="64"/>
      <c r="I240" s="64"/>
      <c r="J240" s="71"/>
      <c r="K240" s="66" t="str">
        <f aca="false">IF(J240=TRUE(),A240&amp;" - "&amp;B240,"")</f>
        <v/>
      </c>
      <c r="L240" s="64"/>
    </row>
    <row r="241" customFormat="false" ht="14.25" hidden="false" customHeight="true" outlineLevel="0" collapsed="false">
      <c r="A241" s="63"/>
      <c r="B241" s="64"/>
      <c r="C241" s="64"/>
      <c r="D241" s="64"/>
      <c r="E241" s="64"/>
      <c r="F241" s="64"/>
      <c r="G241" s="64"/>
      <c r="H241" s="64"/>
      <c r="I241" s="64"/>
      <c r="J241" s="71"/>
      <c r="K241" s="66" t="str">
        <f aca="false">IF(J241=TRUE(),A241&amp;" - "&amp;B241,"")</f>
        <v/>
      </c>
      <c r="L241" s="64"/>
    </row>
    <row r="242" customFormat="false" ht="14.25" hidden="false" customHeight="true" outlineLevel="0" collapsed="false">
      <c r="A242" s="63"/>
      <c r="B242" s="64"/>
      <c r="C242" s="64"/>
      <c r="D242" s="64"/>
      <c r="E242" s="64"/>
      <c r="F242" s="64"/>
      <c r="G242" s="64"/>
      <c r="H242" s="64"/>
      <c r="I242" s="64"/>
      <c r="J242" s="71"/>
      <c r="K242" s="66" t="str">
        <f aca="false">IF(J242=TRUE(),A242&amp;" - "&amp;B242,"")</f>
        <v/>
      </c>
      <c r="L242" s="64"/>
    </row>
    <row r="243" customFormat="false" ht="14.25" hidden="false" customHeight="true" outlineLevel="0" collapsed="false">
      <c r="A243" s="63"/>
      <c r="B243" s="64"/>
      <c r="C243" s="64"/>
      <c r="D243" s="64"/>
      <c r="E243" s="64"/>
      <c r="F243" s="64"/>
      <c r="G243" s="64"/>
      <c r="H243" s="64"/>
      <c r="I243" s="64"/>
      <c r="J243" s="71"/>
      <c r="K243" s="66" t="str">
        <f aca="false">IF(J243=TRUE(),A243&amp;" - "&amp;B243,"")</f>
        <v/>
      </c>
      <c r="L243" s="64"/>
    </row>
    <row r="244" customFormat="false" ht="14.25" hidden="false" customHeight="true" outlineLevel="0" collapsed="false">
      <c r="A244" s="63"/>
      <c r="B244" s="64"/>
      <c r="C244" s="64"/>
      <c r="D244" s="64"/>
      <c r="E244" s="64"/>
      <c r="F244" s="64"/>
      <c r="G244" s="64"/>
      <c r="H244" s="64"/>
      <c r="I244" s="64"/>
      <c r="J244" s="71"/>
      <c r="K244" s="66" t="str">
        <f aca="false">IF(J244=TRUE(),A244&amp;" - "&amp;B244,"")</f>
        <v/>
      </c>
      <c r="L244" s="64"/>
    </row>
    <row r="245" customFormat="false" ht="14.25" hidden="false" customHeight="true" outlineLevel="0" collapsed="false">
      <c r="A245" s="63"/>
      <c r="B245" s="64"/>
      <c r="C245" s="64"/>
      <c r="D245" s="64"/>
      <c r="E245" s="64"/>
      <c r="F245" s="64"/>
      <c r="G245" s="64"/>
      <c r="H245" s="64"/>
      <c r="I245" s="64"/>
      <c r="J245" s="71"/>
      <c r="K245" s="66" t="str">
        <f aca="false">IF(J245=TRUE(),A245&amp;" - "&amp;B245,"")</f>
        <v/>
      </c>
      <c r="L245" s="64"/>
    </row>
    <row r="246" customFormat="false" ht="14.25" hidden="false" customHeight="true" outlineLevel="0" collapsed="false">
      <c r="A246" s="63"/>
      <c r="B246" s="64"/>
      <c r="C246" s="64"/>
      <c r="D246" s="64"/>
      <c r="E246" s="64"/>
      <c r="F246" s="64"/>
      <c r="G246" s="64"/>
      <c r="H246" s="64"/>
      <c r="I246" s="64"/>
      <c r="J246" s="71"/>
      <c r="K246" s="66" t="str">
        <f aca="false">IF(J246=TRUE(),A246&amp;" - "&amp;B246,"")</f>
        <v/>
      </c>
      <c r="L246" s="64"/>
    </row>
    <row r="247" customFormat="false" ht="14.25" hidden="false" customHeight="true" outlineLevel="0" collapsed="false">
      <c r="A247" s="63"/>
      <c r="B247" s="64"/>
      <c r="C247" s="64"/>
      <c r="D247" s="64"/>
      <c r="E247" s="64"/>
      <c r="F247" s="64"/>
      <c r="G247" s="64"/>
      <c r="H247" s="64"/>
      <c r="I247" s="64"/>
      <c r="J247" s="71"/>
      <c r="K247" s="66" t="str">
        <f aca="false">IF(J247=TRUE(),A247&amp;" - "&amp;B247,"")</f>
        <v/>
      </c>
      <c r="L247" s="64"/>
    </row>
    <row r="248" customFormat="false" ht="14.25" hidden="false" customHeight="true" outlineLevel="0" collapsed="false">
      <c r="A248" s="63"/>
      <c r="B248" s="64"/>
      <c r="C248" s="64"/>
      <c r="D248" s="64"/>
      <c r="E248" s="64"/>
      <c r="F248" s="64"/>
      <c r="G248" s="64"/>
      <c r="H248" s="64"/>
      <c r="I248" s="64"/>
      <c r="J248" s="71"/>
      <c r="K248" s="66" t="str">
        <f aca="false">IF(J248=TRUE(),A248&amp;" - "&amp;B248,"")</f>
        <v/>
      </c>
      <c r="L248" s="64"/>
    </row>
    <row r="249" customFormat="false" ht="14.25" hidden="false" customHeight="true" outlineLevel="0" collapsed="false">
      <c r="A249" s="63"/>
      <c r="B249" s="64"/>
      <c r="C249" s="64"/>
      <c r="D249" s="64"/>
      <c r="E249" s="64"/>
      <c r="F249" s="64"/>
      <c r="G249" s="64"/>
      <c r="H249" s="64"/>
      <c r="I249" s="64"/>
      <c r="J249" s="71"/>
      <c r="K249" s="66" t="str">
        <f aca="false">IF(J249=TRUE(),A249&amp;" - "&amp;B249,"")</f>
        <v/>
      </c>
      <c r="L249" s="64"/>
    </row>
    <row r="250" customFormat="false" ht="14.25" hidden="false" customHeight="true" outlineLevel="0" collapsed="false">
      <c r="A250" s="63"/>
      <c r="B250" s="64"/>
      <c r="C250" s="64"/>
      <c r="D250" s="64"/>
      <c r="E250" s="64"/>
      <c r="F250" s="64"/>
      <c r="G250" s="64"/>
      <c r="H250" s="64"/>
      <c r="I250" s="64"/>
      <c r="J250" s="71"/>
      <c r="K250" s="66" t="str">
        <f aca="false">IF(J250=TRUE(),A250&amp;" - "&amp;B250,"")</f>
        <v/>
      </c>
      <c r="L250" s="64"/>
    </row>
    <row r="251" customFormat="false" ht="14.25" hidden="false" customHeight="true" outlineLevel="0" collapsed="false">
      <c r="A251" s="63"/>
      <c r="B251" s="64"/>
      <c r="C251" s="64"/>
      <c r="D251" s="64"/>
      <c r="E251" s="64"/>
      <c r="F251" s="64"/>
      <c r="G251" s="64"/>
      <c r="H251" s="64"/>
      <c r="I251" s="64"/>
      <c r="J251" s="71"/>
      <c r="K251" s="66" t="str">
        <f aca="false">IF(J251=TRUE(),A251&amp;" - "&amp;B251,"")</f>
        <v/>
      </c>
      <c r="L251" s="64"/>
    </row>
    <row r="252" customFormat="false" ht="14.25" hidden="false" customHeight="true" outlineLevel="0" collapsed="false">
      <c r="A252" s="63"/>
      <c r="B252" s="64"/>
      <c r="C252" s="64"/>
      <c r="D252" s="64"/>
      <c r="E252" s="64"/>
      <c r="F252" s="64"/>
      <c r="G252" s="64"/>
      <c r="H252" s="64"/>
      <c r="I252" s="64"/>
      <c r="J252" s="71"/>
      <c r="K252" s="66" t="str">
        <f aca="false">IF(J252=TRUE(),A252&amp;" - "&amp;B252,"")</f>
        <v/>
      </c>
      <c r="L252" s="64"/>
    </row>
    <row r="253" customFormat="false" ht="14.25" hidden="false" customHeight="true" outlineLevel="0" collapsed="false">
      <c r="A253" s="63"/>
      <c r="B253" s="64"/>
      <c r="C253" s="64"/>
      <c r="D253" s="64"/>
      <c r="E253" s="64"/>
      <c r="F253" s="64"/>
      <c r="G253" s="64"/>
      <c r="H253" s="64"/>
      <c r="I253" s="64"/>
      <c r="J253" s="71"/>
      <c r="K253" s="66" t="str">
        <f aca="false">IF(J253=TRUE(),A253&amp;" - "&amp;B253,"")</f>
        <v/>
      </c>
      <c r="L253" s="64"/>
    </row>
    <row r="254" customFormat="false" ht="14.25" hidden="false" customHeight="true" outlineLevel="0" collapsed="false">
      <c r="A254" s="63"/>
      <c r="B254" s="64"/>
      <c r="C254" s="64"/>
      <c r="D254" s="64"/>
      <c r="E254" s="64"/>
      <c r="F254" s="64"/>
      <c r="G254" s="64"/>
      <c r="H254" s="64"/>
      <c r="I254" s="64"/>
      <c r="J254" s="71"/>
      <c r="K254" s="66" t="str">
        <f aca="false">IF(J254=TRUE(),A254&amp;" - "&amp;B254,"")</f>
        <v/>
      </c>
      <c r="L254" s="64"/>
    </row>
    <row r="255" customFormat="false" ht="14.25" hidden="false" customHeight="true" outlineLevel="0" collapsed="false">
      <c r="A255" s="63"/>
      <c r="B255" s="64"/>
      <c r="C255" s="64"/>
      <c r="D255" s="64"/>
      <c r="E255" s="64"/>
      <c r="F255" s="64"/>
      <c r="G255" s="64"/>
      <c r="H255" s="64"/>
      <c r="I255" s="64"/>
      <c r="J255" s="71"/>
      <c r="K255" s="66" t="str">
        <f aca="false">IF(J255=TRUE(),A255&amp;" - "&amp;B255,"")</f>
        <v/>
      </c>
      <c r="L255" s="64"/>
    </row>
    <row r="256" customFormat="false" ht="14.25" hidden="false" customHeight="true" outlineLevel="0" collapsed="false">
      <c r="A256" s="63"/>
      <c r="B256" s="64"/>
      <c r="C256" s="64"/>
      <c r="D256" s="64"/>
      <c r="E256" s="64"/>
      <c r="F256" s="64"/>
      <c r="G256" s="64"/>
      <c r="H256" s="64"/>
      <c r="I256" s="64"/>
      <c r="J256" s="71"/>
      <c r="K256" s="66" t="str">
        <f aca="false">IF(J256=TRUE(),A256&amp;" - "&amp;B256,"")</f>
        <v/>
      </c>
      <c r="L256" s="64"/>
    </row>
    <row r="257" customFormat="false" ht="14.25" hidden="false" customHeight="true" outlineLevel="0" collapsed="false">
      <c r="A257" s="63"/>
      <c r="B257" s="64"/>
      <c r="C257" s="64"/>
      <c r="D257" s="64"/>
      <c r="E257" s="64"/>
      <c r="F257" s="64"/>
      <c r="G257" s="64"/>
      <c r="H257" s="64"/>
      <c r="I257" s="64"/>
      <c r="J257" s="71"/>
      <c r="K257" s="66" t="str">
        <f aca="false">IF(J257=TRUE(),A257&amp;" - "&amp;B257,"")</f>
        <v/>
      </c>
      <c r="L257" s="64"/>
    </row>
    <row r="258" customFormat="false" ht="14.25" hidden="false" customHeight="true" outlineLevel="0" collapsed="false">
      <c r="A258" s="63"/>
      <c r="B258" s="64"/>
      <c r="C258" s="64"/>
      <c r="D258" s="64"/>
      <c r="E258" s="64"/>
      <c r="F258" s="64"/>
      <c r="G258" s="64"/>
      <c r="H258" s="64"/>
      <c r="I258" s="64"/>
      <c r="J258" s="71"/>
      <c r="K258" s="66" t="str">
        <f aca="false">IF(J258=TRUE(),A258&amp;" - "&amp;B258,"")</f>
        <v/>
      </c>
      <c r="L258" s="64"/>
    </row>
    <row r="259" customFormat="false" ht="14.25" hidden="false" customHeight="true" outlineLevel="0" collapsed="false">
      <c r="A259" s="63"/>
      <c r="B259" s="64"/>
      <c r="C259" s="64"/>
      <c r="D259" s="64"/>
      <c r="E259" s="64"/>
      <c r="F259" s="64"/>
      <c r="G259" s="64"/>
      <c r="H259" s="64"/>
      <c r="I259" s="64"/>
      <c r="J259" s="71"/>
      <c r="K259" s="66" t="str">
        <f aca="false">IF(J259=TRUE(),A259&amp;" - "&amp;B259,"")</f>
        <v/>
      </c>
      <c r="L259" s="64"/>
    </row>
    <row r="260" customFormat="false" ht="14.25" hidden="false" customHeight="true" outlineLevel="0" collapsed="false">
      <c r="A260" s="63"/>
      <c r="B260" s="64"/>
      <c r="C260" s="64"/>
      <c r="D260" s="64"/>
      <c r="E260" s="64"/>
      <c r="F260" s="64"/>
      <c r="G260" s="64"/>
      <c r="H260" s="64"/>
      <c r="I260" s="64"/>
      <c r="J260" s="71"/>
      <c r="K260" s="66" t="str">
        <f aca="false">IF(J260=TRUE(),A260&amp;" - "&amp;B260,"")</f>
        <v/>
      </c>
      <c r="L260" s="64"/>
    </row>
    <row r="261" customFormat="false" ht="14.25" hidden="false" customHeight="true" outlineLevel="0" collapsed="false">
      <c r="A261" s="63"/>
      <c r="B261" s="64"/>
      <c r="C261" s="64"/>
      <c r="D261" s="64"/>
      <c r="E261" s="64"/>
      <c r="F261" s="64"/>
      <c r="G261" s="64"/>
      <c r="H261" s="64"/>
      <c r="I261" s="64"/>
      <c r="J261" s="71"/>
      <c r="K261" s="66" t="str">
        <f aca="false">IF(J261=TRUE(),A261&amp;" - "&amp;B261,"")</f>
        <v/>
      </c>
      <c r="L261" s="64"/>
    </row>
    <row r="262" customFormat="false" ht="14.25" hidden="false" customHeight="true" outlineLevel="0" collapsed="false">
      <c r="A262" s="63"/>
      <c r="B262" s="64"/>
      <c r="C262" s="64"/>
      <c r="D262" s="64"/>
      <c r="E262" s="64"/>
      <c r="F262" s="64"/>
      <c r="G262" s="64"/>
      <c r="H262" s="64"/>
      <c r="I262" s="64"/>
      <c r="J262" s="71"/>
      <c r="K262" s="66" t="str">
        <f aca="false">IF(J262=TRUE(),A262&amp;" - "&amp;B262,"")</f>
        <v/>
      </c>
      <c r="L262" s="64"/>
    </row>
    <row r="263" customFormat="false" ht="14.25" hidden="false" customHeight="true" outlineLevel="0" collapsed="false">
      <c r="A263" s="63"/>
      <c r="B263" s="64"/>
      <c r="C263" s="64"/>
      <c r="D263" s="64"/>
      <c r="E263" s="64"/>
      <c r="F263" s="64"/>
      <c r="G263" s="64"/>
      <c r="H263" s="64"/>
      <c r="I263" s="64"/>
      <c r="J263" s="71"/>
      <c r="K263" s="66" t="str">
        <f aca="false">IF(J263=TRUE(),A263&amp;" - "&amp;B263,"")</f>
        <v/>
      </c>
      <c r="L263" s="64"/>
    </row>
    <row r="264" customFormat="false" ht="14.25" hidden="false" customHeight="true" outlineLevel="0" collapsed="false">
      <c r="A264" s="63"/>
      <c r="B264" s="64"/>
      <c r="C264" s="64"/>
      <c r="D264" s="64"/>
      <c r="E264" s="64"/>
      <c r="F264" s="64"/>
      <c r="G264" s="64"/>
      <c r="H264" s="64"/>
      <c r="I264" s="64"/>
      <c r="J264" s="71"/>
      <c r="K264" s="66" t="str">
        <f aca="false">IF(J264=TRUE(),A264&amp;" - "&amp;B264,"")</f>
        <v/>
      </c>
      <c r="L264" s="64"/>
    </row>
    <row r="265" customFormat="false" ht="14.25" hidden="false" customHeight="true" outlineLevel="0" collapsed="false">
      <c r="A265" s="63"/>
      <c r="B265" s="64"/>
      <c r="C265" s="64"/>
      <c r="D265" s="64"/>
      <c r="E265" s="64"/>
      <c r="F265" s="64"/>
      <c r="G265" s="64"/>
      <c r="H265" s="64"/>
      <c r="I265" s="64"/>
      <c r="J265" s="71"/>
      <c r="K265" s="66" t="str">
        <f aca="false">IF(J265=TRUE(),A265&amp;" - "&amp;B265,"")</f>
        <v/>
      </c>
      <c r="L265" s="64"/>
    </row>
    <row r="266" customFormat="false" ht="14.25" hidden="false" customHeight="true" outlineLevel="0" collapsed="false">
      <c r="A266" s="63"/>
      <c r="B266" s="64"/>
      <c r="C266" s="64"/>
      <c r="D266" s="64"/>
      <c r="E266" s="64"/>
      <c r="F266" s="64"/>
      <c r="G266" s="64"/>
      <c r="H266" s="64"/>
      <c r="I266" s="64"/>
      <c r="J266" s="71"/>
      <c r="K266" s="66" t="str">
        <f aca="false">IF(J266=TRUE(),A266&amp;" - "&amp;B266,"")</f>
        <v/>
      </c>
      <c r="L266" s="64"/>
    </row>
    <row r="267" customFormat="false" ht="14.25" hidden="false" customHeight="true" outlineLevel="0" collapsed="false">
      <c r="A267" s="63"/>
      <c r="B267" s="64"/>
      <c r="C267" s="64"/>
      <c r="D267" s="64"/>
      <c r="E267" s="64"/>
      <c r="F267" s="64"/>
      <c r="G267" s="64"/>
      <c r="H267" s="64"/>
      <c r="I267" s="64"/>
      <c r="J267" s="71"/>
      <c r="K267" s="66" t="str">
        <f aca="false">IF(J267=TRUE(),A267&amp;" - "&amp;B267,"")</f>
        <v/>
      </c>
      <c r="L267" s="64"/>
    </row>
    <row r="268" customFormat="false" ht="14.25" hidden="false" customHeight="true" outlineLevel="0" collapsed="false">
      <c r="A268" s="63"/>
      <c r="B268" s="64"/>
      <c r="C268" s="64"/>
      <c r="D268" s="64"/>
      <c r="E268" s="64"/>
      <c r="F268" s="64"/>
      <c r="G268" s="64"/>
      <c r="H268" s="64"/>
      <c r="I268" s="64"/>
      <c r="J268" s="71"/>
      <c r="K268" s="66" t="str">
        <f aca="false">IF(J268=TRUE(),A268&amp;" - "&amp;B268,"")</f>
        <v/>
      </c>
      <c r="L268" s="64"/>
    </row>
    <row r="269" customFormat="false" ht="14.25" hidden="false" customHeight="true" outlineLevel="0" collapsed="false">
      <c r="A269" s="63"/>
      <c r="B269" s="64"/>
      <c r="C269" s="64"/>
      <c r="D269" s="64"/>
      <c r="E269" s="64"/>
      <c r="F269" s="64"/>
      <c r="G269" s="64"/>
      <c r="H269" s="64"/>
      <c r="I269" s="64"/>
      <c r="J269" s="71"/>
      <c r="K269" s="66" t="str">
        <f aca="false">IF(J269=TRUE(),A269&amp;" - "&amp;B269,"")</f>
        <v/>
      </c>
      <c r="L269" s="64"/>
    </row>
    <row r="270" customFormat="false" ht="14.25" hidden="false" customHeight="true" outlineLevel="0" collapsed="false">
      <c r="A270" s="63"/>
      <c r="B270" s="64"/>
      <c r="C270" s="64"/>
      <c r="D270" s="64"/>
      <c r="E270" s="64"/>
      <c r="F270" s="64"/>
      <c r="G270" s="64"/>
      <c r="H270" s="64"/>
      <c r="I270" s="64"/>
      <c r="J270" s="71"/>
      <c r="K270" s="66" t="str">
        <f aca="false">IF(J270=TRUE(),A270&amp;" - "&amp;B270,"")</f>
        <v/>
      </c>
      <c r="L270" s="64"/>
    </row>
    <row r="271" customFormat="false" ht="14.25" hidden="false" customHeight="true" outlineLevel="0" collapsed="false">
      <c r="A271" s="63"/>
      <c r="B271" s="64"/>
      <c r="C271" s="64"/>
      <c r="D271" s="64"/>
      <c r="E271" s="64"/>
      <c r="F271" s="64"/>
      <c r="G271" s="64"/>
      <c r="H271" s="64"/>
      <c r="I271" s="64"/>
      <c r="J271" s="71"/>
      <c r="K271" s="66" t="str">
        <f aca="false">IF(J271=TRUE(),A271&amp;" - "&amp;B271,"")</f>
        <v/>
      </c>
      <c r="L271" s="64"/>
    </row>
    <row r="272" customFormat="false" ht="14.25" hidden="false" customHeight="true" outlineLevel="0" collapsed="false">
      <c r="A272" s="63"/>
      <c r="B272" s="64"/>
      <c r="C272" s="64"/>
      <c r="D272" s="64"/>
      <c r="E272" s="64"/>
      <c r="F272" s="64"/>
      <c r="G272" s="64"/>
      <c r="H272" s="64"/>
      <c r="I272" s="64"/>
      <c r="J272" s="71"/>
      <c r="K272" s="66" t="str">
        <f aca="false">IF(J272=TRUE(),A272&amp;" - "&amp;B272,"")</f>
        <v/>
      </c>
      <c r="L272" s="64"/>
    </row>
    <row r="273" customFormat="false" ht="14.25" hidden="false" customHeight="true" outlineLevel="0" collapsed="false">
      <c r="A273" s="63"/>
      <c r="B273" s="64"/>
      <c r="C273" s="64"/>
      <c r="D273" s="64"/>
      <c r="E273" s="64"/>
      <c r="F273" s="64"/>
      <c r="G273" s="64"/>
      <c r="H273" s="64"/>
      <c r="I273" s="64"/>
      <c r="J273" s="71"/>
      <c r="K273" s="66" t="str">
        <f aca="false">IF(J273=TRUE(),A273&amp;" - "&amp;B273,"")</f>
        <v/>
      </c>
      <c r="L273" s="64"/>
    </row>
    <row r="274" customFormat="false" ht="14.25" hidden="false" customHeight="true" outlineLevel="0" collapsed="false">
      <c r="A274" s="63"/>
      <c r="B274" s="64"/>
      <c r="C274" s="64"/>
      <c r="D274" s="64"/>
      <c r="E274" s="64"/>
      <c r="F274" s="64"/>
      <c r="G274" s="64"/>
      <c r="H274" s="64"/>
      <c r="I274" s="64"/>
      <c r="J274" s="71"/>
      <c r="K274" s="66" t="str">
        <f aca="false">IF(J274=TRUE(),A274&amp;" - "&amp;B274,"")</f>
        <v/>
      </c>
      <c r="L274" s="64"/>
    </row>
    <row r="275" customFormat="false" ht="14.25" hidden="false" customHeight="true" outlineLevel="0" collapsed="false">
      <c r="A275" s="63"/>
      <c r="B275" s="64"/>
      <c r="C275" s="64"/>
      <c r="D275" s="64"/>
      <c r="E275" s="64"/>
      <c r="F275" s="64"/>
      <c r="G275" s="64"/>
      <c r="H275" s="64"/>
      <c r="I275" s="64"/>
      <c r="J275" s="71"/>
      <c r="K275" s="66" t="str">
        <f aca="false">IF(J275=TRUE(),A275&amp;" - "&amp;B275,"")</f>
        <v/>
      </c>
      <c r="L275" s="64"/>
    </row>
    <row r="276" customFormat="false" ht="14.25" hidden="false" customHeight="true" outlineLevel="0" collapsed="false">
      <c r="A276" s="63"/>
      <c r="B276" s="64"/>
      <c r="C276" s="64"/>
      <c r="D276" s="64"/>
      <c r="E276" s="64"/>
      <c r="F276" s="64"/>
      <c r="G276" s="64"/>
      <c r="H276" s="64"/>
      <c r="I276" s="64"/>
      <c r="J276" s="71"/>
      <c r="K276" s="66" t="str">
        <f aca="false">IF(J276=TRUE(),A276&amp;" - "&amp;B276,"")</f>
        <v/>
      </c>
      <c r="L276" s="64"/>
    </row>
    <row r="277" customFormat="false" ht="14.25" hidden="false" customHeight="true" outlineLevel="0" collapsed="false">
      <c r="A277" s="63"/>
      <c r="B277" s="64"/>
      <c r="C277" s="64"/>
      <c r="D277" s="64"/>
      <c r="E277" s="64"/>
      <c r="F277" s="64"/>
      <c r="G277" s="64"/>
      <c r="H277" s="64"/>
      <c r="I277" s="64"/>
      <c r="J277" s="71"/>
      <c r="K277" s="66" t="str">
        <f aca="false">IF(J277=TRUE(),A277&amp;" - "&amp;B277,"")</f>
        <v/>
      </c>
      <c r="L277" s="64"/>
    </row>
    <row r="278" customFormat="false" ht="14.25" hidden="false" customHeight="true" outlineLevel="0" collapsed="false">
      <c r="A278" s="63"/>
      <c r="B278" s="64"/>
      <c r="C278" s="64"/>
      <c r="D278" s="64"/>
      <c r="E278" s="64"/>
      <c r="F278" s="64"/>
      <c r="G278" s="64"/>
      <c r="H278" s="64"/>
      <c r="I278" s="64"/>
      <c r="J278" s="71"/>
      <c r="K278" s="66" t="str">
        <f aca="false">IF(J278=TRUE(),A278&amp;" - "&amp;B278,"")</f>
        <v/>
      </c>
      <c r="L278" s="64"/>
    </row>
    <row r="279" customFormat="false" ht="14.25" hidden="false" customHeight="true" outlineLevel="0" collapsed="false">
      <c r="A279" s="63"/>
      <c r="B279" s="64"/>
      <c r="C279" s="64"/>
      <c r="D279" s="64"/>
      <c r="E279" s="64"/>
      <c r="F279" s="64"/>
      <c r="G279" s="64"/>
      <c r="H279" s="64"/>
      <c r="I279" s="64"/>
      <c r="J279" s="71"/>
      <c r="K279" s="66" t="str">
        <f aca="false">IF(J279=TRUE(),A279&amp;" - "&amp;B279,"")</f>
        <v/>
      </c>
      <c r="L279" s="64"/>
    </row>
    <row r="280" customFormat="false" ht="14.25" hidden="false" customHeight="true" outlineLevel="0" collapsed="false">
      <c r="A280" s="63"/>
      <c r="B280" s="64"/>
      <c r="C280" s="64"/>
      <c r="D280" s="64"/>
      <c r="E280" s="64"/>
      <c r="F280" s="64"/>
      <c r="G280" s="64"/>
      <c r="H280" s="64"/>
      <c r="I280" s="64"/>
      <c r="J280" s="71"/>
      <c r="K280" s="66" t="str">
        <f aca="false">IF(J280=TRUE(),A280&amp;" - "&amp;B280,"")</f>
        <v/>
      </c>
      <c r="L280" s="64"/>
    </row>
    <row r="281" customFormat="false" ht="14.25" hidden="false" customHeight="true" outlineLevel="0" collapsed="false">
      <c r="A281" s="63"/>
      <c r="B281" s="64"/>
      <c r="C281" s="64"/>
      <c r="D281" s="64"/>
      <c r="E281" s="64"/>
      <c r="F281" s="64"/>
      <c r="G281" s="64"/>
      <c r="H281" s="64"/>
      <c r="I281" s="64"/>
      <c r="J281" s="71"/>
      <c r="K281" s="66" t="str">
        <f aca="false">IF(J281=TRUE(),A281&amp;" - "&amp;B281,"")</f>
        <v/>
      </c>
      <c r="L281" s="64"/>
    </row>
    <row r="282" customFormat="false" ht="14.25" hidden="false" customHeight="true" outlineLevel="0" collapsed="false">
      <c r="A282" s="63"/>
      <c r="B282" s="64"/>
      <c r="C282" s="64"/>
      <c r="D282" s="64"/>
      <c r="E282" s="64"/>
      <c r="F282" s="64"/>
      <c r="G282" s="64"/>
      <c r="H282" s="64"/>
      <c r="I282" s="64"/>
      <c r="J282" s="71"/>
      <c r="K282" s="66" t="str">
        <f aca="false">IF(J282=TRUE(),A282&amp;" - "&amp;B282,"")</f>
        <v/>
      </c>
      <c r="L282" s="64"/>
    </row>
    <row r="283" customFormat="false" ht="14.25" hidden="false" customHeight="true" outlineLevel="0" collapsed="false">
      <c r="A283" s="63"/>
      <c r="B283" s="64"/>
      <c r="C283" s="64"/>
      <c r="D283" s="64"/>
      <c r="E283" s="64"/>
      <c r="F283" s="64"/>
      <c r="G283" s="64"/>
      <c r="H283" s="64"/>
      <c r="I283" s="64"/>
      <c r="J283" s="71"/>
      <c r="K283" s="66" t="str">
        <f aca="false">IF(J283=TRUE(),A283&amp;" - "&amp;B283,"")</f>
        <v/>
      </c>
      <c r="L283" s="64"/>
    </row>
    <row r="284" customFormat="false" ht="14.25" hidden="false" customHeight="true" outlineLevel="0" collapsed="false">
      <c r="A284" s="63"/>
      <c r="B284" s="64"/>
      <c r="C284" s="64"/>
      <c r="D284" s="64"/>
      <c r="E284" s="64"/>
      <c r="F284" s="64"/>
      <c r="G284" s="64"/>
      <c r="H284" s="64"/>
      <c r="I284" s="64"/>
      <c r="J284" s="71"/>
      <c r="K284" s="66" t="str">
        <f aca="false">IF(J284=TRUE(),A284&amp;" - "&amp;B284,"")</f>
        <v/>
      </c>
      <c r="L284" s="64"/>
    </row>
    <row r="285" customFormat="false" ht="14.25" hidden="false" customHeight="true" outlineLevel="0" collapsed="false">
      <c r="A285" s="63"/>
      <c r="B285" s="64"/>
      <c r="C285" s="64"/>
      <c r="D285" s="64"/>
      <c r="E285" s="64"/>
      <c r="F285" s="64"/>
      <c r="G285" s="64"/>
      <c r="H285" s="64"/>
      <c r="I285" s="64"/>
      <c r="J285" s="71"/>
      <c r="K285" s="66" t="str">
        <f aca="false">IF(J285=TRUE(),A285&amp;" - "&amp;B285,"")</f>
        <v/>
      </c>
      <c r="L285" s="64"/>
    </row>
    <row r="286" customFormat="false" ht="14.25" hidden="false" customHeight="true" outlineLevel="0" collapsed="false">
      <c r="A286" s="63"/>
      <c r="B286" s="64"/>
      <c r="C286" s="64"/>
      <c r="D286" s="64"/>
      <c r="E286" s="64"/>
      <c r="F286" s="64"/>
      <c r="G286" s="64"/>
      <c r="H286" s="64"/>
      <c r="I286" s="64"/>
      <c r="J286" s="71"/>
      <c r="K286" s="66" t="str">
        <f aca="false">IF(J286=TRUE(),A286&amp;" - "&amp;B286,"")</f>
        <v/>
      </c>
      <c r="L286" s="64"/>
    </row>
    <row r="287" customFormat="false" ht="14.25" hidden="false" customHeight="true" outlineLevel="0" collapsed="false">
      <c r="A287" s="63"/>
      <c r="B287" s="64"/>
      <c r="C287" s="64"/>
      <c r="D287" s="64"/>
      <c r="E287" s="64"/>
      <c r="F287" s="64"/>
      <c r="G287" s="64"/>
      <c r="H287" s="64"/>
      <c r="I287" s="64"/>
      <c r="J287" s="71"/>
      <c r="K287" s="66" t="str">
        <f aca="false">IF(J287=TRUE(),A287&amp;" - "&amp;B287,"")</f>
        <v/>
      </c>
      <c r="L287" s="64"/>
    </row>
    <row r="288" customFormat="false" ht="14.25" hidden="false" customHeight="true" outlineLevel="0" collapsed="false">
      <c r="A288" s="63"/>
      <c r="B288" s="64"/>
      <c r="C288" s="64"/>
      <c r="D288" s="64"/>
      <c r="E288" s="64"/>
      <c r="F288" s="64"/>
      <c r="G288" s="64"/>
      <c r="H288" s="64"/>
      <c r="I288" s="64"/>
      <c r="J288" s="71"/>
      <c r="K288" s="66" t="str">
        <f aca="false">IF(J288=TRUE(),A288&amp;" - "&amp;B288,"")</f>
        <v/>
      </c>
      <c r="L288" s="64"/>
    </row>
    <row r="289" customFormat="false" ht="14.25" hidden="false" customHeight="true" outlineLevel="0" collapsed="false">
      <c r="A289" s="63"/>
      <c r="B289" s="64"/>
      <c r="C289" s="64"/>
      <c r="D289" s="64"/>
      <c r="E289" s="64"/>
      <c r="F289" s="64"/>
      <c r="G289" s="64"/>
      <c r="H289" s="64"/>
      <c r="I289" s="64"/>
      <c r="J289" s="71"/>
      <c r="K289" s="66" t="str">
        <f aca="false">IF(J289=TRUE(),A289&amp;" - "&amp;B289,"")</f>
        <v/>
      </c>
      <c r="L289" s="64"/>
    </row>
    <row r="290" customFormat="false" ht="14.25" hidden="false" customHeight="true" outlineLevel="0" collapsed="false">
      <c r="A290" s="63"/>
      <c r="B290" s="64"/>
      <c r="C290" s="64"/>
      <c r="D290" s="64"/>
      <c r="E290" s="64"/>
      <c r="F290" s="64"/>
      <c r="G290" s="64"/>
      <c r="H290" s="64"/>
      <c r="I290" s="64"/>
      <c r="J290" s="71"/>
      <c r="K290" s="66" t="str">
        <f aca="false">IF(J290=TRUE(),A290&amp;" - "&amp;B290,"")</f>
        <v/>
      </c>
      <c r="L290" s="64"/>
    </row>
    <row r="291" customFormat="false" ht="14.25" hidden="false" customHeight="true" outlineLevel="0" collapsed="false">
      <c r="A291" s="63"/>
      <c r="B291" s="64"/>
      <c r="C291" s="64"/>
      <c r="D291" s="64"/>
      <c r="E291" s="64"/>
      <c r="F291" s="64"/>
      <c r="G291" s="64"/>
      <c r="H291" s="64"/>
      <c r="I291" s="64"/>
      <c r="J291" s="71"/>
      <c r="K291" s="66" t="str">
        <f aca="false">IF(J291=TRUE(),A291&amp;" - "&amp;B291,"")</f>
        <v/>
      </c>
      <c r="L291" s="64"/>
    </row>
    <row r="292" customFormat="false" ht="14.25" hidden="false" customHeight="true" outlineLevel="0" collapsed="false">
      <c r="A292" s="63"/>
      <c r="B292" s="64"/>
      <c r="C292" s="64"/>
      <c r="D292" s="64"/>
      <c r="E292" s="64"/>
      <c r="F292" s="64"/>
      <c r="G292" s="64"/>
      <c r="H292" s="64"/>
      <c r="I292" s="64"/>
      <c r="J292" s="71"/>
      <c r="K292" s="66" t="str">
        <f aca="false">IF(J292=TRUE(),A292&amp;" - "&amp;B292,"")</f>
        <v/>
      </c>
      <c r="L292" s="64"/>
    </row>
    <row r="293" customFormat="false" ht="14.25" hidden="false" customHeight="true" outlineLevel="0" collapsed="false">
      <c r="A293" s="63"/>
      <c r="B293" s="64"/>
      <c r="C293" s="64"/>
      <c r="D293" s="64"/>
      <c r="E293" s="64"/>
      <c r="F293" s="64"/>
      <c r="G293" s="64"/>
      <c r="H293" s="64"/>
      <c r="I293" s="64"/>
      <c r="J293" s="71"/>
      <c r="K293" s="66" t="str">
        <f aca="false">IF(J293=TRUE(),A293&amp;" - "&amp;B293,"")</f>
        <v/>
      </c>
      <c r="L293" s="64"/>
    </row>
    <row r="294" customFormat="false" ht="14.25" hidden="false" customHeight="true" outlineLevel="0" collapsed="false">
      <c r="A294" s="63"/>
      <c r="B294" s="64"/>
      <c r="C294" s="64"/>
      <c r="D294" s="64"/>
      <c r="E294" s="64"/>
      <c r="F294" s="64"/>
      <c r="G294" s="64"/>
      <c r="H294" s="64"/>
      <c r="I294" s="64"/>
      <c r="J294" s="71"/>
      <c r="K294" s="66" t="str">
        <f aca="false">IF(J294=TRUE(),A294&amp;" - "&amp;B294,"")</f>
        <v/>
      </c>
      <c r="L294" s="64"/>
    </row>
    <row r="295" customFormat="false" ht="14.25" hidden="false" customHeight="true" outlineLevel="0" collapsed="false">
      <c r="A295" s="63"/>
      <c r="B295" s="64"/>
      <c r="C295" s="64"/>
      <c r="D295" s="64"/>
      <c r="E295" s="64"/>
      <c r="F295" s="64"/>
      <c r="G295" s="64"/>
      <c r="H295" s="64"/>
      <c r="I295" s="64"/>
      <c r="J295" s="71"/>
      <c r="K295" s="66" t="str">
        <f aca="false">IF(J295=TRUE(),A295&amp;" - "&amp;B295,"")</f>
        <v/>
      </c>
      <c r="L295" s="64"/>
    </row>
    <row r="296" customFormat="false" ht="14.25" hidden="false" customHeight="true" outlineLevel="0" collapsed="false">
      <c r="A296" s="63"/>
      <c r="B296" s="64"/>
      <c r="C296" s="64"/>
      <c r="D296" s="64"/>
      <c r="E296" s="64"/>
      <c r="F296" s="64"/>
      <c r="G296" s="64"/>
      <c r="H296" s="64"/>
      <c r="I296" s="64"/>
      <c r="J296" s="71"/>
      <c r="K296" s="66" t="str">
        <f aca="false">IF(J296=TRUE(),A296&amp;" - "&amp;B296,"")</f>
        <v/>
      </c>
      <c r="L296" s="64"/>
    </row>
    <row r="297" customFormat="false" ht="14.25" hidden="false" customHeight="true" outlineLevel="0" collapsed="false">
      <c r="A297" s="63"/>
      <c r="B297" s="64"/>
      <c r="C297" s="64"/>
      <c r="D297" s="64"/>
      <c r="E297" s="64"/>
      <c r="F297" s="64"/>
      <c r="G297" s="64"/>
      <c r="H297" s="64"/>
      <c r="I297" s="64"/>
      <c r="J297" s="71"/>
      <c r="K297" s="66" t="str">
        <f aca="false">IF(J297=TRUE(),A297&amp;" - "&amp;B297,"")</f>
        <v/>
      </c>
      <c r="L297" s="64"/>
    </row>
    <row r="298" customFormat="false" ht="14.25" hidden="false" customHeight="true" outlineLevel="0" collapsed="false">
      <c r="A298" s="63"/>
      <c r="B298" s="64"/>
      <c r="C298" s="64"/>
      <c r="D298" s="64"/>
      <c r="E298" s="64"/>
      <c r="F298" s="64"/>
      <c r="G298" s="64"/>
      <c r="H298" s="64"/>
      <c r="I298" s="64"/>
      <c r="J298" s="71"/>
      <c r="K298" s="66" t="str">
        <f aca="false">IF(J298=TRUE(),A298&amp;" - "&amp;B298,"")</f>
        <v/>
      </c>
      <c r="L298" s="64"/>
    </row>
    <row r="299" customFormat="false" ht="14.25" hidden="false" customHeight="true" outlineLevel="0" collapsed="false">
      <c r="A299" s="63"/>
      <c r="B299" s="64"/>
      <c r="C299" s="64"/>
      <c r="D299" s="64"/>
      <c r="E299" s="64"/>
      <c r="F299" s="64"/>
      <c r="G299" s="64"/>
      <c r="H299" s="64"/>
      <c r="I299" s="64"/>
      <c r="J299" s="71"/>
      <c r="K299" s="66" t="str">
        <f aca="false">IF(J299=TRUE(),A299&amp;" - "&amp;B299,"")</f>
        <v/>
      </c>
      <c r="L299" s="64"/>
    </row>
    <row r="300" customFormat="false" ht="14.25" hidden="false" customHeight="true" outlineLevel="0" collapsed="false">
      <c r="A300" s="63"/>
      <c r="B300" s="64"/>
      <c r="C300" s="64"/>
      <c r="D300" s="64"/>
      <c r="E300" s="64"/>
      <c r="F300" s="64"/>
      <c r="G300" s="64"/>
      <c r="H300" s="64"/>
      <c r="I300" s="64"/>
      <c r="J300" s="71"/>
      <c r="K300" s="66" t="str">
        <f aca="false">IF(J300=TRUE(),A300&amp;" - "&amp;B300,"")</f>
        <v/>
      </c>
      <c r="L300" s="64"/>
    </row>
    <row r="301" customFormat="false" ht="14.25" hidden="false" customHeight="true" outlineLevel="0" collapsed="false">
      <c r="A301" s="63"/>
      <c r="B301" s="64"/>
      <c r="C301" s="64"/>
      <c r="D301" s="64"/>
      <c r="E301" s="64"/>
      <c r="F301" s="64"/>
      <c r="G301" s="64"/>
      <c r="H301" s="64"/>
      <c r="I301" s="64"/>
      <c r="J301" s="71"/>
      <c r="K301" s="66" t="str">
        <f aca="false">IF(J301=TRUE(),A301&amp;" - "&amp;B301,"")</f>
        <v/>
      </c>
      <c r="L301" s="64"/>
    </row>
    <row r="302" customFormat="false" ht="14.25" hidden="false" customHeight="true" outlineLevel="0" collapsed="false">
      <c r="A302" s="63"/>
      <c r="B302" s="64"/>
      <c r="C302" s="64"/>
      <c r="D302" s="64"/>
      <c r="E302" s="64"/>
      <c r="F302" s="64"/>
      <c r="G302" s="64"/>
      <c r="H302" s="64"/>
      <c r="I302" s="64"/>
      <c r="J302" s="71"/>
      <c r="K302" s="66" t="str">
        <f aca="false">IF(J302=TRUE(),A302&amp;" - "&amp;B302,"")</f>
        <v/>
      </c>
      <c r="L302" s="64"/>
    </row>
    <row r="303" customFormat="false" ht="14.25" hidden="false" customHeight="true" outlineLevel="0" collapsed="false">
      <c r="A303" s="63"/>
      <c r="B303" s="64"/>
      <c r="C303" s="64"/>
      <c r="D303" s="64"/>
      <c r="E303" s="64"/>
      <c r="F303" s="64"/>
      <c r="G303" s="64"/>
      <c r="H303" s="64"/>
      <c r="I303" s="64"/>
      <c r="J303" s="71"/>
      <c r="K303" s="66" t="str">
        <f aca="false">IF(J303=TRUE(),A303&amp;" - "&amp;B303,"")</f>
        <v/>
      </c>
      <c r="L303" s="64"/>
    </row>
    <row r="304" customFormat="false" ht="14.25" hidden="false" customHeight="true" outlineLevel="0" collapsed="false">
      <c r="A304" s="63"/>
      <c r="B304" s="64"/>
      <c r="C304" s="64"/>
      <c r="D304" s="64"/>
      <c r="E304" s="64"/>
      <c r="F304" s="64"/>
      <c r="G304" s="64"/>
      <c r="H304" s="64"/>
      <c r="I304" s="64"/>
      <c r="J304" s="71"/>
      <c r="K304" s="66" t="str">
        <f aca="false">IF(J304=TRUE(),A304&amp;" - "&amp;B304,"")</f>
        <v/>
      </c>
      <c r="L304" s="64"/>
    </row>
    <row r="305" customFormat="false" ht="14.25" hidden="false" customHeight="true" outlineLevel="0" collapsed="false">
      <c r="A305" s="63"/>
      <c r="B305" s="64"/>
      <c r="C305" s="64"/>
      <c r="D305" s="64"/>
      <c r="E305" s="64"/>
      <c r="F305" s="64"/>
      <c r="G305" s="64"/>
      <c r="H305" s="64"/>
      <c r="I305" s="64"/>
      <c r="J305" s="71"/>
      <c r="K305" s="66" t="str">
        <f aca="false">IF(J305=TRUE(),A305&amp;" - "&amp;B305,"")</f>
        <v/>
      </c>
      <c r="L305" s="64"/>
    </row>
    <row r="306" customFormat="false" ht="14.25" hidden="false" customHeight="true" outlineLevel="0" collapsed="false">
      <c r="A306" s="63"/>
      <c r="B306" s="64"/>
      <c r="C306" s="64"/>
      <c r="D306" s="64"/>
      <c r="E306" s="64"/>
      <c r="F306" s="64"/>
      <c r="G306" s="64"/>
      <c r="H306" s="64"/>
      <c r="I306" s="64"/>
      <c r="J306" s="71"/>
      <c r="K306" s="66" t="str">
        <f aca="false">IF(J306=TRUE(),A306&amp;" - "&amp;B306,"")</f>
        <v/>
      </c>
      <c r="L306" s="64"/>
    </row>
    <row r="307" customFormat="false" ht="14.25" hidden="false" customHeight="true" outlineLevel="0" collapsed="false">
      <c r="A307" s="63"/>
      <c r="B307" s="64"/>
      <c r="C307" s="64"/>
      <c r="D307" s="64"/>
      <c r="E307" s="64"/>
      <c r="F307" s="64"/>
      <c r="G307" s="64"/>
      <c r="H307" s="64"/>
      <c r="I307" s="64"/>
      <c r="J307" s="71"/>
      <c r="K307" s="66" t="str">
        <f aca="false">IF(J307=TRUE(),A307&amp;" - "&amp;B307,"")</f>
        <v/>
      </c>
      <c r="L307" s="64"/>
    </row>
    <row r="308" customFormat="false" ht="14.25" hidden="false" customHeight="true" outlineLevel="0" collapsed="false">
      <c r="A308" s="63"/>
      <c r="B308" s="64"/>
      <c r="C308" s="64"/>
      <c r="D308" s="64"/>
      <c r="E308" s="64"/>
      <c r="F308" s="64"/>
      <c r="G308" s="64"/>
      <c r="H308" s="64"/>
      <c r="I308" s="64"/>
      <c r="J308" s="71"/>
      <c r="K308" s="66" t="str">
        <f aca="false">IF(J308=TRUE(),A308&amp;" - "&amp;B308,"")</f>
        <v/>
      </c>
      <c r="L308" s="64"/>
    </row>
    <row r="309" customFormat="false" ht="14.25" hidden="false" customHeight="true" outlineLevel="0" collapsed="false">
      <c r="A309" s="63"/>
      <c r="B309" s="64"/>
      <c r="C309" s="64"/>
      <c r="D309" s="64"/>
      <c r="E309" s="64"/>
      <c r="F309" s="64"/>
      <c r="G309" s="64"/>
      <c r="H309" s="64"/>
      <c r="I309" s="64"/>
      <c r="J309" s="71"/>
      <c r="K309" s="66" t="str">
        <f aca="false">IF(J309=TRUE(),A309&amp;" - "&amp;B309,"")</f>
        <v/>
      </c>
      <c r="L309" s="64"/>
    </row>
    <row r="310" customFormat="false" ht="14.25" hidden="false" customHeight="true" outlineLevel="0" collapsed="false">
      <c r="A310" s="63"/>
      <c r="B310" s="64"/>
      <c r="C310" s="64"/>
      <c r="D310" s="64"/>
      <c r="E310" s="64"/>
      <c r="F310" s="64"/>
      <c r="G310" s="64"/>
      <c r="H310" s="64"/>
      <c r="I310" s="64"/>
      <c r="J310" s="71"/>
      <c r="K310" s="66" t="str">
        <f aca="false">IF(J310=TRUE(),A310&amp;" - "&amp;B310,"")</f>
        <v/>
      </c>
      <c r="L310" s="64"/>
    </row>
    <row r="311" customFormat="false" ht="14.25" hidden="false" customHeight="true" outlineLevel="0" collapsed="false">
      <c r="A311" s="63"/>
      <c r="B311" s="64"/>
      <c r="C311" s="64"/>
      <c r="D311" s="64"/>
      <c r="E311" s="64"/>
      <c r="F311" s="64"/>
      <c r="G311" s="64"/>
      <c r="H311" s="64"/>
      <c r="I311" s="64"/>
      <c r="J311" s="71"/>
      <c r="K311" s="66" t="str">
        <f aca="false">IF(J311=TRUE(),A311&amp;" - "&amp;B311,"")</f>
        <v/>
      </c>
      <c r="L311" s="64"/>
    </row>
    <row r="312" customFormat="false" ht="14.25" hidden="false" customHeight="true" outlineLevel="0" collapsed="false">
      <c r="A312" s="63"/>
      <c r="B312" s="64"/>
      <c r="C312" s="64"/>
      <c r="D312" s="64"/>
      <c r="E312" s="64"/>
      <c r="F312" s="64"/>
      <c r="G312" s="64"/>
      <c r="H312" s="64"/>
      <c r="I312" s="64"/>
      <c r="J312" s="71"/>
      <c r="K312" s="66" t="str">
        <f aca="false">IF(J312=TRUE(),A312&amp;" - "&amp;B312,"")</f>
        <v/>
      </c>
      <c r="L312" s="64"/>
    </row>
    <row r="313" customFormat="false" ht="14.25" hidden="false" customHeight="true" outlineLevel="0" collapsed="false">
      <c r="A313" s="63"/>
      <c r="B313" s="64"/>
      <c r="C313" s="64"/>
      <c r="D313" s="64"/>
      <c r="E313" s="64"/>
      <c r="F313" s="64"/>
      <c r="G313" s="64"/>
      <c r="H313" s="64"/>
      <c r="I313" s="64"/>
      <c r="J313" s="71"/>
      <c r="K313" s="66" t="str">
        <f aca="false">IF(J313=TRUE(),A313&amp;" - "&amp;B313,"")</f>
        <v/>
      </c>
      <c r="L313" s="64"/>
    </row>
    <row r="314" customFormat="false" ht="14.25" hidden="false" customHeight="true" outlineLevel="0" collapsed="false">
      <c r="A314" s="63"/>
      <c r="B314" s="64"/>
      <c r="C314" s="64"/>
      <c r="D314" s="64"/>
      <c r="E314" s="64"/>
      <c r="F314" s="64"/>
      <c r="G314" s="64"/>
      <c r="H314" s="64"/>
      <c r="I314" s="64"/>
      <c r="J314" s="71"/>
      <c r="K314" s="66" t="str">
        <f aca="false">IF(J314=TRUE(),A314&amp;" - "&amp;B314,"")</f>
        <v/>
      </c>
      <c r="L314" s="64"/>
    </row>
    <row r="315" customFormat="false" ht="14.25" hidden="false" customHeight="true" outlineLevel="0" collapsed="false">
      <c r="A315" s="63"/>
      <c r="B315" s="64"/>
      <c r="C315" s="64"/>
      <c r="D315" s="64"/>
      <c r="E315" s="64"/>
      <c r="F315" s="64"/>
      <c r="G315" s="64"/>
      <c r="H315" s="64"/>
      <c r="I315" s="64"/>
      <c r="J315" s="71"/>
      <c r="K315" s="66" t="str">
        <f aca="false">IF(J315=TRUE(),A315&amp;" - "&amp;B315,"")</f>
        <v/>
      </c>
      <c r="L315" s="64"/>
    </row>
    <row r="316" customFormat="false" ht="14.25" hidden="false" customHeight="true" outlineLevel="0" collapsed="false">
      <c r="A316" s="63"/>
      <c r="B316" s="64"/>
      <c r="C316" s="64"/>
      <c r="D316" s="64"/>
      <c r="E316" s="64"/>
      <c r="F316" s="64"/>
      <c r="G316" s="64"/>
      <c r="H316" s="64"/>
      <c r="I316" s="64"/>
      <c r="J316" s="71"/>
      <c r="K316" s="66" t="str">
        <f aca="false">IF(J316=TRUE(),A316&amp;" - "&amp;B316,"")</f>
        <v/>
      </c>
      <c r="L316" s="64"/>
    </row>
    <row r="317" customFormat="false" ht="14.25" hidden="false" customHeight="true" outlineLevel="0" collapsed="false">
      <c r="A317" s="63"/>
      <c r="B317" s="64"/>
      <c r="C317" s="64"/>
      <c r="D317" s="64"/>
      <c r="E317" s="64"/>
      <c r="F317" s="64"/>
      <c r="G317" s="64"/>
      <c r="H317" s="64"/>
      <c r="I317" s="64"/>
      <c r="J317" s="71"/>
      <c r="K317" s="66" t="str">
        <f aca="false">IF(J317=TRUE(),A317&amp;" - "&amp;B317,"")</f>
        <v/>
      </c>
      <c r="L317" s="64"/>
    </row>
    <row r="318" customFormat="false" ht="14.25" hidden="false" customHeight="true" outlineLevel="0" collapsed="false">
      <c r="A318" s="63"/>
      <c r="B318" s="64"/>
      <c r="C318" s="64"/>
      <c r="D318" s="64"/>
      <c r="E318" s="64"/>
      <c r="F318" s="64"/>
      <c r="G318" s="64"/>
      <c r="H318" s="64"/>
      <c r="I318" s="64"/>
      <c r="J318" s="71"/>
      <c r="K318" s="66" t="str">
        <f aca="false">IF(J318=TRUE(),A318&amp;" - "&amp;B318,"")</f>
        <v/>
      </c>
      <c r="L318" s="64"/>
    </row>
    <row r="319" customFormat="false" ht="14.25" hidden="false" customHeight="true" outlineLevel="0" collapsed="false">
      <c r="A319" s="63"/>
      <c r="B319" s="64"/>
      <c r="C319" s="64"/>
      <c r="D319" s="64"/>
      <c r="E319" s="64"/>
      <c r="F319" s="64"/>
      <c r="G319" s="64"/>
      <c r="H319" s="64"/>
      <c r="I319" s="64"/>
      <c r="J319" s="71"/>
      <c r="K319" s="66" t="str">
        <f aca="false">IF(J319=TRUE(),A319&amp;" - "&amp;B319,"")</f>
        <v/>
      </c>
      <c r="L319" s="64"/>
    </row>
    <row r="320" customFormat="false" ht="14.25" hidden="false" customHeight="true" outlineLevel="0" collapsed="false">
      <c r="A320" s="63"/>
      <c r="B320" s="64"/>
      <c r="C320" s="64"/>
      <c r="D320" s="64"/>
      <c r="E320" s="64"/>
      <c r="F320" s="64"/>
      <c r="G320" s="64"/>
      <c r="H320" s="64"/>
      <c r="I320" s="64"/>
      <c r="J320" s="71"/>
      <c r="K320" s="66" t="str">
        <f aca="false">IF(J320=TRUE(),A320&amp;" - "&amp;B320,"")</f>
        <v/>
      </c>
      <c r="L320" s="64"/>
    </row>
    <row r="321" customFormat="false" ht="14.25" hidden="false" customHeight="true" outlineLevel="0" collapsed="false">
      <c r="A321" s="63"/>
      <c r="B321" s="64"/>
      <c r="C321" s="64"/>
      <c r="D321" s="64"/>
      <c r="E321" s="64"/>
      <c r="F321" s="64"/>
      <c r="G321" s="64"/>
      <c r="H321" s="64"/>
      <c r="I321" s="64"/>
      <c r="J321" s="71"/>
      <c r="K321" s="66" t="str">
        <f aca="false">IF(J321=TRUE(),A321&amp;" - "&amp;B321,"")</f>
        <v/>
      </c>
      <c r="L321" s="64"/>
    </row>
    <row r="322" customFormat="false" ht="14.25" hidden="false" customHeight="true" outlineLevel="0" collapsed="false">
      <c r="A322" s="63"/>
      <c r="B322" s="64"/>
      <c r="C322" s="64"/>
      <c r="D322" s="64"/>
      <c r="E322" s="64"/>
      <c r="F322" s="64"/>
      <c r="G322" s="64"/>
      <c r="H322" s="64"/>
      <c r="I322" s="64"/>
      <c r="J322" s="71"/>
      <c r="K322" s="66" t="str">
        <f aca="false">IF(J322=TRUE(),A322&amp;" - "&amp;B322,"")</f>
        <v/>
      </c>
      <c r="L322" s="64"/>
    </row>
    <row r="323" customFormat="false" ht="14.25" hidden="false" customHeight="true" outlineLevel="0" collapsed="false">
      <c r="A323" s="63"/>
      <c r="B323" s="64"/>
      <c r="C323" s="64"/>
      <c r="D323" s="64"/>
      <c r="E323" s="64"/>
      <c r="F323" s="64"/>
      <c r="G323" s="64"/>
      <c r="H323" s="64"/>
      <c r="I323" s="64"/>
      <c r="J323" s="71"/>
      <c r="K323" s="66" t="str">
        <f aca="false">IF(J323=TRUE(),A323&amp;" - "&amp;B323,"")</f>
        <v/>
      </c>
      <c r="L323" s="64"/>
    </row>
    <row r="324" customFormat="false" ht="14.25" hidden="false" customHeight="true" outlineLevel="0" collapsed="false">
      <c r="A324" s="63"/>
      <c r="B324" s="64"/>
      <c r="C324" s="64"/>
      <c r="D324" s="64"/>
      <c r="E324" s="64"/>
      <c r="F324" s="64"/>
      <c r="G324" s="64"/>
      <c r="H324" s="64"/>
      <c r="I324" s="64"/>
      <c r="J324" s="71"/>
      <c r="K324" s="66" t="str">
        <f aca="false">IF(J324=TRUE(),A324&amp;" - "&amp;B324,"")</f>
        <v/>
      </c>
      <c r="L324" s="64"/>
    </row>
    <row r="325" customFormat="false" ht="14.25" hidden="false" customHeight="true" outlineLevel="0" collapsed="false">
      <c r="A325" s="63"/>
      <c r="B325" s="64"/>
      <c r="C325" s="64"/>
      <c r="D325" s="64"/>
      <c r="E325" s="64"/>
      <c r="F325" s="64"/>
      <c r="G325" s="64"/>
      <c r="H325" s="64"/>
      <c r="I325" s="64"/>
      <c r="J325" s="71"/>
      <c r="K325" s="66" t="str">
        <f aca="false">IF(J325=TRUE(),A325&amp;" - "&amp;B325,"")</f>
        <v/>
      </c>
      <c r="L325" s="64"/>
    </row>
    <row r="326" customFormat="false" ht="14.25" hidden="false" customHeight="true" outlineLevel="0" collapsed="false">
      <c r="A326" s="63"/>
      <c r="B326" s="64"/>
      <c r="C326" s="64"/>
      <c r="D326" s="64"/>
      <c r="E326" s="64"/>
      <c r="F326" s="64"/>
      <c r="G326" s="64"/>
      <c r="H326" s="64"/>
      <c r="I326" s="64"/>
      <c r="J326" s="71"/>
      <c r="K326" s="66" t="str">
        <f aca="false">IF(J326=TRUE(),A326&amp;" - "&amp;B326,"")</f>
        <v/>
      </c>
      <c r="L326" s="64"/>
    </row>
    <row r="327" customFormat="false" ht="14.25" hidden="false" customHeight="true" outlineLevel="0" collapsed="false">
      <c r="A327" s="63"/>
      <c r="B327" s="64"/>
      <c r="C327" s="64"/>
      <c r="D327" s="64"/>
      <c r="E327" s="64"/>
      <c r="F327" s="64"/>
      <c r="G327" s="64"/>
      <c r="H327" s="64"/>
      <c r="I327" s="64"/>
      <c r="J327" s="71"/>
      <c r="K327" s="66" t="str">
        <f aca="false">IF(J327=TRUE(),A327&amp;" - "&amp;B327,"")</f>
        <v/>
      </c>
      <c r="L327" s="64"/>
    </row>
    <row r="328" customFormat="false" ht="14.25" hidden="false" customHeight="true" outlineLevel="0" collapsed="false">
      <c r="A328" s="63"/>
      <c r="B328" s="64"/>
      <c r="C328" s="64"/>
      <c r="D328" s="64"/>
      <c r="E328" s="64"/>
      <c r="F328" s="64"/>
      <c r="G328" s="64"/>
      <c r="H328" s="64"/>
      <c r="I328" s="64"/>
      <c r="J328" s="71"/>
      <c r="K328" s="66" t="str">
        <f aca="false">IF(J328=TRUE(),A328&amp;" - "&amp;B328,"")</f>
        <v/>
      </c>
      <c r="L328" s="64"/>
    </row>
    <row r="329" customFormat="false" ht="14.25" hidden="false" customHeight="true" outlineLevel="0" collapsed="false">
      <c r="A329" s="63"/>
      <c r="B329" s="64"/>
      <c r="C329" s="64"/>
      <c r="D329" s="64"/>
      <c r="E329" s="64"/>
      <c r="F329" s="64"/>
      <c r="G329" s="64"/>
      <c r="H329" s="64"/>
      <c r="I329" s="64"/>
      <c r="J329" s="71"/>
      <c r="K329" s="66" t="str">
        <f aca="false">IF(J329=TRUE(),A329&amp;" - "&amp;B329,"")</f>
        <v/>
      </c>
      <c r="L329" s="64"/>
    </row>
    <row r="330" customFormat="false" ht="14.25" hidden="false" customHeight="true" outlineLevel="0" collapsed="false">
      <c r="A330" s="63"/>
      <c r="B330" s="64"/>
      <c r="C330" s="64"/>
      <c r="D330" s="64"/>
      <c r="E330" s="64"/>
      <c r="F330" s="64"/>
      <c r="G330" s="64"/>
      <c r="H330" s="64"/>
      <c r="I330" s="64"/>
      <c r="J330" s="71"/>
      <c r="K330" s="66" t="str">
        <f aca="false">IF(J330=TRUE(),A330&amp;" - "&amp;B330,"")</f>
        <v/>
      </c>
      <c r="L330" s="64"/>
    </row>
    <row r="331" customFormat="false" ht="14.25" hidden="false" customHeight="true" outlineLevel="0" collapsed="false">
      <c r="A331" s="63"/>
      <c r="B331" s="64"/>
      <c r="C331" s="64"/>
      <c r="D331" s="64"/>
      <c r="E331" s="64"/>
      <c r="F331" s="64"/>
      <c r="G331" s="64"/>
      <c r="H331" s="64"/>
      <c r="I331" s="64"/>
      <c r="J331" s="71"/>
      <c r="K331" s="66" t="str">
        <f aca="false">IF(J331=TRUE(),A331&amp;" - "&amp;B331,"")</f>
        <v/>
      </c>
      <c r="L331" s="64"/>
    </row>
    <row r="332" customFormat="false" ht="14.25" hidden="false" customHeight="true" outlineLevel="0" collapsed="false">
      <c r="A332" s="63"/>
      <c r="B332" s="64"/>
      <c r="C332" s="64"/>
      <c r="D332" s="64"/>
      <c r="E332" s="64"/>
      <c r="F332" s="64"/>
      <c r="G332" s="64"/>
      <c r="H332" s="64"/>
      <c r="I332" s="64"/>
      <c r="J332" s="71"/>
      <c r="K332" s="66" t="str">
        <f aca="false">IF(J332=TRUE(),A332&amp;" - "&amp;B332,"")</f>
        <v/>
      </c>
      <c r="L332" s="64"/>
    </row>
    <row r="333" customFormat="false" ht="14.25" hidden="false" customHeight="true" outlineLevel="0" collapsed="false">
      <c r="A333" s="63"/>
      <c r="B333" s="64"/>
      <c r="C333" s="64"/>
      <c r="D333" s="64"/>
      <c r="E333" s="64"/>
      <c r="F333" s="64"/>
      <c r="G333" s="64"/>
      <c r="H333" s="64"/>
      <c r="I333" s="64"/>
      <c r="J333" s="71"/>
      <c r="K333" s="66" t="str">
        <f aca="false">IF(J333=TRUE(),A333&amp;" - "&amp;B333,"")</f>
        <v/>
      </c>
      <c r="L333" s="64"/>
    </row>
    <row r="334" customFormat="false" ht="14.25" hidden="false" customHeight="true" outlineLevel="0" collapsed="false">
      <c r="A334" s="63"/>
      <c r="B334" s="64"/>
      <c r="C334" s="64"/>
      <c r="D334" s="64"/>
      <c r="E334" s="64"/>
      <c r="F334" s="64"/>
      <c r="G334" s="64"/>
      <c r="H334" s="64"/>
      <c r="I334" s="64"/>
      <c r="J334" s="71"/>
      <c r="K334" s="66" t="str">
        <f aca="false">IF(J334=TRUE(),A334&amp;" - "&amp;B334,"")</f>
        <v/>
      </c>
      <c r="L334" s="64"/>
    </row>
    <row r="335" customFormat="false" ht="14.25" hidden="false" customHeight="true" outlineLevel="0" collapsed="false">
      <c r="A335" s="63"/>
      <c r="B335" s="64"/>
      <c r="C335" s="64"/>
      <c r="D335" s="64"/>
      <c r="E335" s="64"/>
      <c r="F335" s="64"/>
      <c r="G335" s="64"/>
      <c r="H335" s="64"/>
      <c r="I335" s="64"/>
      <c r="J335" s="71"/>
      <c r="K335" s="66" t="str">
        <f aca="false">IF(J335=TRUE(),A335&amp;" - "&amp;B335,"")</f>
        <v/>
      </c>
      <c r="L335" s="64"/>
    </row>
    <row r="336" customFormat="false" ht="14.25" hidden="false" customHeight="true" outlineLevel="0" collapsed="false">
      <c r="A336" s="63"/>
      <c r="B336" s="64"/>
      <c r="C336" s="64"/>
      <c r="D336" s="64"/>
      <c r="E336" s="64"/>
      <c r="F336" s="64"/>
      <c r="G336" s="64"/>
      <c r="H336" s="64"/>
      <c r="I336" s="64"/>
      <c r="J336" s="71"/>
      <c r="K336" s="66" t="str">
        <f aca="false">IF(J336=TRUE(),A336&amp;" - "&amp;B336,"")</f>
        <v/>
      </c>
      <c r="L336" s="64"/>
    </row>
    <row r="337" customFormat="false" ht="14.25" hidden="false" customHeight="true" outlineLevel="0" collapsed="false">
      <c r="A337" s="63"/>
      <c r="B337" s="64"/>
      <c r="C337" s="64"/>
      <c r="D337" s="64"/>
      <c r="E337" s="64"/>
      <c r="F337" s="64"/>
      <c r="G337" s="64"/>
      <c r="H337" s="64"/>
      <c r="I337" s="64"/>
      <c r="J337" s="71"/>
      <c r="K337" s="66" t="str">
        <f aca="false">IF(J337=TRUE(),A337&amp;" - "&amp;B337,"")</f>
        <v/>
      </c>
      <c r="L337" s="64"/>
    </row>
    <row r="338" customFormat="false" ht="14.25" hidden="false" customHeight="true" outlineLevel="0" collapsed="false">
      <c r="A338" s="63"/>
      <c r="B338" s="64"/>
      <c r="C338" s="64"/>
      <c r="D338" s="64"/>
      <c r="E338" s="64"/>
      <c r="F338" s="64"/>
      <c r="G338" s="64"/>
      <c r="H338" s="64"/>
      <c r="I338" s="64"/>
      <c r="J338" s="71"/>
      <c r="K338" s="66" t="str">
        <f aca="false">IF(J338=TRUE(),A338&amp;" - "&amp;B338,"")</f>
        <v/>
      </c>
      <c r="L338" s="64"/>
    </row>
    <row r="339" customFormat="false" ht="14.25" hidden="false" customHeight="true" outlineLevel="0" collapsed="false">
      <c r="A339" s="63"/>
      <c r="B339" s="64"/>
      <c r="C339" s="64"/>
      <c r="D339" s="64"/>
      <c r="E339" s="64"/>
      <c r="F339" s="64"/>
      <c r="G339" s="64"/>
      <c r="H339" s="64"/>
      <c r="I339" s="64"/>
      <c r="J339" s="71"/>
      <c r="K339" s="66" t="str">
        <f aca="false">IF(J339=TRUE(),A339&amp;" - "&amp;B339,"")</f>
        <v/>
      </c>
      <c r="L339" s="64"/>
    </row>
    <row r="340" customFormat="false" ht="14.25" hidden="false" customHeight="true" outlineLevel="0" collapsed="false">
      <c r="A340" s="63"/>
      <c r="B340" s="64"/>
      <c r="C340" s="64"/>
      <c r="D340" s="64"/>
      <c r="E340" s="64"/>
      <c r="F340" s="64"/>
      <c r="G340" s="64"/>
      <c r="H340" s="64"/>
      <c r="I340" s="64"/>
      <c r="J340" s="71"/>
      <c r="K340" s="66" t="str">
        <f aca="false">IF(J340=TRUE(),A340&amp;" - "&amp;B340,"")</f>
        <v/>
      </c>
      <c r="L340" s="64"/>
    </row>
    <row r="341" customFormat="false" ht="14.25" hidden="false" customHeight="true" outlineLevel="0" collapsed="false">
      <c r="A341" s="63"/>
      <c r="B341" s="64"/>
      <c r="C341" s="64"/>
      <c r="D341" s="64"/>
      <c r="E341" s="64"/>
      <c r="F341" s="64"/>
      <c r="G341" s="64"/>
      <c r="H341" s="64"/>
      <c r="I341" s="64"/>
      <c r="J341" s="71"/>
      <c r="K341" s="66" t="str">
        <f aca="false">IF(J341=TRUE(),A341&amp;" - "&amp;B341,"")</f>
        <v/>
      </c>
      <c r="L341" s="64"/>
    </row>
    <row r="342" customFormat="false" ht="14.25" hidden="false" customHeight="true" outlineLevel="0" collapsed="false">
      <c r="A342" s="63"/>
      <c r="B342" s="64"/>
      <c r="C342" s="64"/>
      <c r="D342" s="64"/>
      <c r="E342" s="64"/>
      <c r="F342" s="64"/>
      <c r="G342" s="64"/>
      <c r="H342" s="64"/>
      <c r="I342" s="64"/>
      <c r="J342" s="71"/>
      <c r="K342" s="66" t="str">
        <f aca="false">IF(J342=TRUE(),A342&amp;" - "&amp;B342,"")</f>
        <v/>
      </c>
      <c r="L342" s="64"/>
    </row>
    <row r="343" customFormat="false" ht="14.25" hidden="false" customHeight="true" outlineLevel="0" collapsed="false">
      <c r="A343" s="63"/>
      <c r="B343" s="64"/>
      <c r="C343" s="64"/>
      <c r="D343" s="64"/>
      <c r="E343" s="64"/>
      <c r="F343" s="64"/>
      <c r="G343" s="64"/>
      <c r="H343" s="64"/>
      <c r="I343" s="64"/>
      <c r="J343" s="71"/>
      <c r="K343" s="66" t="str">
        <f aca="false">IF(J343=TRUE(),A343&amp;" - "&amp;B343,"")</f>
        <v/>
      </c>
      <c r="L343" s="64"/>
    </row>
    <row r="344" customFormat="false" ht="14.25" hidden="false" customHeight="true" outlineLevel="0" collapsed="false">
      <c r="A344" s="63"/>
      <c r="B344" s="64"/>
      <c r="C344" s="64"/>
      <c r="D344" s="64"/>
      <c r="E344" s="64"/>
      <c r="F344" s="64"/>
      <c r="G344" s="64"/>
      <c r="H344" s="64"/>
      <c r="I344" s="64"/>
      <c r="J344" s="71"/>
      <c r="K344" s="66" t="str">
        <f aca="false">IF(J344=TRUE(),A344&amp;" - "&amp;B344,"")</f>
        <v/>
      </c>
      <c r="L344" s="64"/>
    </row>
    <row r="345" customFormat="false" ht="14.25" hidden="false" customHeight="true" outlineLevel="0" collapsed="false">
      <c r="A345" s="63"/>
      <c r="B345" s="64"/>
      <c r="C345" s="64"/>
      <c r="D345" s="64"/>
      <c r="E345" s="64"/>
      <c r="F345" s="64"/>
      <c r="G345" s="64"/>
      <c r="H345" s="64"/>
      <c r="I345" s="64"/>
      <c r="J345" s="71"/>
      <c r="K345" s="66" t="str">
        <f aca="false">IF(J345=TRUE(),A345&amp;" - "&amp;B345,"")</f>
        <v/>
      </c>
      <c r="L345" s="64"/>
    </row>
    <row r="346" customFormat="false" ht="14.25" hidden="false" customHeight="true" outlineLevel="0" collapsed="false">
      <c r="A346" s="63"/>
      <c r="B346" s="64"/>
      <c r="C346" s="64"/>
      <c r="D346" s="64"/>
      <c r="E346" s="64"/>
      <c r="F346" s="64"/>
      <c r="G346" s="64"/>
      <c r="H346" s="64"/>
      <c r="I346" s="64"/>
      <c r="J346" s="71"/>
      <c r="K346" s="66" t="str">
        <f aca="false">IF(J346=TRUE(),A346&amp;" - "&amp;B346,"")</f>
        <v/>
      </c>
      <c r="L346" s="64"/>
    </row>
    <row r="347" customFormat="false" ht="14.25" hidden="false" customHeight="true" outlineLevel="0" collapsed="false">
      <c r="A347" s="63"/>
      <c r="B347" s="64"/>
      <c r="C347" s="64"/>
      <c r="D347" s="64"/>
      <c r="E347" s="64"/>
      <c r="F347" s="64"/>
      <c r="G347" s="64"/>
      <c r="H347" s="64"/>
      <c r="I347" s="64"/>
      <c r="J347" s="71"/>
      <c r="K347" s="66" t="str">
        <f aca="false">IF(J347=TRUE(),A347&amp;" - "&amp;B347,"")</f>
        <v/>
      </c>
      <c r="L347" s="64"/>
    </row>
    <row r="348" customFormat="false" ht="14.25" hidden="false" customHeight="true" outlineLevel="0" collapsed="false">
      <c r="A348" s="63"/>
      <c r="B348" s="64"/>
      <c r="C348" s="64"/>
      <c r="D348" s="64"/>
      <c r="E348" s="64"/>
      <c r="F348" s="64"/>
      <c r="G348" s="64"/>
      <c r="H348" s="64"/>
      <c r="I348" s="64"/>
      <c r="J348" s="71"/>
      <c r="K348" s="66" t="str">
        <f aca="false">IF(J348=TRUE(),A348&amp;" - "&amp;B348,"")</f>
        <v/>
      </c>
      <c r="L348" s="64"/>
    </row>
    <row r="349" customFormat="false" ht="14.25" hidden="false" customHeight="true" outlineLevel="0" collapsed="false">
      <c r="A349" s="63"/>
      <c r="B349" s="64"/>
      <c r="C349" s="64"/>
      <c r="D349" s="64"/>
      <c r="E349" s="64"/>
      <c r="F349" s="64"/>
      <c r="G349" s="64"/>
      <c r="H349" s="64"/>
      <c r="I349" s="64"/>
      <c r="J349" s="71"/>
      <c r="K349" s="66" t="str">
        <f aca="false">IF(J349=TRUE(),A349&amp;" - "&amp;B349,"")</f>
        <v/>
      </c>
      <c r="L349" s="64"/>
    </row>
    <row r="350" customFormat="false" ht="14.25" hidden="false" customHeight="true" outlineLevel="0" collapsed="false">
      <c r="A350" s="63"/>
      <c r="B350" s="64"/>
      <c r="C350" s="64"/>
      <c r="D350" s="64"/>
      <c r="E350" s="64"/>
      <c r="F350" s="64"/>
      <c r="G350" s="64"/>
      <c r="H350" s="64"/>
      <c r="I350" s="64"/>
      <c r="J350" s="71"/>
      <c r="K350" s="66" t="str">
        <f aca="false">IF(J350=TRUE(),A350&amp;" - "&amp;B350,"")</f>
        <v/>
      </c>
      <c r="L350" s="64"/>
    </row>
    <row r="351" customFormat="false" ht="14.25" hidden="false" customHeight="true" outlineLevel="0" collapsed="false">
      <c r="A351" s="63"/>
      <c r="B351" s="64"/>
      <c r="C351" s="64"/>
      <c r="D351" s="64"/>
      <c r="E351" s="64"/>
      <c r="F351" s="64"/>
      <c r="G351" s="64"/>
      <c r="H351" s="64"/>
      <c r="I351" s="64"/>
      <c r="J351" s="71"/>
      <c r="K351" s="66" t="str">
        <f aca="false">IF(J351=TRUE(),A351&amp;" - "&amp;B351,"")</f>
        <v/>
      </c>
      <c r="L351" s="64"/>
    </row>
    <row r="352" customFormat="false" ht="14.25" hidden="false" customHeight="true" outlineLevel="0" collapsed="false">
      <c r="A352" s="63"/>
      <c r="B352" s="64"/>
      <c r="C352" s="64"/>
      <c r="D352" s="64"/>
      <c r="E352" s="64"/>
      <c r="F352" s="64"/>
      <c r="G352" s="64"/>
      <c r="H352" s="64"/>
      <c r="I352" s="64"/>
      <c r="J352" s="71"/>
      <c r="K352" s="66" t="str">
        <f aca="false">IF(J352=TRUE(),A352&amp;" - "&amp;B352,"")</f>
        <v/>
      </c>
      <c r="L352" s="64"/>
    </row>
    <row r="353" customFormat="false" ht="14.25" hidden="false" customHeight="true" outlineLevel="0" collapsed="false">
      <c r="A353" s="63"/>
      <c r="B353" s="64"/>
      <c r="C353" s="64"/>
      <c r="D353" s="64"/>
      <c r="E353" s="64"/>
      <c r="F353" s="64"/>
      <c r="G353" s="64"/>
      <c r="H353" s="64"/>
      <c r="I353" s="64"/>
      <c r="J353" s="71"/>
      <c r="K353" s="66" t="str">
        <f aca="false">IF(J353=TRUE(),A353&amp;" - "&amp;B353,"")</f>
        <v/>
      </c>
      <c r="L353" s="64"/>
    </row>
    <row r="354" customFormat="false" ht="14.25" hidden="false" customHeight="true" outlineLevel="0" collapsed="false">
      <c r="A354" s="63"/>
      <c r="B354" s="64"/>
      <c r="C354" s="64"/>
      <c r="D354" s="64"/>
      <c r="E354" s="64"/>
      <c r="F354" s="64"/>
      <c r="G354" s="64"/>
      <c r="H354" s="64"/>
      <c r="I354" s="64"/>
      <c r="J354" s="71"/>
      <c r="K354" s="66" t="str">
        <f aca="false">IF(J354=TRUE(),A354&amp;" - "&amp;B354,"")</f>
        <v/>
      </c>
      <c r="L354" s="64"/>
    </row>
    <row r="355" customFormat="false" ht="14.25" hidden="false" customHeight="true" outlineLevel="0" collapsed="false">
      <c r="A355" s="63"/>
      <c r="B355" s="64"/>
      <c r="C355" s="64"/>
      <c r="D355" s="64"/>
      <c r="E355" s="64"/>
      <c r="F355" s="64"/>
      <c r="G355" s="64"/>
      <c r="H355" s="64"/>
      <c r="I355" s="64"/>
      <c r="J355" s="71"/>
      <c r="K355" s="66" t="str">
        <f aca="false">IF(J355=TRUE(),A355&amp;" - "&amp;B355,"")</f>
        <v/>
      </c>
      <c r="L355" s="64"/>
    </row>
    <row r="356" customFormat="false" ht="14.25" hidden="false" customHeight="true" outlineLevel="0" collapsed="false">
      <c r="A356" s="63"/>
      <c r="B356" s="64"/>
      <c r="C356" s="64"/>
      <c r="D356" s="64"/>
      <c r="E356" s="64"/>
      <c r="F356" s="64"/>
      <c r="G356" s="64"/>
      <c r="H356" s="64"/>
      <c r="I356" s="64"/>
      <c r="J356" s="71"/>
      <c r="K356" s="66" t="str">
        <f aca="false">IF(J356=TRUE(),A356&amp;" - "&amp;B356,"")</f>
        <v/>
      </c>
      <c r="L356" s="64"/>
    </row>
    <row r="357" customFormat="false" ht="14.25" hidden="false" customHeight="true" outlineLevel="0" collapsed="false">
      <c r="A357" s="63"/>
      <c r="B357" s="64"/>
      <c r="C357" s="64"/>
      <c r="D357" s="64"/>
      <c r="E357" s="64"/>
      <c r="F357" s="64"/>
      <c r="G357" s="64"/>
      <c r="H357" s="64"/>
      <c r="I357" s="64"/>
      <c r="J357" s="71"/>
      <c r="K357" s="66" t="str">
        <f aca="false">IF(J357=TRUE(),A357&amp;" - "&amp;B357,"")</f>
        <v/>
      </c>
      <c r="L357" s="64"/>
    </row>
    <row r="358" customFormat="false" ht="14.25" hidden="false" customHeight="true" outlineLevel="0" collapsed="false">
      <c r="A358" s="63"/>
      <c r="B358" s="64"/>
      <c r="C358" s="64"/>
      <c r="D358" s="64"/>
      <c r="E358" s="64"/>
      <c r="F358" s="64"/>
      <c r="G358" s="64"/>
      <c r="H358" s="64"/>
      <c r="I358" s="64"/>
      <c r="J358" s="71"/>
      <c r="K358" s="66" t="str">
        <f aca="false">IF(J358=TRUE(),A358&amp;" - "&amp;B358,"")</f>
        <v/>
      </c>
      <c r="L358" s="64"/>
    </row>
    <row r="359" customFormat="false" ht="14.25" hidden="false" customHeight="true" outlineLevel="0" collapsed="false">
      <c r="A359" s="63"/>
      <c r="B359" s="64"/>
      <c r="C359" s="64"/>
      <c r="D359" s="64"/>
      <c r="E359" s="64"/>
      <c r="F359" s="64"/>
      <c r="G359" s="64"/>
      <c r="H359" s="64"/>
      <c r="I359" s="64"/>
      <c r="J359" s="71"/>
      <c r="K359" s="66" t="str">
        <f aca="false">IF(J359=TRUE(),A359&amp;" - "&amp;B359,"")</f>
        <v/>
      </c>
      <c r="L359" s="64"/>
    </row>
    <row r="360" customFormat="false" ht="14.25" hidden="false" customHeight="true" outlineLevel="0" collapsed="false">
      <c r="A360" s="63"/>
      <c r="B360" s="64"/>
      <c r="C360" s="64"/>
      <c r="D360" s="64"/>
      <c r="E360" s="64"/>
      <c r="F360" s="64"/>
      <c r="G360" s="64"/>
      <c r="H360" s="64"/>
      <c r="I360" s="64"/>
      <c r="J360" s="71"/>
      <c r="K360" s="66" t="str">
        <f aca="false">IF(J360=TRUE(),A360&amp;" - "&amp;B360,"")</f>
        <v/>
      </c>
      <c r="L360" s="64"/>
    </row>
    <row r="361" customFormat="false" ht="14.25" hidden="false" customHeight="true" outlineLevel="0" collapsed="false">
      <c r="A361" s="63"/>
      <c r="B361" s="64"/>
      <c r="C361" s="64"/>
      <c r="D361" s="64"/>
      <c r="E361" s="64"/>
      <c r="F361" s="64"/>
      <c r="G361" s="64"/>
      <c r="H361" s="64"/>
      <c r="I361" s="64"/>
      <c r="J361" s="71"/>
      <c r="K361" s="66" t="str">
        <f aca="false">IF(J361=TRUE(),A361&amp;" - "&amp;B361,"")</f>
        <v/>
      </c>
      <c r="L361" s="64"/>
    </row>
    <row r="362" customFormat="false" ht="14.25" hidden="false" customHeight="true" outlineLevel="0" collapsed="false">
      <c r="A362" s="63"/>
      <c r="B362" s="64"/>
      <c r="C362" s="64"/>
      <c r="D362" s="64"/>
      <c r="E362" s="64"/>
      <c r="F362" s="64"/>
      <c r="G362" s="64"/>
      <c r="H362" s="64"/>
      <c r="I362" s="64"/>
      <c r="J362" s="71"/>
      <c r="K362" s="66" t="str">
        <f aca="false">IF(J362=TRUE(),A362&amp;" - "&amp;B362,"")</f>
        <v/>
      </c>
      <c r="L362" s="64"/>
    </row>
    <row r="363" customFormat="false" ht="14.25" hidden="false" customHeight="true" outlineLevel="0" collapsed="false">
      <c r="A363" s="63"/>
      <c r="B363" s="64"/>
      <c r="C363" s="64"/>
      <c r="D363" s="64"/>
      <c r="E363" s="64"/>
      <c r="F363" s="64"/>
      <c r="G363" s="64"/>
      <c r="H363" s="64"/>
      <c r="I363" s="64"/>
      <c r="J363" s="71"/>
      <c r="K363" s="66" t="str">
        <f aca="false">IF(J363=TRUE(),A363&amp;" - "&amp;B363,"")</f>
        <v/>
      </c>
      <c r="L363" s="64"/>
    </row>
    <row r="364" customFormat="false" ht="14.25" hidden="false" customHeight="true" outlineLevel="0" collapsed="false">
      <c r="A364" s="63"/>
      <c r="B364" s="64"/>
      <c r="C364" s="64"/>
      <c r="D364" s="64"/>
      <c r="E364" s="64"/>
      <c r="F364" s="64"/>
      <c r="G364" s="64"/>
      <c r="H364" s="64"/>
      <c r="I364" s="64"/>
      <c r="J364" s="71"/>
      <c r="K364" s="66" t="str">
        <f aca="false">IF(J364=TRUE(),A364&amp;" - "&amp;B364,"")</f>
        <v/>
      </c>
      <c r="L364" s="64"/>
    </row>
    <row r="365" customFormat="false" ht="14.25" hidden="false" customHeight="true" outlineLevel="0" collapsed="false">
      <c r="A365" s="63"/>
      <c r="B365" s="64"/>
      <c r="C365" s="64"/>
      <c r="D365" s="64"/>
      <c r="E365" s="64"/>
      <c r="F365" s="64"/>
      <c r="G365" s="64"/>
      <c r="H365" s="64"/>
      <c r="I365" s="64"/>
      <c r="J365" s="71"/>
      <c r="K365" s="66" t="str">
        <f aca="false">IF(J365=TRUE(),A365&amp;" - "&amp;B365,"")</f>
        <v/>
      </c>
      <c r="L365" s="64"/>
    </row>
    <row r="366" customFormat="false" ht="14.25" hidden="false" customHeight="true" outlineLevel="0" collapsed="false">
      <c r="A366" s="63"/>
      <c r="B366" s="64"/>
      <c r="C366" s="64"/>
      <c r="D366" s="64"/>
      <c r="E366" s="64"/>
      <c r="F366" s="64"/>
      <c r="G366" s="64"/>
      <c r="H366" s="64"/>
      <c r="I366" s="64"/>
      <c r="J366" s="71"/>
      <c r="K366" s="66" t="str">
        <f aca="false">IF(J366=TRUE(),A366&amp;" - "&amp;B366,"")</f>
        <v/>
      </c>
      <c r="L366" s="64"/>
    </row>
    <row r="367" customFormat="false" ht="14.25" hidden="false" customHeight="true" outlineLevel="0" collapsed="false">
      <c r="A367" s="63"/>
      <c r="B367" s="64"/>
      <c r="C367" s="64"/>
      <c r="D367" s="64"/>
      <c r="E367" s="64"/>
      <c r="F367" s="64"/>
      <c r="G367" s="64"/>
      <c r="H367" s="64"/>
      <c r="I367" s="64"/>
      <c r="J367" s="71"/>
      <c r="K367" s="66" t="str">
        <f aca="false">IF(J367=TRUE(),A367&amp;" - "&amp;B367,"")</f>
        <v/>
      </c>
      <c r="L367" s="64"/>
    </row>
    <row r="368" customFormat="false" ht="14.25" hidden="false" customHeight="true" outlineLevel="0" collapsed="false">
      <c r="A368" s="63"/>
      <c r="B368" s="64"/>
      <c r="C368" s="64"/>
      <c r="D368" s="64"/>
      <c r="E368" s="64"/>
      <c r="F368" s="64"/>
      <c r="G368" s="64"/>
      <c r="H368" s="64"/>
      <c r="I368" s="64"/>
      <c r="J368" s="71"/>
      <c r="K368" s="66" t="str">
        <f aca="false">IF(J368=TRUE(),A368&amp;" - "&amp;B368,"")</f>
        <v/>
      </c>
      <c r="L368" s="64"/>
    </row>
    <row r="369" customFormat="false" ht="14.25" hidden="false" customHeight="true" outlineLevel="0" collapsed="false">
      <c r="A369" s="63"/>
      <c r="B369" s="64"/>
      <c r="C369" s="64"/>
      <c r="D369" s="64"/>
      <c r="E369" s="64"/>
      <c r="F369" s="64"/>
      <c r="G369" s="64"/>
      <c r="H369" s="64"/>
      <c r="I369" s="64"/>
      <c r="J369" s="71"/>
      <c r="K369" s="66" t="str">
        <f aca="false">IF(J369=TRUE(),A369&amp;" - "&amp;B369,"")</f>
        <v/>
      </c>
      <c r="L369" s="64"/>
    </row>
    <row r="370" customFormat="false" ht="14.25" hidden="false" customHeight="true" outlineLevel="0" collapsed="false">
      <c r="A370" s="63"/>
      <c r="B370" s="64"/>
      <c r="C370" s="64"/>
      <c r="D370" s="64"/>
      <c r="E370" s="64"/>
      <c r="F370" s="64"/>
      <c r="G370" s="64"/>
      <c r="H370" s="64"/>
      <c r="I370" s="64"/>
      <c r="J370" s="71"/>
      <c r="K370" s="66" t="str">
        <f aca="false">IF(J370=TRUE(),A370&amp;" - "&amp;B370,"")</f>
        <v/>
      </c>
      <c r="L370" s="64"/>
    </row>
    <row r="371" customFormat="false" ht="14.25" hidden="false" customHeight="true" outlineLevel="0" collapsed="false">
      <c r="A371" s="63"/>
      <c r="B371" s="64"/>
      <c r="C371" s="64"/>
      <c r="D371" s="64"/>
      <c r="E371" s="64"/>
      <c r="F371" s="64"/>
      <c r="G371" s="64"/>
      <c r="H371" s="64"/>
      <c r="I371" s="64"/>
      <c r="J371" s="71"/>
      <c r="K371" s="66" t="str">
        <f aca="false">IF(J371=TRUE(),A371&amp;" - "&amp;B371,"")</f>
        <v/>
      </c>
      <c r="L371" s="64"/>
    </row>
    <row r="372" customFormat="false" ht="14.25" hidden="false" customHeight="true" outlineLevel="0" collapsed="false">
      <c r="A372" s="63"/>
      <c r="B372" s="64"/>
      <c r="C372" s="64"/>
      <c r="D372" s="64"/>
      <c r="E372" s="64"/>
      <c r="F372" s="64"/>
      <c r="G372" s="64"/>
      <c r="H372" s="64"/>
      <c r="I372" s="64"/>
      <c r="J372" s="71"/>
      <c r="K372" s="66" t="str">
        <f aca="false">IF(J372=TRUE(),A372&amp;" - "&amp;B372,"")</f>
        <v/>
      </c>
      <c r="L372" s="64"/>
    </row>
    <row r="373" customFormat="false" ht="14.25" hidden="false" customHeight="true" outlineLevel="0" collapsed="false">
      <c r="A373" s="63"/>
      <c r="B373" s="64"/>
      <c r="C373" s="64"/>
      <c r="D373" s="64"/>
      <c r="E373" s="64"/>
      <c r="F373" s="64"/>
      <c r="G373" s="64"/>
      <c r="H373" s="64"/>
      <c r="I373" s="64"/>
      <c r="J373" s="71"/>
      <c r="K373" s="66" t="str">
        <f aca="false">IF(J373=TRUE(),A373&amp;" - "&amp;B373,"")</f>
        <v/>
      </c>
      <c r="L373" s="64"/>
    </row>
    <row r="374" customFormat="false" ht="14.25" hidden="false" customHeight="true" outlineLevel="0" collapsed="false">
      <c r="A374" s="63"/>
      <c r="B374" s="64"/>
      <c r="C374" s="64"/>
      <c r="D374" s="64"/>
      <c r="E374" s="64"/>
      <c r="F374" s="64"/>
      <c r="G374" s="64"/>
      <c r="H374" s="64"/>
      <c r="I374" s="64"/>
      <c r="J374" s="71"/>
      <c r="K374" s="66" t="str">
        <f aca="false">IF(J374=TRUE(),A374&amp;" - "&amp;B374,"")</f>
        <v/>
      </c>
      <c r="L374" s="64"/>
    </row>
    <row r="375" customFormat="false" ht="14.25" hidden="false" customHeight="true" outlineLevel="0" collapsed="false">
      <c r="A375" s="63"/>
      <c r="B375" s="64"/>
      <c r="C375" s="64"/>
      <c r="D375" s="64"/>
      <c r="E375" s="64"/>
      <c r="F375" s="64"/>
      <c r="G375" s="64"/>
      <c r="H375" s="64"/>
      <c r="I375" s="64"/>
      <c r="J375" s="71"/>
      <c r="K375" s="66" t="str">
        <f aca="false">IF(J375=TRUE(),A375&amp;" - "&amp;B375,"")</f>
        <v/>
      </c>
      <c r="L375" s="64"/>
    </row>
    <row r="376" customFormat="false" ht="14.25" hidden="false" customHeight="true" outlineLevel="0" collapsed="false">
      <c r="A376" s="63"/>
      <c r="B376" s="64"/>
      <c r="C376" s="64"/>
      <c r="D376" s="64"/>
      <c r="E376" s="64"/>
      <c r="F376" s="64"/>
      <c r="G376" s="64"/>
      <c r="H376" s="64"/>
      <c r="I376" s="64"/>
      <c r="J376" s="71"/>
      <c r="K376" s="66" t="str">
        <f aca="false">IF(J376=TRUE(),A376&amp;" - "&amp;B376,"")</f>
        <v/>
      </c>
      <c r="L376" s="64"/>
    </row>
    <row r="377" customFormat="false" ht="14.25" hidden="false" customHeight="true" outlineLevel="0" collapsed="false">
      <c r="A377" s="63"/>
      <c r="B377" s="64"/>
      <c r="C377" s="64"/>
      <c r="D377" s="64"/>
      <c r="E377" s="64"/>
      <c r="F377" s="64"/>
      <c r="G377" s="64"/>
      <c r="H377" s="64"/>
      <c r="I377" s="64"/>
      <c r="J377" s="71"/>
      <c r="K377" s="66" t="str">
        <f aca="false">IF(J377=TRUE(),A377&amp;" - "&amp;B377,"")</f>
        <v/>
      </c>
      <c r="L377" s="64"/>
    </row>
    <row r="378" customFormat="false" ht="14.25" hidden="false" customHeight="true" outlineLevel="0" collapsed="false">
      <c r="A378" s="63"/>
      <c r="B378" s="64"/>
      <c r="C378" s="64"/>
      <c r="D378" s="64"/>
      <c r="E378" s="64"/>
      <c r="F378" s="64"/>
      <c r="G378" s="64"/>
      <c r="H378" s="64"/>
      <c r="I378" s="64"/>
      <c r="J378" s="71"/>
      <c r="K378" s="66" t="str">
        <f aca="false">IF(J378=TRUE(),A378&amp;" - "&amp;B378,"")</f>
        <v/>
      </c>
      <c r="L378" s="64"/>
    </row>
    <row r="379" customFormat="false" ht="14.25" hidden="false" customHeight="true" outlineLevel="0" collapsed="false">
      <c r="A379" s="63"/>
      <c r="B379" s="64"/>
      <c r="C379" s="64"/>
      <c r="D379" s="64"/>
      <c r="E379" s="64"/>
      <c r="F379" s="64"/>
      <c r="G379" s="64"/>
      <c r="H379" s="64"/>
      <c r="I379" s="64"/>
      <c r="J379" s="71"/>
      <c r="K379" s="66" t="str">
        <f aca="false">IF(J379=TRUE(),A379&amp;" - "&amp;B379,"")</f>
        <v/>
      </c>
      <c r="L379" s="64"/>
    </row>
    <row r="380" customFormat="false" ht="14.25" hidden="false" customHeight="true" outlineLevel="0" collapsed="false">
      <c r="A380" s="63"/>
      <c r="B380" s="64"/>
      <c r="C380" s="64"/>
      <c r="D380" s="64"/>
      <c r="E380" s="64"/>
      <c r="F380" s="64"/>
      <c r="G380" s="64"/>
      <c r="H380" s="64"/>
      <c r="I380" s="64"/>
      <c r="J380" s="71"/>
      <c r="K380" s="66" t="str">
        <f aca="false">IF(J380=TRUE(),A380&amp;" - "&amp;B380,"")</f>
        <v/>
      </c>
      <c r="L380" s="64"/>
    </row>
    <row r="381" customFormat="false" ht="14.25" hidden="false" customHeight="true" outlineLevel="0" collapsed="false">
      <c r="A381" s="63"/>
      <c r="B381" s="64"/>
      <c r="C381" s="64"/>
      <c r="D381" s="64"/>
      <c r="E381" s="64"/>
      <c r="F381" s="64"/>
      <c r="G381" s="64"/>
      <c r="H381" s="64"/>
      <c r="I381" s="64"/>
      <c r="J381" s="71"/>
      <c r="K381" s="66" t="str">
        <f aca="false">IF(J381=TRUE(),A381&amp;" - "&amp;B381,"")</f>
        <v/>
      </c>
      <c r="L381" s="64"/>
    </row>
    <row r="382" customFormat="false" ht="14.25" hidden="false" customHeight="true" outlineLevel="0" collapsed="false">
      <c r="A382" s="63"/>
      <c r="B382" s="64"/>
      <c r="C382" s="64"/>
      <c r="D382" s="64"/>
      <c r="E382" s="64"/>
      <c r="F382" s="64"/>
      <c r="G382" s="64"/>
      <c r="H382" s="64"/>
      <c r="I382" s="64"/>
      <c r="J382" s="71"/>
      <c r="K382" s="66" t="str">
        <f aca="false">IF(J382=TRUE(),A382&amp;" - "&amp;B382,"")</f>
        <v/>
      </c>
      <c r="L382" s="64"/>
    </row>
    <row r="383" customFormat="false" ht="14.25" hidden="false" customHeight="true" outlineLevel="0" collapsed="false">
      <c r="A383" s="63"/>
      <c r="B383" s="64"/>
      <c r="C383" s="64"/>
      <c r="D383" s="64"/>
      <c r="E383" s="64"/>
      <c r="F383" s="64"/>
      <c r="G383" s="64"/>
      <c r="H383" s="64"/>
      <c r="I383" s="64"/>
      <c r="J383" s="71"/>
      <c r="K383" s="66" t="str">
        <f aca="false">IF(J383=TRUE(),A383&amp;" - "&amp;B383,"")</f>
        <v/>
      </c>
      <c r="L383" s="64"/>
    </row>
    <row r="384" customFormat="false" ht="14.25" hidden="false" customHeight="true" outlineLevel="0" collapsed="false">
      <c r="A384" s="63"/>
      <c r="B384" s="64"/>
      <c r="C384" s="64"/>
      <c r="D384" s="64"/>
      <c r="E384" s="64"/>
      <c r="F384" s="64"/>
      <c r="G384" s="64"/>
      <c r="H384" s="64"/>
      <c r="I384" s="64"/>
      <c r="J384" s="71"/>
      <c r="K384" s="66" t="str">
        <f aca="false">IF(J384=TRUE(),A384&amp;" - "&amp;B384,"")</f>
        <v/>
      </c>
      <c r="L384" s="64"/>
    </row>
    <row r="385" customFormat="false" ht="14.25" hidden="false" customHeight="true" outlineLevel="0" collapsed="false">
      <c r="A385" s="63"/>
      <c r="B385" s="64"/>
      <c r="C385" s="64"/>
      <c r="D385" s="64"/>
      <c r="E385" s="64"/>
      <c r="F385" s="64"/>
      <c r="G385" s="64"/>
      <c r="H385" s="64"/>
      <c r="I385" s="64"/>
      <c r="J385" s="71"/>
      <c r="K385" s="66" t="str">
        <f aca="false">IF(J385=TRUE(),A385&amp;" - "&amp;B385,"")</f>
        <v/>
      </c>
      <c r="L385" s="64"/>
    </row>
    <row r="386" customFormat="false" ht="14.25" hidden="false" customHeight="true" outlineLevel="0" collapsed="false">
      <c r="A386" s="63"/>
      <c r="B386" s="64"/>
      <c r="C386" s="64"/>
      <c r="D386" s="64"/>
      <c r="E386" s="64"/>
      <c r="F386" s="64"/>
      <c r="G386" s="64"/>
      <c r="H386" s="64"/>
      <c r="I386" s="64"/>
      <c r="J386" s="71"/>
      <c r="K386" s="66" t="str">
        <f aca="false">IF(J386=TRUE(),A386&amp;" - "&amp;B386,"")</f>
        <v/>
      </c>
      <c r="L386" s="64"/>
    </row>
    <row r="387" customFormat="false" ht="14.25" hidden="false" customHeight="true" outlineLevel="0" collapsed="false">
      <c r="A387" s="63"/>
      <c r="B387" s="64"/>
      <c r="C387" s="64"/>
      <c r="D387" s="64"/>
      <c r="E387" s="64"/>
      <c r="F387" s="64"/>
      <c r="G387" s="64"/>
      <c r="H387" s="64"/>
      <c r="I387" s="64"/>
      <c r="J387" s="71"/>
      <c r="K387" s="66" t="str">
        <f aca="false">IF(J387=TRUE(),A387&amp;" - "&amp;B387,"")</f>
        <v/>
      </c>
      <c r="L387" s="64"/>
    </row>
    <row r="388" customFormat="false" ht="14.25" hidden="false" customHeight="true" outlineLevel="0" collapsed="false">
      <c r="A388" s="63"/>
      <c r="B388" s="64"/>
      <c r="C388" s="64"/>
      <c r="D388" s="64"/>
      <c r="E388" s="64"/>
      <c r="F388" s="64"/>
      <c r="G388" s="64"/>
      <c r="H388" s="64"/>
      <c r="I388" s="64"/>
      <c r="J388" s="71"/>
      <c r="K388" s="66" t="str">
        <f aca="false">IF(J388=TRUE(),A388&amp;" - "&amp;B388,"")</f>
        <v/>
      </c>
      <c r="L388" s="64"/>
    </row>
    <row r="389" customFormat="false" ht="14.25" hidden="false" customHeight="true" outlineLevel="0" collapsed="false">
      <c r="A389" s="63"/>
      <c r="B389" s="64"/>
      <c r="C389" s="64"/>
      <c r="D389" s="64"/>
      <c r="E389" s="64"/>
      <c r="F389" s="64"/>
      <c r="G389" s="64"/>
      <c r="H389" s="64"/>
      <c r="I389" s="64"/>
      <c r="J389" s="71"/>
      <c r="K389" s="66" t="str">
        <f aca="false">IF(J389=TRUE(),A389&amp;" - "&amp;B389,"")</f>
        <v/>
      </c>
      <c r="L389" s="64"/>
    </row>
    <row r="390" customFormat="false" ht="14.25" hidden="false" customHeight="true" outlineLevel="0" collapsed="false">
      <c r="A390" s="63"/>
      <c r="B390" s="64"/>
      <c r="C390" s="64"/>
      <c r="D390" s="64"/>
      <c r="E390" s="64"/>
      <c r="F390" s="64"/>
      <c r="G390" s="64"/>
      <c r="H390" s="64"/>
      <c r="I390" s="64"/>
      <c r="J390" s="71"/>
      <c r="K390" s="66" t="str">
        <f aca="false">IF(J390=TRUE(),A390&amp;" - "&amp;B390,"")</f>
        <v/>
      </c>
      <c r="L390" s="64"/>
    </row>
    <row r="391" customFormat="false" ht="14.25" hidden="false" customHeight="true" outlineLevel="0" collapsed="false">
      <c r="A391" s="63"/>
      <c r="B391" s="64"/>
      <c r="C391" s="64"/>
      <c r="D391" s="64"/>
      <c r="E391" s="64"/>
      <c r="F391" s="64"/>
      <c r="G391" s="64"/>
      <c r="H391" s="64"/>
      <c r="I391" s="64"/>
      <c r="J391" s="71"/>
      <c r="K391" s="66" t="str">
        <f aca="false">IF(J391=TRUE(),A391&amp;" - "&amp;B391,"")</f>
        <v/>
      </c>
      <c r="L391" s="64"/>
    </row>
    <row r="392" customFormat="false" ht="14.25" hidden="false" customHeight="true" outlineLevel="0" collapsed="false">
      <c r="A392" s="63"/>
      <c r="B392" s="64"/>
      <c r="C392" s="64"/>
      <c r="D392" s="64"/>
      <c r="E392" s="64"/>
      <c r="F392" s="64"/>
      <c r="G392" s="64"/>
      <c r="H392" s="64"/>
      <c r="I392" s="64"/>
      <c r="J392" s="71"/>
      <c r="K392" s="66" t="str">
        <f aca="false">IF(J392=TRUE(),A392&amp;" - "&amp;B392,"")</f>
        <v/>
      </c>
      <c r="L392" s="64"/>
    </row>
    <row r="393" customFormat="false" ht="14.25" hidden="false" customHeight="true" outlineLevel="0" collapsed="false">
      <c r="A393" s="63"/>
      <c r="B393" s="64"/>
      <c r="C393" s="64"/>
      <c r="D393" s="64"/>
      <c r="E393" s="64"/>
      <c r="F393" s="64"/>
      <c r="G393" s="64"/>
      <c r="H393" s="64"/>
      <c r="I393" s="64"/>
      <c r="J393" s="71"/>
      <c r="K393" s="66" t="str">
        <f aca="false">IF(J393=TRUE(),A393&amp;" - "&amp;B393,"")</f>
        <v/>
      </c>
      <c r="L393" s="64"/>
    </row>
    <row r="394" customFormat="false" ht="14.25" hidden="false" customHeight="true" outlineLevel="0" collapsed="false">
      <c r="A394" s="63"/>
      <c r="B394" s="64"/>
      <c r="C394" s="64"/>
      <c r="D394" s="64"/>
      <c r="E394" s="64"/>
      <c r="F394" s="64"/>
      <c r="G394" s="64"/>
      <c r="H394" s="64"/>
      <c r="I394" s="64"/>
      <c r="J394" s="71"/>
      <c r="K394" s="66" t="str">
        <f aca="false">IF(J394=TRUE(),A394&amp;" - "&amp;B394,"")</f>
        <v/>
      </c>
      <c r="L394" s="64"/>
    </row>
    <row r="395" customFormat="false" ht="14.25" hidden="false" customHeight="true" outlineLevel="0" collapsed="false">
      <c r="A395" s="63"/>
      <c r="B395" s="64"/>
      <c r="C395" s="64"/>
      <c r="D395" s="64"/>
      <c r="E395" s="64"/>
      <c r="F395" s="64"/>
      <c r="G395" s="64"/>
      <c r="H395" s="64"/>
      <c r="I395" s="64"/>
      <c r="J395" s="71"/>
      <c r="K395" s="66" t="str">
        <f aca="false">IF(J395=TRUE(),A395&amp;" - "&amp;B395,"")</f>
        <v/>
      </c>
      <c r="L395" s="64"/>
    </row>
    <row r="396" customFormat="false" ht="14.25" hidden="false" customHeight="true" outlineLevel="0" collapsed="false">
      <c r="A396" s="63"/>
      <c r="B396" s="64"/>
      <c r="C396" s="64"/>
      <c r="D396" s="64"/>
      <c r="E396" s="64"/>
      <c r="F396" s="64"/>
      <c r="G396" s="64"/>
      <c r="H396" s="64"/>
      <c r="I396" s="64"/>
      <c r="J396" s="71"/>
      <c r="K396" s="66" t="str">
        <f aca="false">IF(J396=TRUE(),A396&amp;" - "&amp;B396,"")</f>
        <v/>
      </c>
      <c r="L396" s="64"/>
    </row>
    <row r="397" customFormat="false" ht="14.25" hidden="false" customHeight="true" outlineLevel="0" collapsed="false">
      <c r="A397" s="63"/>
      <c r="B397" s="64"/>
      <c r="C397" s="64"/>
      <c r="D397" s="64"/>
      <c r="E397" s="64"/>
      <c r="F397" s="64"/>
      <c r="G397" s="64"/>
      <c r="H397" s="64"/>
      <c r="I397" s="64"/>
      <c r="J397" s="71"/>
      <c r="K397" s="66" t="str">
        <f aca="false">IF(J397=TRUE(),A397&amp;" - "&amp;B397,"")</f>
        <v/>
      </c>
      <c r="L397" s="64"/>
    </row>
    <row r="398" customFormat="false" ht="14.25" hidden="false" customHeight="true" outlineLevel="0" collapsed="false">
      <c r="A398" s="63"/>
      <c r="B398" s="64"/>
      <c r="C398" s="64"/>
      <c r="D398" s="64"/>
      <c r="E398" s="64"/>
      <c r="F398" s="64"/>
      <c r="G398" s="64"/>
      <c r="H398" s="64"/>
      <c r="I398" s="64"/>
      <c r="J398" s="71"/>
      <c r="K398" s="66" t="str">
        <f aca="false">IF(J398=TRUE(),A398&amp;" - "&amp;B398,"")</f>
        <v/>
      </c>
      <c r="L398" s="64"/>
    </row>
    <row r="399" customFormat="false" ht="14.25" hidden="false" customHeight="true" outlineLevel="0" collapsed="false">
      <c r="A399" s="63"/>
      <c r="B399" s="64"/>
      <c r="C399" s="64"/>
      <c r="D399" s="64"/>
      <c r="E399" s="64"/>
      <c r="F399" s="64"/>
      <c r="G399" s="64"/>
      <c r="H399" s="64"/>
      <c r="I399" s="64"/>
      <c r="J399" s="71"/>
      <c r="K399" s="66" t="str">
        <f aca="false">IF(J399=TRUE(),A399&amp;" - "&amp;B399,"")</f>
        <v/>
      </c>
      <c r="L399" s="64"/>
    </row>
    <row r="400" customFormat="false" ht="14.25" hidden="false" customHeight="true" outlineLevel="0" collapsed="false">
      <c r="A400" s="63"/>
      <c r="B400" s="64"/>
      <c r="C400" s="64"/>
      <c r="D400" s="64"/>
      <c r="E400" s="64"/>
      <c r="F400" s="64"/>
      <c r="G400" s="64"/>
      <c r="H400" s="64"/>
      <c r="I400" s="64"/>
      <c r="J400" s="71"/>
      <c r="K400" s="66" t="str">
        <f aca="false">IF(J400=TRUE(),A400&amp;" - "&amp;B400,"")</f>
        <v/>
      </c>
      <c r="L400" s="64"/>
    </row>
    <row r="401" customFormat="false" ht="14.25" hidden="false" customHeight="true" outlineLevel="0" collapsed="false">
      <c r="A401" s="63"/>
      <c r="B401" s="64"/>
      <c r="C401" s="64"/>
      <c r="D401" s="64"/>
      <c r="E401" s="64"/>
      <c r="F401" s="64"/>
      <c r="G401" s="64"/>
      <c r="H401" s="64"/>
      <c r="I401" s="64"/>
      <c r="J401" s="71"/>
      <c r="K401" s="66" t="str">
        <f aca="false">IF(J401=TRUE(),A401&amp;" - "&amp;B401,"")</f>
        <v/>
      </c>
      <c r="L401" s="64"/>
    </row>
    <row r="402" customFormat="false" ht="14.25" hidden="false" customHeight="true" outlineLevel="0" collapsed="false">
      <c r="A402" s="63"/>
      <c r="B402" s="64"/>
      <c r="C402" s="64"/>
      <c r="D402" s="64"/>
      <c r="E402" s="64"/>
      <c r="F402" s="64"/>
      <c r="G402" s="64"/>
      <c r="H402" s="64"/>
      <c r="I402" s="64"/>
      <c r="J402" s="71"/>
      <c r="K402" s="66" t="str">
        <f aca="false">IF(J402=TRUE(),A402&amp;" - "&amp;B402,"")</f>
        <v/>
      </c>
      <c r="L402" s="64"/>
    </row>
    <row r="403" customFormat="false" ht="14.25" hidden="false" customHeight="true" outlineLevel="0" collapsed="false">
      <c r="A403" s="63"/>
      <c r="B403" s="64"/>
      <c r="C403" s="64"/>
      <c r="D403" s="64"/>
      <c r="E403" s="64"/>
      <c r="F403" s="64"/>
      <c r="G403" s="64"/>
      <c r="H403" s="64"/>
      <c r="I403" s="64"/>
      <c r="J403" s="71"/>
      <c r="K403" s="66" t="str">
        <f aca="false">IF(J403=TRUE(),A403&amp;" - "&amp;B403,"")</f>
        <v/>
      </c>
      <c r="L403" s="64"/>
    </row>
    <row r="404" customFormat="false" ht="14.25" hidden="false" customHeight="true" outlineLevel="0" collapsed="false">
      <c r="A404" s="63"/>
      <c r="B404" s="64"/>
      <c r="C404" s="64"/>
      <c r="D404" s="64"/>
      <c r="E404" s="64"/>
      <c r="F404" s="64"/>
      <c r="G404" s="64"/>
      <c r="H404" s="64"/>
      <c r="I404" s="64"/>
      <c r="J404" s="71"/>
      <c r="K404" s="66" t="str">
        <f aca="false">IF(J404=TRUE(),A404&amp;" - "&amp;B404,"")</f>
        <v/>
      </c>
      <c r="L404" s="64"/>
    </row>
    <row r="405" customFormat="false" ht="14.25" hidden="false" customHeight="true" outlineLevel="0" collapsed="false">
      <c r="A405" s="63"/>
      <c r="B405" s="64"/>
      <c r="C405" s="64"/>
      <c r="D405" s="64"/>
      <c r="E405" s="64"/>
      <c r="F405" s="64"/>
      <c r="G405" s="64"/>
      <c r="H405" s="64"/>
      <c r="I405" s="64"/>
      <c r="J405" s="71"/>
      <c r="K405" s="66" t="str">
        <f aca="false">IF(J405=TRUE(),A405&amp;" - "&amp;B405,"")</f>
        <v/>
      </c>
      <c r="L405" s="64"/>
    </row>
    <row r="406" customFormat="false" ht="14.25" hidden="false" customHeight="true" outlineLevel="0" collapsed="false">
      <c r="A406" s="63"/>
      <c r="B406" s="64"/>
      <c r="C406" s="64"/>
      <c r="D406" s="64"/>
      <c r="E406" s="64"/>
      <c r="F406" s="64"/>
      <c r="G406" s="64"/>
      <c r="H406" s="64"/>
      <c r="I406" s="64"/>
      <c r="J406" s="71"/>
      <c r="K406" s="66" t="str">
        <f aca="false">IF(J406=TRUE(),A406&amp;" - "&amp;B406,"")</f>
        <v/>
      </c>
      <c r="L406" s="64"/>
    </row>
    <row r="407" customFormat="false" ht="14.25" hidden="false" customHeight="true" outlineLevel="0" collapsed="false">
      <c r="A407" s="63"/>
      <c r="B407" s="64"/>
      <c r="C407" s="64"/>
      <c r="D407" s="64"/>
      <c r="E407" s="64"/>
      <c r="F407" s="64"/>
      <c r="G407" s="64"/>
      <c r="H407" s="64"/>
      <c r="I407" s="64"/>
      <c r="J407" s="71"/>
      <c r="K407" s="66" t="str">
        <f aca="false">IF(J407=TRUE(),A407&amp;" - "&amp;B407,"")</f>
        <v/>
      </c>
      <c r="L407" s="64"/>
    </row>
    <row r="408" customFormat="false" ht="14.25" hidden="false" customHeight="true" outlineLevel="0" collapsed="false">
      <c r="A408" s="63"/>
      <c r="B408" s="64"/>
      <c r="C408" s="64"/>
      <c r="D408" s="64"/>
      <c r="E408" s="64"/>
      <c r="F408" s="64"/>
      <c r="G408" s="64"/>
      <c r="H408" s="64"/>
      <c r="I408" s="64"/>
      <c r="J408" s="71"/>
      <c r="K408" s="66" t="str">
        <f aca="false">IF(J408=TRUE(),A408&amp;" - "&amp;B408,"")</f>
        <v/>
      </c>
      <c r="L408" s="64"/>
    </row>
    <row r="409" customFormat="false" ht="14.25" hidden="false" customHeight="true" outlineLevel="0" collapsed="false">
      <c r="A409" s="63"/>
      <c r="B409" s="64"/>
      <c r="C409" s="64"/>
      <c r="D409" s="64"/>
      <c r="E409" s="64"/>
      <c r="F409" s="64"/>
      <c r="G409" s="64"/>
      <c r="H409" s="64"/>
      <c r="I409" s="64"/>
      <c r="J409" s="71"/>
      <c r="K409" s="66" t="str">
        <f aca="false">IF(J409=TRUE(),A409&amp;" - "&amp;B409,"")</f>
        <v/>
      </c>
      <c r="L409" s="64"/>
    </row>
    <row r="410" customFormat="false" ht="14.25" hidden="false" customHeight="true" outlineLevel="0" collapsed="false">
      <c r="A410" s="63"/>
      <c r="B410" s="64"/>
      <c r="C410" s="64"/>
      <c r="D410" s="64"/>
      <c r="E410" s="64"/>
      <c r="F410" s="64"/>
      <c r="G410" s="64"/>
      <c r="H410" s="64"/>
      <c r="I410" s="64"/>
      <c r="J410" s="71"/>
      <c r="K410" s="66" t="str">
        <f aca="false">IF(J410=TRUE(),A410&amp;" - "&amp;B410,"")</f>
        <v/>
      </c>
      <c r="L410" s="64"/>
    </row>
    <row r="411" customFormat="false" ht="14.25" hidden="false" customHeight="true" outlineLevel="0" collapsed="false">
      <c r="A411" s="63"/>
      <c r="B411" s="64"/>
      <c r="C411" s="64"/>
      <c r="D411" s="64"/>
      <c r="E411" s="64"/>
      <c r="F411" s="64"/>
      <c r="G411" s="64"/>
      <c r="H411" s="64"/>
      <c r="I411" s="64"/>
      <c r="J411" s="71"/>
      <c r="K411" s="66" t="str">
        <f aca="false">IF(J411=TRUE(),A411&amp;" - "&amp;B411,"")</f>
        <v/>
      </c>
      <c r="L411" s="64"/>
    </row>
    <row r="412" customFormat="false" ht="14.25" hidden="false" customHeight="true" outlineLevel="0" collapsed="false">
      <c r="A412" s="63"/>
      <c r="B412" s="64"/>
      <c r="C412" s="64"/>
      <c r="D412" s="64"/>
      <c r="E412" s="64"/>
      <c r="F412" s="64"/>
      <c r="G412" s="64"/>
      <c r="H412" s="64"/>
      <c r="I412" s="64"/>
      <c r="J412" s="71"/>
      <c r="K412" s="66" t="str">
        <f aca="false">IF(J412=TRUE(),A412&amp;" - "&amp;B412,"")</f>
        <v/>
      </c>
      <c r="L412" s="64"/>
    </row>
    <row r="413" customFormat="false" ht="14.25" hidden="false" customHeight="true" outlineLevel="0" collapsed="false">
      <c r="A413" s="63"/>
      <c r="B413" s="64"/>
      <c r="C413" s="64"/>
      <c r="D413" s="64"/>
      <c r="E413" s="64"/>
      <c r="F413" s="64"/>
      <c r="G413" s="64"/>
      <c r="H413" s="64"/>
      <c r="I413" s="64"/>
      <c r="J413" s="71"/>
      <c r="K413" s="66" t="str">
        <f aca="false">IF(J413=TRUE(),A413&amp;" - "&amp;B413,"")</f>
        <v/>
      </c>
      <c r="L413" s="64"/>
    </row>
    <row r="414" customFormat="false" ht="14.25" hidden="false" customHeight="true" outlineLevel="0" collapsed="false">
      <c r="A414" s="63"/>
      <c r="B414" s="64"/>
      <c r="C414" s="64"/>
      <c r="D414" s="64"/>
      <c r="E414" s="64"/>
      <c r="F414" s="64"/>
      <c r="G414" s="64"/>
      <c r="H414" s="64"/>
      <c r="I414" s="64"/>
      <c r="J414" s="71"/>
      <c r="K414" s="66" t="str">
        <f aca="false">IF(J414=TRUE(),A414&amp;" - "&amp;B414,"")</f>
        <v/>
      </c>
      <c r="L414" s="64"/>
    </row>
    <row r="415" customFormat="false" ht="14.25" hidden="false" customHeight="true" outlineLevel="0" collapsed="false">
      <c r="A415" s="63"/>
      <c r="B415" s="64"/>
      <c r="C415" s="64"/>
      <c r="D415" s="64"/>
      <c r="E415" s="64"/>
      <c r="F415" s="64"/>
      <c r="G415" s="64"/>
      <c r="H415" s="64"/>
      <c r="I415" s="64"/>
      <c r="J415" s="71"/>
      <c r="K415" s="66" t="str">
        <f aca="false">IF(J415=TRUE(),A415&amp;" - "&amp;B415,"")</f>
        <v/>
      </c>
      <c r="L415" s="64"/>
    </row>
    <row r="416" customFormat="false" ht="14.25" hidden="false" customHeight="true" outlineLevel="0" collapsed="false">
      <c r="A416" s="63"/>
      <c r="B416" s="64"/>
      <c r="C416" s="64"/>
      <c r="D416" s="64"/>
      <c r="E416" s="64"/>
      <c r="F416" s="64"/>
      <c r="G416" s="64"/>
      <c r="H416" s="64"/>
      <c r="I416" s="64"/>
      <c r="J416" s="71"/>
      <c r="K416" s="66" t="str">
        <f aca="false">IF(J416=TRUE(),A416&amp;" - "&amp;B416,"")</f>
        <v/>
      </c>
      <c r="L416" s="64"/>
    </row>
    <row r="417" customFormat="false" ht="14.25" hidden="false" customHeight="true" outlineLevel="0" collapsed="false">
      <c r="A417" s="63"/>
      <c r="B417" s="64"/>
      <c r="C417" s="64"/>
      <c r="D417" s="64"/>
      <c r="E417" s="64"/>
      <c r="F417" s="64"/>
      <c r="G417" s="64"/>
      <c r="H417" s="64"/>
      <c r="I417" s="64"/>
      <c r="J417" s="71"/>
      <c r="K417" s="66" t="str">
        <f aca="false">IF(J417=TRUE(),A417&amp;" - "&amp;B417,"")</f>
        <v/>
      </c>
      <c r="L417" s="64"/>
    </row>
    <row r="418" customFormat="false" ht="14.25" hidden="false" customHeight="true" outlineLevel="0" collapsed="false">
      <c r="A418" s="63"/>
      <c r="B418" s="64"/>
      <c r="C418" s="64"/>
      <c r="D418" s="64"/>
      <c r="E418" s="64"/>
      <c r="F418" s="64"/>
      <c r="G418" s="64"/>
      <c r="H418" s="64"/>
      <c r="I418" s="64"/>
      <c r="J418" s="71"/>
      <c r="K418" s="66" t="str">
        <f aca="false">IF(J418=TRUE(),A418&amp;" - "&amp;B418,"")</f>
        <v/>
      </c>
      <c r="L418" s="64"/>
    </row>
    <row r="419" customFormat="false" ht="14.25" hidden="false" customHeight="true" outlineLevel="0" collapsed="false">
      <c r="A419" s="63"/>
      <c r="B419" s="64"/>
      <c r="C419" s="64"/>
      <c r="D419" s="64"/>
      <c r="E419" s="64"/>
      <c r="F419" s="64"/>
      <c r="G419" s="64"/>
      <c r="H419" s="64"/>
      <c r="I419" s="64"/>
      <c r="J419" s="71"/>
      <c r="K419" s="66" t="str">
        <f aca="false">IF(J419=TRUE(),A419&amp;" - "&amp;B419,"")</f>
        <v/>
      </c>
      <c r="L419" s="64"/>
    </row>
    <row r="420" customFormat="false" ht="14.25" hidden="false" customHeight="true" outlineLevel="0" collapsed="false">
      <c r="A420" s="63"/>
      <c r="B420" s="64"/>
      <c r="C420" s="64"/>
      <c r="D420" s="64"/>
      <c r="E420" s="64"/>
      <c r="F420" s="64"/>
      <c r="G420" s="64"/>
      <c r="H420" s="64"/>
      <c r="I420" s="64"/>
      <c r="J420" s="71"/>
      <c r="K420" s="66" t="str">
        <f aca="false">IF(J420=TRUE(),A420&amp;" - "&amp;B420,"")</f>
        <v/>
      </c>
      <c r="L420" s="64"/>
    </row>
    <row r="421" customFormat="false" ht="14.25" hidden="false" customHeight="true" outlineLevel="0" collapsed="false">
      <c r="A421" s="63"/>
      <c r="B421" s="64"/>
      <c r="C421" s="64"/>
      <c r="D421" s="64"/>
      <c r="E421" s="64"/>
      <c r="F421" s="64"/>
      <c r="G421" s="64"/>
      <c r="H421" s="64"/>
      <c r="I421" s="64"/>
      <c r="J421" s="71"/>
      <c r="K421" s="66" t="str">
        <f aca="false">IF(J421=TRUE(),A421&amp;" - "&amp;B421,"")</f>
        <v/>
      </c>
      <c r="L421" s="64"/>
    </row>
    <row r="422" customFormat="false" ht="14.25" hidden="false" customHeight="true" outlineLevel="0" collapsed="false">
      <c r="A422" s="63"/>
      <c r="B422" s="64"/>
      <c r="C422" s="64"/>
      <c r="D422" s="64"/>
      <c r="E422" s="64"/>
      <c r="F422" s="64"/>
      <c r="G422" s="64"/>
      <c r="H422" s="64"/>
      <c r="I422" s="64"/>
      <c r="J422" s="71"/>
      <c r="K422" s="66" t="str">
        <f aca="false">IF(J422=TRUE(),A422&amp;" - "&amp;B422,"")</f>
        <v/>
      </c>
      <c r="L422" s="64"/>
    </row>
    <row r="423" customFormat="false" ht="14.25" hidden="false" customHeight="true" outlineLevel="0" collapsed="false">
      <c r="A423" s="63"/>
      <c r="B423" s="64"/>
      <c r="C423" s="64"/>
      <c r="D423" s="64"/>
      <c r="E423" s="64"/>
      <c r="F423" s="64"/>
      <c r="G423" s="64"/>
      <c r="H423" s="64"/>
      <c r="I423" s="64"/>
      <c r="J423" s="71"/>
      <c r="K423" s="66" t="str">
        <f aca="false">IF(J423=TRUE(),A423&amp;" - "&amp;B423,"")</f>
        <v/>
      </c>
      <c r="L423" s="64"/>
    </row>
    <row r="424" customFormat="false" ht="14.25" hidden="false" customHeight="true" outlineLevel="0" collapsed="false">
      <c r="A424" s="63"/>
      <c r="B424" s="64"/>
      <c r="C424" s="64"/>
      <c r="D424" s="64"/>
      <c r="E424" s="64"/>
      <c r="F424" s="64"/>
      <c r="G424" s="64"/>
      <c r="H424" s="64"/>
      <c r="I424" s="64"/>
      <c r="J424" s="71"/>
      <c r="K424" s="66" t="str">
        <f aca="false">IF(J424=TRUE(),A424&amp;" - "&amp;B424,"")</f>
        <v/>
      </c>
      <c r="L424" s="64"/>
    </row>
    <row r="425" customFormat="false" ht="14.25" hidden="false" customHeight="true" outlineLevel="0" collapsed="false">
      <c r="A425" s="63"/>
      <c r="B425" s="64"/>
      <c r="C425" s="64"/>
      <c r="D425" s="64"/>
      <c r="E425" s="64"/>
      <c r="F425" s="64"/>
      <c r="G425" s="64"/>
      <c r="H425" s="64"/>
      <c r="I425" s="64"/>
      <c r="J425" s="71"/>
      <c r="K425" s="66" t="str">
        <f aca="false">IF(J425=TRUE(),A425&amp;" - "&amp;B425,"")</f>
        <v/>
      </c>
      <c r="L425" s="64"/>
    </row>
    <row r="426" customFormat="false" ht="14.25" hidden="false" customHeight="true" outlineLevel="0" collapsed="false">
      <c r="A426" s="63"/>
      <c r="B426" s="64"/>
      <c r="C426" s="64"/>
      <c r="D426" s="64"/>
      <c r="E426" s="64"/>
      <c r="F426" s="64"/>
      <c r="G426" s="64"/>
      <c r="H426" s="64"/>
      <c r="I426" s="64"/>
      <c r="J426" s="71"/>
      <c r="K426" s="66" t="str">
        <f aca="false">IF(J426=TRUE(),A426&amp;" - "&amp;B426,"")</f>
        <v/>
      </c>
      <c r="L426" s="64"/>
    </row>
    <row r="427" customFormat="false" ht="14.25" hidden="false" customHeight="true" outlineLevel="0" collapsed="false">
      <c r="A427" s="63"/>
      <c r="B427" s="64"/>
      <c r="C427" s="64"/>
      <c r="D427" s="64"/>
      <c r="E427" s="64"/>
      <c r="F427" s="64"/>
      <c r="G427" s="64"/>
      <c r="H427" s="64"/>
      <c r="I427" s="64"/>
      <c r="J427" s="71"/>
      <c r="K427" s="66" t="str">
        <f aca="false">IF(J427=TRUE(),A427&amp;" - "&amp;B427,"")</f>
        <v/>
      </c>
      <c r="L427" s="64"/>
    </row>
    <row r="428" customFormat="false" ht="14.25" hidden="false" customHeight="true" outlineLevel="0" collapsed="false">
      <c r="A428" s="63"/>
      <c r="B428" s="64"/>
      <c r="C428" s="64"/>
      <c r="D428" s="64"/>
      <c r="E428" s="64"/>
      <c r="F428" s="64"/>
      <c r="G428" s="64"/>
      <c r="H428" s="64"/>
      <c r="I428" s="64"/>
      <c r="J428" s="71"/>
      <c r="K428" s="66" t="str">
        <f aca="false">IF(J428=TRUE(),A428&amp;" - "&amp;B428,"")</f>
        <v/>
      </c>
      <c r="L428" s="64"/>
    </row>
    <row r="429" customFormat="false" ht="14.25" hidden="false" customHeight="true" outlineLevel="0" collapsed="false">
      <c r="A429" s="63"/>
      <c r="B429" s="64"/>
      <c r="C429" s="64"/>
      <c r="D429" s="64"/>
      <c r="E429" s="64"/>
      <c r="F429" s="64"/>
      <c r="G429" s="64"/>
      <c r="H429" s="64"/>
      <c r="I429" s="64"/>
      <c r="J429" s="71"/>
      <c r="K429" s="66" t="str">
        <f aca="false">IF(J429=TRUE(),A429&amp;" - "&amp;B429,"")</f>
        <v/>
      </c>
      <c r="L429" s="64"/>
    </row>
    <row r="430" customFormat="false" ht="14.25" hidden="false" customHeight="true" outlineLevel="0" collapsed="false">
      <c r="A430" s="63"/>
      <c r="B430" s="64"/>
      <c r="C430" s="64"/>
      <c r="D430" s="64"/>
      <c r="E430" s="64"/>
      <c r="F430" s="64"/>
      <c r="G430" s="64"/>
      <c r="H430" s="64"/>
      <c r="I430" s="64"/>
      <c r="J430" s="71"/>
      <c r="K430" s="66" t="str">
        <f aca="false">IF(J430=TRUE(),A430&amp;" - "&amp;B430,"")</f>
        <v/>
      </c>
      <c r="L430" s="64"/>
    </row>
    <row r="431" customFormat="false" ht="14.25" hidden="false" customHeight="true" outlineLevel="0" collapsed="false">
      <c r="A431" s="63"/>
      <c r="B431" s="64"/>
      <c r="C431" s="64"/>
      <c r="D431" s="64"/>
      <c r="E431" s="64"/>
      <c r="F431" s="64"/>
      <c r="G431" s="64"/>
      <c r="H431" s="64"/>
      <c r="I431" s="64"/>
      <c r="J431" s="71"/>
      <c r="K431" s="66" t="str">
        <f aca="false">IF(J431=TRUE(),A431&amp;" - "&amp;B431,"")</f>
        <v/>
      </c>
      <c r="L431" s="64"/>
    </row>
    <row r="432" customFormat="false" ht="14.25" hidden="false" customHeight="true" outlineLevel="0" collapsed="false">
      <c r="A432" s="63"/>
      <c r="B432" s="64"/>
      <c r="C432" s="64"/>
      <c r="D432" s="64"/>
      <c r="E432" s="64"/>
      <c r="F432" s="64"/>
      <c r="G432" s="64"/>
      <c r="H432" s="64"/>
      <c r="I432" s="64"/>
      <c r="J432" s="71"/>
      <c r="K432" s="66" t="str">
        <f aca="false">IF(J432=TRUE(),A432&amp;" - "&amp;B432,"")</f>
        <v/>
      </c>
      <c r="L432" s="64"/>
    </row>
    <row r="433" customFormat="false" ht="14.25" hidden="false" customHeight="true" outlineLevel="0" collapsed="false">
      <c r="A433" s="63"/>
      <c r="B433" s="64"/>
      <c r="C433" s="64"/>
      <c r="D433" s="64"/>
      <c r="E433" s="64"/>
      <c r="F433" s="64"/>
      <c r="G433" s="64"/>
      <c r="H433" s="64"/>
      <c r="I433" s="64"/>
      <c r="J433" s="71"/>
      <c r="K433" s="66" t="str">
        <f aca="false">IF(J433=TRUE(),A433&amp;" - "&amp;B433,"")</f>
        <v/>
      </c>
      <c r="L433" s="64"/>
    </row>
    <row r="434" customFormat="false" ht="14.25" hidden="false" customHeight="true" outlineLevel="0" collapsed="false">
      <c r="A434" s="63"/>
      <c r="B434" s="64"/>
      <c r="C434" s="64"/>
      <c r="D434" s="64"/>
      <c r="E434" s="64"/>
      <c r="F434" s="64"/>
      <c r="G434" s="64"/>
      <c r="H434" s="64"/>
      <c r="I434" s="64"/>
      <c r="J434" s="71"/>
      <c r="K434" s="66" t="str">
        <f aca="false">IF(J434=TRUE(),A434&amp;" - "&amp;B434,"")</f>
        <v/>
      </c>
      <c r="L434" s="64"/>
    </row>
    <row r="435" customFormat="false" ht="14.25" hidden="false" customHeight="true" outlineLevel="0" collapsed="false">
      <c r="A435" s="63"/>
      <c r="B435" s="64"/>
      <c r="C435" s="64"/>
      <c r="D435" s="64"/>
      <c r="E435" s="64"/>
      <c r="F435" s="64"/>
      <c r="G435" s="64"/>
      <c r="H435" s="64"/>
      <c r="I435" s="64"/>
      <c r="J435" s="71"/>
      <c r="K435" s="66" t="str">
        <f aca="false">IF(J435=TRUE(),A435&amp;" - "&amp;B435,"")</f>
        <v/>
      </c>
      <c r="L435" s="64"/>
    </row>
    <row r="436" customFormat="false" ht="14.25" hidden="false" customHeight="true" outlineLevel="0" collapsed="false">
      <c r="A436" s="63"/>
      <c r="B436" s="64"/>
      <c r="C436" s="64"/>
      <c r="D436" s="64"/>
      <c r="E436" s="64"/>
      <c r="F436" s="64"/>
      <c r="G436" s="64"/>
      <c r="H436" s="64"/>
      <c r="I436" s="64"/>
      <c r="J436" s="71"/>
      <c r="K436" s="66" t="str">
        <f aca="false">IF(J436=TRUE(),A436&amp;" - "&amp;B436,"")</f>
        <v/>
      </c>
      <c r="L436" s="64"/>
    </row>
    <row r="437" customFormat="false" ht="14.25" hidden="false" customHeight="true" outlineLevel="0" collapsed="false">
      <c r="A437" s="63"/>
      <c r="B437" s="64"/>
      <c r="C437" s="64"/>
      <c r="D437" s="64"/>
      <c r="E437" s="64"/>
      <c r="F437" s="64"/>
      <c r="G437" s="64"/>
      <c r="H437" s="64"/>
      <c r="I437" s="64"/>
      <c r="J437" s="71"/>
      <c r="K437" s="66" t="str">
        <f aca="false">IF(J437=TRUE(),A437&amp;" - "&amp;B437,"")</f>
        <v/>
      </c>
      <c r="L437" s="64"/>
    </row>
    <row r="438" customFormat="false" ht="14.25" hidden="false" customHeight="true" outlineLevel="0" collapsed="false">
      <c r="A438" s="63"/>
      <c r="B438" s="64"/>
      <c r="C438" s="64"/>
      <c r="D438" s="64"/>
      <c r="E438" s="64"/>
      <c r="F438" s="64"/>
      <c r="G438" s="64"/>
      <c r="H438" s="64"/>
      <c r="I438" s="64"/>
      <c r="J438" s="71"/>
      <c r="K438" s="66" t="str">
        <f aca="false">IF(J438=TRUE(),A438&amp;" - "&amp;B438,"")</f>
        <v/>
      </c>
      <c r="L438" s="64"/>
    </row>
    <row r="439" customFormat="false" ht="14.25" hidden="false" customHeight="true" outlineLevel="0" collapsed="false">
      <c r="A439" s="63"/>
      <c r="B439" s="64"/>
      <c r="C439" s="64"/>
      <c r="D439" s="64"/>
      <c r="E439" s="64"/>
      <c r="F439" s="64"/>
      <c r="G439" s="64"/>
      <c r="H439" s="64"/>
      <c r="I439" s="64"/>
      <c r="J439" s="71"/>
      <c r="K439" s="66" t="str">
        <f aca="false">IF(J439=TRUE(),A439&amp;" - "&amp;B439,"")</f>
        <v/>
      </c>
      <c r="L439" s="64"/>
    </row>
    <row r="440" customFormat="false" ht="14.25" hidden="false" customHeight="true" outlineLevel="0" collapsed="false">
      <c r="A440" s="63"/>
      <c r="B440" s="64"/>
      <c r="C440" s="64"/>
      <c r="D440" s="64"/>
      <c r="E440" s="64"/>
      <c r="F440" s="64"/>
      <c r="G440" s="64"/>
      <c r="H440" s="64"/>
      <c r="I440" s="64"/>
      <c r="J440" s="71"/>
      <c r="K440" s="66" t="str">
        <f aca="false">IF(J440=TRUE(),A440&amp;" - "&amp;B440,"")</f>
        <v/>
      </c>
      <c r="L440" s="64"/>
    </row>
    <row r="441" customFormat="false" ht="14.25" hidden="false" customHeight="true" outlineLevel="0" collapsed="false">
      <c r="A441" s="63"/>
      <c r="B441" s="64"/>
      <c r="C441" s="64"/>
      <c r="D441" s="64"/>
      <c r="E441" s="64"/>
      <c r="F441" s="64"/>
      <c r="G441" s="64"/>
      <c r="H441" s="64"/>
      <c r="I441" s="64"/>
      <c r="J441" s="71"/>
      <c r="K441" s="66" t="str">
        <f aca="false">IF(J441=TRUE(),A441&amp;" - "&amp;B441,"")</f>
        <v/>
      </c>
      <c r="L441" s="64"/>
    </row>
    <row r="442" customFormat="false" ht="14.25" hidden="false" customHeight="true" outlineLevel="0" collapsed="false">
      <c r="A442" s="63"/>
      <c r="B442" s="64"/>
      <c r="C442" s="64"/>
      <c r="D442" s="64"/>
      <c r="E442" s="64"/>
      <c r="F442" s="64"/>
      <c r="G442" s="64"/>
      <c r="H442" s="64"/>
      <c r="I442" s="64"/>
      <c r="J442" s="71"/>
      <c r="K442" s="66" t="str">
        <f aca="false">IF(J442=TRUE(),A442&amp;" - "&amp;B442,"")</f>
        <v/>
      </c>
      <c r="L442" s="64"/>
    </row>
    <row r="443" customFormat="false" ht="14.25" hidden="false" customHeight="true" outlineLevel="0" collapsed="false">
      <c r="A443" s="63"/>
      <c r="B443" s="64"/>
      <c r="C443" s="64"/>
      <c r="D443" s="64"/>
      <c r="E443" s="64"/>
      <c r="F443" s="64"/>
      <c r="G443" s="64"/>
      <c r="H443" s="64"/>
      <c r="I443" s="64"/>
      <c r="J443" s="71"/>
      <c r="K443" s="66" t="str">
        <f aca="false">IF(J443=TRUE(),A443&amp;" - "&amp;B443,"")</f>
        <v/>
      </c>
      <c r="L443" s="64"/>
    </row>
    <row r="444" customFormat="false" ht="14.25" hidden="false" customHeight="true" outlineLevel="0" collapsed="false">
      <c r="A444" s="63"/>
      <c r="B444" s="64"/>
      <c r="C444" s="64"/>
      <c r="D444" s="64"/>
      <c r="E444" s="64"/>
      <c r="F444" s="64"/>
      <c r="G444" s="64"/>
      <c r="H444" s="64"/>
      <c r="I444" s="64"/>
      <c r="J444" s="71"/>
      <c r="K444" s="66" t="str">
        <f aca="false">IF(J444=TRUE(),A444&amp;" - "&amp;B444,"")</f>
        <v/>
      </c>
      <c r="L444" s="64"/>
    </row>
    <row r="445" customFormat="false" ht="14.25" hidden="false" customHeight="true" outlineLevel="0" collapsed="false">
      <c r="A445" s="63"/>
      <c r="B445" s="64"/>
      <c r="C445" s="64"/>
      <c r="D445" s="64"/>
      <c r="E445" s="64"/>
      <c r="F445" s="64"/>
      <c r="G445" s="64"/>
      <c r="H445" s="64"/>
      <c r="I445" s="64"/>
      <c r="J445" s="71"/>
      <c r="K445" s="66" t="str">
        <f aca="false">IF(J445=TRUE(),A445&amp;" - "&amp;B445,"")</f>
        <v/>
      </c>
      <c r="L445" s="64"/>
    </row>
    <row r="446" customFormat="false" ht="14.25" hidden="false" customHeight="true" outlineLevel="0" collapsed="false">
      <c r="A446" s="63"/>
      <c r="B446" s="64"/>
      <c r="C446" s="64"/>
      <c r="D446" s="64"/>
      <c r="E446" s="64"/>
      <c r="F446" s="64"/>
      <c r="G446" s="64"/>
      <c r="H446" s="64"/>
      <c r="I446" s="64"/>
      <c r="J446" s="71"/>
      <c r="K446" s="66" t="str">
        <f aca="false">IF(J446=TRUE(),A446&amp;" - "&amp;B446,"")</f>
        <v/>
      </c>
      <c r="L446" s="64"/>
    </row>
    <row r="447" customFormat="false" ht="14.25" hidden="false" customHeight="true" outlineLevel="0" collapsed="false">
      <c r="A447" s="63"/>
      <c r="B447" s="64"/>
      <c r="C447" s="64"/>
      <c r="D447" s="64"/>
      <c r="E447" s="64"/>
      <c r="F447" s="64"/>
      <c r="G447" s="64"/>
      <c r="H447" s="64"/>
      <c r="I447" s="64"/>
      <c r="J447" s="71"/>
      <c r="K447" s="66" t="str">
        <f aca="false">IF(J447=TRUE(),A447&amp;" - "&amp;B447,"")</f>
        <v/>
      </c>
      <c r="L447" s="64"/>
    </row>
    <row r="448" customFormat="false" ht="14.25" hidden="false" customHeight="true" outlineLevel="0" collapsed="false">
      <c r="A448" s="63"/>
      <c r="B448" s="64"/>
      <c r="C448" s="64"/>
      <c r="D448" s="64"/>
      <c r="E448" s="64"/>
      <c r="F448" s="64"/>
      <c r="G448" s="64"/>
      <c r="H448" s="64"/>
      <c r="I448" s="64"/>
      <c r="J448" s="71"/>
      <c r="K448" s="66" t="str">
        <f aca="false">IF(J448=TRUE(),A448&amp;" - "&amp;B448,"")</f>
        <v/>
      </c>
      <c r="L448" s="64"/>
    </row>
    <row r="449" customFormat="false" ht="14.25" hidden="false" customHeight="true" outlineLevel="0" collapsed="false">
      <c r="A449" s="63"/>
      <c r="B449" s="64"/>
      <c r="C449" s="64"/>
      <c r="D449" s="64"/>
      <c r="E449" s="64"/>
      <c r="F449" s="64"/>
      <c r="G449" s="64"/>
      <c r="H449" s="64"/>
      <c r="I449" s="64"/>
      <c r="J449" s="71"/>
      <c r="K449" s="66" t="str">
        <f aca="false">IF(J449=TRUE(),A449&amp;" - "&amp;B449,"")</f>
        <v/>
      </c>
      <c r="L449" s="64"/>
    </row>
    <row r="450" customFormat="false" ht="14.25" hidden="false" customHeight="true" outlineLevel="0" collapsed="false">
      <c r="A450" s="63"/>
      <c r="B450" s="64"/>
      <c r="C450" s="64"/>
      <c r="D450" s="64"/>
      <c r="E450" s="64"/>
      <c r="F450" s="64"/>
      <c r="G450" s="64"/>
      <c r="H450" s="64"/>
      <c r="I450" s="64"/>
      <c r="J450" s="71"/>
      <c r="K450" s="66" t="str">
        <f aca="false">IF(J450=TRUE(),A450&amp;" - "&amp;B450,"")</f>
        <v/>
      </c>
      <c r="L450" s="64"/>
    </row>
    <row r="451" customFormat="false" ht="14.25" hidden="false" customHeight="true" outlineLevel="0" collapsed="false">
      <c r="A451" s="63"/>
      <c r="B451" s="64"/>
      <c r="C451" s="64"/>
      <c r="D451" s="64"/>
      <c r="E451" s="64"/>
      <c r="F451" s="64"/>
      <c r="G451" s="64"/>
      <c r="H451" s="64"/>
      <c r="I451" s="64"/>
      <c r="J451" s="71"/>
      <c r="K451" s="66" t="str">
        <f aca="false">IF(J451=TRUE(),A451&amp;" - "&amp;B451,"")</f>
        <v/>
      </c>
      <c r="L451" s="64"/>
    </row>
    <row r="452" customFormat="false" ht="14.25" hidden="false" customHeight="true" outlineLevel="0" collapsed="false">
      <c r="A452" s="63"/>
      <c r="B452" s="64"/>
      <c r="C452" s="64"/>
      <c r="D452" s="64"/>
      <c r="E452" s="64"/>
      <c r="F452" s="64"/>
      <c r="G452" s="64"/>
      <c r="H452" s="64"/>
      <c r="I452" s="64"/>
      <c r="J452" s="71"/>
      <c r="K452" s="66" t="str">
        <f aca="false">IF(J452=TRUE(),A452&amp;" - "&amp;B452,"")</f>
        <v/>
      </c>
      <c r="L452" s="64"/>
    </row>
    <row r="453" customFormat="false" ht="14.25" hidden="false" customHeight="true" outlineLevel="0" collapsed="false">
      <c r="A453" s="63"/>
      <c r="B453" s="64"/>
      <c r="C453" s="64"/>
      <c r="D453" s="64"/>
      <c r="E453" s="64"/>
      <c r="F453" s="64"/>
      <c r="G453" s="64"/>
      <c r="H453" s="64"/>
      <c r="I453" s="64"/>
      <c r="J453" s="71"/>
      <c r="K453" s="66" t="str">
        <f aca="false">IF(J453=TRUE(),A453&amp;" - "&amp;B453,"")</f>
        <v/>
      </c>
      <c r="L453" s="64"/>
    </row>
    <row r="454" customFormat="false" ht="14.25" hidden="false" customHeight="true" outlineLevel="0" collapsed="false">
      <c r="A454" s="63"/>
      <c r="B454" s="64"/>
      <c r="C454" s="64"/>
      <c r="D454" s="64"/>
      <c r="E454" s="64"/>
      <c r="F454" s="64"/>
      <c r="G454" s="64"/>
      <c r="H454" s="64"/>
      <c r="I454" s="64"/>
      <c r="J454" s="71"/>
      <c r="K454" s="66" t="str">
        <f aca="false">IF(J454=TRUE(),A454&amp;" - "&amp;B454,"")</f>
        <v/>
      </c>
      <c r="L454" s="64"/>
    </row>
    <row r="455" customFormat="false" ht="14.25" hidden="false" customHeight="true" outlineLevel="0" collapsed="false">
      <c r="A455" s="63"/>
      <c r="B455" s="64"/>
      <c r="C455" s="64"/>
      <c r="D455" s="64"/>
      <c r="E455" s="64"/>
      <c r="F455" s="64"/>
      <c r="G455" s="64"/>
      <c r="H455" s="64"/>
      <c r="I455" s="64"/>
      <c r="J455" s="71"/>
      <c r="K455" s="66" t="str">
        <f aca="false">IF(J455=TRUE(),A455&amp;" - "&amp;B455,"")</f>
        <v/>
      </c>
      <c r="L455" s="64"/>
    </row>
    <row r="456" customFormat="false" ht="14.25" hidden="false" customHeight="true" outlineLevel="0" collapsed="false">
      <c r="A456" s="63"/>
      <c r="B456" s="64"/>
      <c r="C456" s="64"/>
      <c r="D456" s="64"/>
      <c r="E456" s="64"/>
      <c r="F456" s="64"/>
      <c r="G456" s="64"/>
      <c r="H456" s="64"/>
      <c r="I456" s="64"/>
      <c r="J456" s="71"/>
      <c r="K456" s="66" t="str">
        <f aca="false">IF(J456=TRUE(),A456&amp;" - "&amp;B456,"")</f>
        <v/>
      </c>
      <c r="L456" s="64"/>
    </row>
    <row r="457" customFormat="false" ht="14.25" hidden="false" customHeight="true" outlineLevel="0" collapsed="false">
      <c r="A457" s="63"/>
      <c r="B457" s="64"/>
      <c r="C457" s="64"/>
      <c r="D457" s="64"/>
      <c r="E457" s="64"/>
      <c r="F457" s="64"/>
      <c r="G457" s="64"/>
      <c r="H457" s="64"/>
      <c r="I457" s="64"/>
      <c r="J457" s="71"/>
      <c r="K457" s="66" t="str">
        <f aca="false">IF(J457=TRUE(),A457&amp;" - "&amp;B457,"")</f>
        <v/>
      </c>
      <c r="L457" s="64"/>
    </row>
    <row r="458" customFormat="false" ht="14.25" hidden="false" customHeight="true" outlineLevel="0" collapsed="false">
      <c r="A458" s="63"/>
      <c r="B458" s="64"/>
      <c r="C458" s="64"/>
      <c r="D458" s="64"/>
      <c r="E458" s="64"/>
      <c r="F458" s="64"/>
      <c r="G458" s="64"/>
      <c r="H458" s="64"/>
      <c r="I458" s="64"/>
      <c r="J458" s="71"/>
      <c r="K458" s="66" t="str">
        <f aca="false">IF(J458=TRUE(),A458&amp;" - "&amp;B458,"")</f>
        <v/>
      </c>
      <c r="L458" s="64"/>
    </row>
    <row r="459" customFormat="false" ht="14.25" hidden="false" customHeight="true" outlineLevel="0" collapsed="false">
      <c r="A459" s="63"/>
      <c r="B459" s="64"/>
      <c r="C459" s="64"/>
      <c r="D459" s="64"/>
      <c r="E459" s="64"/>
      <c r="F459" s="64"/>
      <c r="G459" s="64"/>
      <c r="H459" s="64"/>
      <c r="I459" s="64"/>
      <c r="J459" s="71"/>
      <c r="K459" s="66" t="str">
        <f aca="false">IF(J459=TRUE(),A459&amp;" - "&amp;B459,"")</f>
        <v/>
      </c>
      <c r="L459" s="64"/>
    </row>
    <row r="460" customFormat="false" ht="14.25" hidden="false" customHeight="true" outlineLevel="0" collapsed="false">
      <c r="A460" s="63"/>
      <c r="B460" s="64"/>
      <c r="C460" s="64"/>
      <c r="D460" s="64"/>
      <c r="E460" s="64"/>
      <c r="F460" s="64"/>
      <c r="G460" s="64"/>
      <c r="H460" s="64"/>
      <c r="I460" s="64"/>
      <c r="J460" s="71"/>
      <c r="K460" s="66" t="str">
        <f aca="false">IF(J460=TRUE(),A460&amp;" - "&amp;B460,"")</f>
        <v/>
      </c>
      <c r="L460" s="64"/>
    </row>
    <row r="461" customFormat="false" ht="14.25" hidden="false" customHeight="true" outlineLevel="0" collapsed="false">
      <c r="A461" s="63"/>
      <c r="B461" s="64"/>
      <c r="C461" s="64"/>
      <c r="D461" s="64"/>
      <c r="E461" s="64"/>
      <c r="F461" s="64"/>
      <c r="G461" s="64"/>
      <c r="H461" s="64"/>
      <c r="I461" s="64"/>
      <c r="J461" s="71"/>
      <c r="K461" s="66" t="str">
        <f aca="false">IF(J461=TRUE(),A461&amp;" - "&amp;B461,"")</f>
        <v/>
      </c>
      <c r="L461" s="64"/>
    </row>
    <row r="462" customFormat="false" ht="14.25" hidden="false" customHeight="true" outlineLevel="0" collapsed="false">
      <c r="A462" s="63"/>
      <c r="B462" s="64"/>
      <c r="C462" s="64"/>
      <c r="D462" s="64"/>
      <c r="E462" s="64"/>
      <c r="F462" s="64"/>
      <c r="G462" s="64"/>
      <c r="H462" s="64"/>
      <c r="I462" s="64"/>
      <c r="J462" s="71"/>
      <c r="K462" s="66" t="str">
        <f aca="false">IF(J462=TRUE(),A462&amp;" - "&amp;B462,"")</f>
        <v/>
      </c>
      <c r="L462" s="64"/>
    </row>
    <row r="463" customFormat="false" ht="14.25" hidden="false" customHeight="true" outlineLevel="0" collapsed="false">
      <c r="A463" s="63"/>
      <c r="B463" s="64"/>
      <c r="C463" s="64"/>
      <c r="D463" s="64"/>
      <c r="E463" s="64"/>
      <c r="F463" s="64"/>
      <c r="G463" s="64"/>
      <c r="H463" s="64"/>
      <c r="I463" s="64"/>
      <c r="J463" s="71"/>
      <c r="K463" s="66" t="str">
        <f aca="false">IF(J463=TRUE(),A463&amp;" - "&amp;B463,"")</f>
        <v/>
      </c>
      <c r="L463" s="64"/>
    </row>
    <row r="464" customFormat="false" ht="14.25" hidden="false" customHeight="true" outlineLevel="0" collapsed="false">
      <c r="A464" s="63"/>
      <c r="B464" s="64"/>
      <c r="C464" s="64"/>
      <c r="D464" s="64"/>
      <c r="E464" s="64"/>
      <c r="F464" s="64"/>
      <c r="G464" s="64"/>
      <c r="H464" s="64"/>
      <c r="I464" s="64"/>
      <c r="J464" s="71"/>
      <c r="K464" s="66" t="str">
        <f aca="false">IF(J464=TRUE(),A464&amp;" - "&amp;B464,"")</f>
        <v/>
      </c>
      <c r="L464" s="64"/>
    </row>
    <row r="465" customFormat="false" ht="14.25" hidden="false" customHeight="true" outlineLevel="0" collapsed="false">
      <c r="A465" s="63"/>
      <c r="B465" s="64"/>
      <c r="C465" s="64"/>
      <c r="D465" s="64"/>
      <c r="E465" s="64"/>
      <c r="F465" s="64"/>
      <c r="G465" s="64"/>
      <c r="H465" s="64"/>
      <c r="I465" s="64"/>
      <c r="J465" s="71"/>
      <c r="K465" s="66" t="str">
        <f aca="false">IF(J465=TRUE(),A465&amp;" - "&amp;B465,"")</f>
        <v/>
      </c>
      <c r="L465" s="64"/>
    </row>
    <row r="466" customFormat="false" ht="14.25" hidden="false" customHeight="true" outlineLevel="0" collapsed="false">
      <c r="A466" s="63"/>
      <c r="B466" s="64"/>
      <c r="C466" s="64"/>
      <c r="D466" s="64"/>
      <c r="E466" s="64"/>
      <c r="F466" s="64"/>
      <c r="G466" s="64"/>
      <c r="H466" s="64"/>
      <c r="I466" s="64"/>
      <c r="J466" s="71"/>
      <c r="K466" s="66" t="str">
        <f aca="false">IF(J466=TRUE(),A466&amp;" - "&amp;B466,"")</f>
        <v/>
      </c>
      <c r="L466" s="64"/>
    </row>
    <row r="467" customFormat="false" ht="14.25" hidden="false" customHeight="true" outlineLevel="0" collapsed="false">
      <c r="A467" s="63"/>
      <c r="B467" s="64"/>
      <c r="C467" s="64"/>
      <c r="D467" s="64"/>
      <c r="E467" s="64"/>
      <c r="F467" s="64"/>
      <c r="G467" s="64"/>
      <c r="H467" s="64"/>
      <c r="I467" s="64"/>
      <c r="J467" s="71"/>
      <c r="K467" s="66" t="str">
        <f aca="false">IF(J467=TRUE(),A467&amp;" - "&amp;B467,"")</f>
        <v/>
      </c>
      <c r="L467" s="64"/>
    </row>
    <row r="468" customFormat="false" ht="14.25" hidden="false" customHeight="true" outlineLevel="0" collapsed="false">
      <c r="A468" s="63"/>
      <c r="B468" s="64"/>
      <c r="C468" s="64"/>
      <c r="D468" s="64"/>
      <c r="E468" s="64"/>
      <c r="F468" s="64"/>
      <c r="G468" s="64"/>
      <c r="H468" s="64"/>
      <c r="I468" s="64"/>
      <c r="J468" s="71"/>
      <c r="K468" s="66" t="str">
        <f aca="false">IF(J468=TRUE(),A468&amp;" - "&amp;B468,"")</f>
        <v/>
      </c>
      <c r="L468" s="64"/>
    </row>
    <row r="469" customFormat="false" ht="14.25" hidden="false" customHeight="true" outlineLevel="0" collapsed="false">
      <c r="A469" s="63"/>
      <c r="B469" s="64"/>
      <c r="C469" s="64"/>
      <c r="D469" s="64"/>
      <c r="E469" s="64"/>
      <c r="F469" s="64"/>
      <c r="G469" s="64"/>
      <c r="H469" s="64"/>
      <c r="I469" s="64"/>
      <c r="J469" s="71"/>
      <c r="K469" s="66" t="str">
        <f aca="false">IF(J469=TRUE(),A469&amp;" - "&amp;B469,"")</f>
        <v/>
      </c>
      <c r="L469" s="64"/>
    </row>
    <row r="470" customFormat="false" ht="14.25" hidden="false" customHeight="true" outlineLevel="0" collapsed="false">
      <c r="A470" s="63"/>
      <c r="B470" s="64"/>
      <c r="C470" s="64"/>
      <c r="D470" s="64"/>
      <c r="E470" s="64"/>
      <c r="F470" s="64"/>
      <c r="G470" s="64"/>
      <c r="H470" s="64"/>
      <c r="I470" s="64"/>
      <c r="J470" s="71"/>
      <c r="K470" s="66" t="str">
        <f aca="false">IF(J470=TRUE(),A470&amp;" - "&amp;B470,"")</f>
        <v/>
      </c>
      <c r="L470" s="64"/>
    </row>
    <row r="471" customFormat="false" ht="14.25" hidden="false" customHeight="true" outlineLevel="0" collapsed="false">
      <c r="A471" s="63"/>
      <c r="B471" s="64"/>
      <c r="C471" s="64"/>
      <c r="D471" s="64"/>
      <c r="E471" s="64"/>
      <c r="F471" s="64"/>
      <c r="G471" s="64"/>
      <c r="H471" s="64"/>
      <c r="I471" s="64"/>
      <c r="J471" s="71"/>
      <c r="K471" s="66" t="str">
        <f aca="false">IF(J471=TRUE(),A471&amp;" - "&amp;B471,"")</f>
        <v/>
      </c>
      <c r="L471" s="64"/>
    </row>
    <row r="472" customFormat="false" ht="14.25" hidden="false" customHeight="true" outlineLevel="0" collapsed="false">
      <c r="A472" s="63"/>
      <c r="B472" s="64"/>
      <c r="C472" s="64"/>
      <c r="D472" s="64"/>
      <c r="E472" s="64"/>
      <c r="F472" s="64"/>
      <c r="G472" s="64"/>
      <c r="H472" s="64"/>
      <c r="I472" s="64"/>
      <c r="J472" s="71"/>
      <c r="K472" s="66" t="str">
        <f aca="false">IF(J472=TRUE(),A472&amp;" - "&amp;B472,"")</f>
        <v/>
      </c>
      <c r="L472" s="64"/>
    </row>
    <row r="473" customFormat="false" ht="14.25" hidden="false" customHeight="true" outlineLevel="0" collapsed="false">
      <c r="A473" s="63"/>
      <c r="B473" s="64"/>
      <c r="C473" s="64"/>
      <c r="D473" s="64"/>
      <c r="E473" s="64"/>
      <c r="F473" s="64"/>
      <c r="G473" s="64"/>
      <c r="H473" s="64"/>
      <c r="I473" s="64"/>
      <c r="J473" s="71"/>
      <c r="K473" s="66" t="str">
        <f aca="false">IF(J473=TRUE(),A473&amp;" - "&amp;B473,"")</f>
        <v/>
      </c>
      <c r="L473" s="64"/>
    </row>
    <row r="474" customFormat="false" ht="14.25" hidden="false" customHeight="true" outlineLevel="0" collapsed="false">
      <c r="A474" s="63"/>
      <c r="B474" s="64"/>
      <c r="C474" s="64"/>
      <c r="D474" s="64"/>
      <c r="E474" s="64"/>
      <c r="F474" s="64"/>
      <c r="G474" s="64"/>
      <c r="H474" s="64"/>
      <c r="I474" s="64"/>
      <c r="J474" s="71"/>
      <c r="K474" s="66" t="str">
        <f aca="false">IF(J474=TRUE(),A474&amp;" - "&amp;B474,"")</f>
        <v/>
      </c>
      <c r="L474" s="64"/>
    </row>
    <row r="475" customFormat="false" ht="14.25" hidden="false" customHeight="true" outlineLevel="0" collapsed="false">
      <c r="A475" s="63"/>
      <c r="B475" s="64"/>
      <c r="C475" s="64"/>
      <c r="D475" s="64"/>
      <c r="E475" s="64"/>
      <c r="F475" s="64"/>
      <c r="G475" s="64"/>
      <c r="H475" s="64"/>
      <c r="I475" s="64"/>
      <c r="J475" s="71"/>
      <c r="K475" s="66" t="str">
        <f aca="false">IF(J475=TRUE(),A475&amp;" - "&amp;B475,"")</f>
        <v/>
      </c>
      <c r="L475" s="64"/>
    </row>
    <row r="476" customFormat="false" ht="14.25" hidden="false" customHeight="true" outlineLevel="0" collapsed="false">
      <c r="A476" s="63"/>
      <c r="B476" s="64"/>
      <c r="C476" s="64"/>
      <c r="D476" s="64"/>
      <c r="E476" s="64"/>
      <c r="F476" s="64"/>
      <c r="G476" s="64"/>
      <c r="H476" s="64"/>
      <c r="I476" s="64"/>
      <c r="J476" s="71"/>
      <c r="K476" s="66" t="str">
        <f aca="false">IF(J476=TRUE(),A476&amp;" - "&amp;B476,"")</f>
        <v/>
      </c>
      <c r="L476" s="64"/>
    </row>
    <row r="477" customFormat="false" ht="14.25" hidden="false" customHeight="true" outlineLevel="0" collapsed="false">
      <c r="A477" s="63"/>
      <c r="B477" s="64"/>
      <c r="C477" s="64"/>
      <c r="D477" s="64"/>
      <c r="E477" s="64"/>
      <c r="F477" s="64"/>
      <c r="G477" s="64"/>
      <c r="H477" s="64"/>
      <c r="I477" s="64"/>
      <c r="J477" s="71"/>
      <c r="K477" s="66" t="str">
        <f aca="false">IF(J477=TRUE(),A477&amp;" - "&amp;B477,"")</f>
        <v/>
      </c>
      <c r="L477" s="64"/>
    </row>
    <row r="478" customFormat="false" ht="14.25" hidden="false" customHeight="true" outlineLevel="0" collapsed="false">
      <c r="A478" s="63"/>
      <c r="B478" s="64"/>
      <c r="C478" s="64"/>
      <c r="D478" s="64"/>
      <c r="E478" s="64"/>
      <c r="F478" s="64"/>
      <c r="G478" s="64"/>
      <c r="H478" s="64"/>
      <c r="I478" s="64"/>
      <c r="J478" s="71"/>
      <c r="K478" s="66" t="str">
        <f aca="false">IF(J478=TRUE(),A478&amp;" - "&amp;B478,"")</f>
        <v/>
      </c>
      <c r="L478" s="64"/>
    </row>
    <row r="479" customFormat="false" ht="14.25" hidden="false" customHeight="true" outlineLevel="0" collapsed="false">
      <c r="A479" s="63"/>
      <c r="B479" s="64"/>
      <c r="C479" s="64"/>
      <c r="D479" s="64"/>
      <c r="E479" s="64"/>
      <c r="F479" s="64"/>
      <c r="G479" s="64"/>
      <c r="H479" s="64"/>
      <c r="I479" s="64"/>
      <c r="J479" s="71"/>
      <c r="K479" s="66" t="str">
        <f aca="false">IF(J479=TRUE(),A479&amp;" - "&amp;B479,"")</f>
        <v/>
      </c>
      <c r="L479" s="64"/>
    </row>
    <row r="480" customFormat="false" ht="14.25" hidden="false" customHeight="true" outlineLevel="0" collapsed="false">
      <c r="A480" s="63"/>
      <c r="B480" s="64"/>
      <c r="C480" s="64"/>
      <c r="D480" s="64"/>
      <c r="E480" s="64"/>
      <c r="F480" s="64"/>
      <c r="G480" s="64"/>
      <c r="H480" s="64"/>
      <c r="I480" s="64"/>
      <c r="J480" s="71"/>
      <c r="K480" s="66" t="str">
        <f aca="false">IF(J480=TRUE(),A480&amp;" - "&amp;B480,"")</f>
        <v/>
      </c>
      <c r="L480" s="64"/>
    </row>
    <row r="481" customFormat="false" ht="14.25" hidden="false" customHeight="true" outlineLevel="0" collapsed="false">
      <c r="A481" s="63"/>
      <c r="B481" s="64"/>
      <c r="C481" s="64"/>
      <c r="D481" s="64"/>
      <c r="E481" s="64"/>
      <c r="F481" s="64"/>
      <c r="G481" s="64"/>
      <c r="H481" s="64"/>
      <c r="I481" s="64"/>
      <c r="J481" s="71"/>
      <c r="K481" s="66" t="str">
        <f aca="false">IF(J481=TRUE(),A481&amp;" - "&amp;B481,"")</f>
        <v/>
      </c>
      <c r="L481" s="64"/>
    </row>
    <row r="482" customFormat="false" ht="14.25" hidden="false" customHeight="true" outlineLevel="0" collapsed="false">
      <c r="A482" s="63"/>
      <c r="B482" s="64"/>
      <c r="C482" s="64"/>
      <c r="D482" s="64"/>
      <c r="E482" s="64"/>
      <c r="F482" s="64"/>
      <c r="G482" s="64"/>
      <c r="H482" s="64"/>
      <c r="I482" s="64"/>
      <c r="J482" s="71"/>
      <c r="K482" s="66" t="str">
        <f aca="false">IF(J482=TRUE(),A482&amp;" - "&amp;B482,"")</f>
        <v/>
      </c>
      <c r="L482" s="64"/>
    </row>
    <row r="483" customFormat="false" ht="14.25" hidden="false" customHeight="true" outlineLevel="0" collapsed="false">
      <c r="A483" s="63"/>
      <c r="B483" s="64"/>
      <c r="C483" s="64"/>
      <c r="D483" s="64"/>
      <c r="E483" s="64"/>
      <c r="F483" s="64"/>
      <c r="G483" s="64"/>
      <c r="H483" s="64"/>
      <c r="I483" s="64"/>
      <c r="J483" s="71"/>
      <c r="K483" s="66" t="str">
        <f aca="false">IF(J483=TRUE(),A483&amp;" - "&amp;B483,"")</f>
        <v/>
      </c>
      <c r="L483" s="64"/>
    </row>
    <row r="484" customFormat="false" ht="14.25" hidden="false" customHeight="true" outlineLevel="0" collapsed="false">
      <c r="A484" s="63"/>
      <c r="B484" s="64"/>
      <c r="C484" s="64"/>
      <c r="D484" s="64"/>
      <c r="E484" s="64"/>
      <c r="F484" s="64"/>
      <c r="G484" s="64"/>
      <c r="H484" s="64"/>
      <c r="I484" s="64"/>
      <c r="J484" s="71"/>
      <c r="K484" s="66" t="str">
        <f aca="false">IF(J484=TRUE(),A484&amp;" - "&amp;B484,"")</f>
        <v/>
      </c>
      <c r="L484" s="64"/>
    </row>
    <row r="485" customFormat="false" ht="14.25" hidden="false" customHeight="true" outlineLevel="0" collapsed="false">
      <c r="A485" s="63"/>
      <c r="B485" s="64"/>
      <c r="C485" s="64"/>
      <c r="D485" s="64"/>
      <c r="E485" s="64"/>
      <c r="F485" s="64"/>
      <c r="G485" s="64"/>
      <c r="H485" s="64"/>
      <c r="I485" s="64"/>
      <c r="J485" s="71"/>
      <c r="K485" s="66" t="str">
        <f aca="false">IF(J485=TRUE(),A485&amp;" - "&amp;B485,"")</f>
        <v/>
      </c>
      <c r="L485" s="64"/>
    </row>
    <row r="486" customFormat="false" ht="14.25" hidden="false" customHeight="true" outlineLevel="0" collapsed="false">
      <c r="A486" s="63"/>
      <c r="B486" s="64"/>
      <c r="C486" s="64"/>
      <c r="D486" s="64"/>
      <c r="E486" s="64"/>
      <c r="F486" s="64"/>
      <c r="G486" s="64"/>
      <c r="H486" s="64"/>
      <c r="I486" s="64"/>
      <c r="J486" s="71"/>
      <c r="K486" s="66" t="str">
        <f aca="false">IF(J486=TRUE(),A486&amp;" - "&amp;B486,"")</f>
        <v/>
      </c>
      <c r="L486" s="64"/>
    </row>
    <row r="487" customFormat="false" ht="14.25" hidden="false" customHeight="true" outlineLevel="0" collapsed="false">
      <c r="A487" s="63"/>
      <c r="B487" s="64"/>
      <c r="C487" s="64"/>
      <c r="D487" s="64"/>
      <c r="E487" s="64"/>
      <c r="F487" s="64"/>
      <c r="G487" s="64"/>
      <c r="H487" s="64"/>
      <c r="I487" s="64"/>
      <c r="J487" s="71"/>
      <c r="K487" s="66" t="str">
        <f aca="false">IF(J487=TRUE(),A487&amp;" - "&amp;B487,"")</f>
        <v/>
      </c>
      <c r="L487" s="64"/>
    </row>
    <row r="488" customFormat="false" ht="14.25" hidden="false" customHeight="true" outlineLevel="0" collapsed="false">
      <c r="A488" s="63"/>
      <c r="B488" s="64"/>
      <c r="C488" s="64"/>
      <c r="D488" s="64"/>
      <c r="E488" s="64"/>
      <c r="F488" s="64"/>
      <c r="G488" s="64"/>
      <c r="H488" s="64"/>
      <c r="I488" s="64"/>
      <c r="J488" s="71"/>
      <c r="K488" s="66" t="str">
        <f aca="false">IF(J488=TRUE(),A488&amp;" - "&amp;B488,"")</f>
        <v/>
      </c>
      <c r="L488" s="64"/>
    </row>
    <row r="489" customFormat="false" ht="14.25" hidden="false" customHeight="true" outlineLevel="0" collapsed="false">
      <c r="A489" s="63"/>
      <c r="B489" s="64"/>
      <c r="C489" s="64"/>
      <c r="D489" s="64"/>
      <c r="E489" s="64"/>
      <c r="F489" s="64"/>
      <c r="G489" s="64"/>
      <c r="H489" s="64"/>
      <c r="I489" s="64"/>
      <c r="J489" s="71"/>
      <c r="K489" s="66" t="str">
        <f aca="false">IF(J489=TRUE(),A489&amp;" - "&amp;B489,"")</f>
        <v/>
      </c>
      <c r="L489" s="64"/>
    </row>
    <row r="490" customFormat="false" ht="14.25" hidden="false" customHeight="true" outlineLevel="0" collapsed="false">
      <c r="A490" s="63"/>
      <c r="B490" s="64"/>
      <c r="C490" s="64"/>
      <c r="D490" s="64"/>
      <c r="E490" s="64"/>
      <c r="F490" s="64"/>
      <c r="G490" s="64"/>
      <c r="H490" s="64"/>
      <c r="I490" s="64"/>
      <c r="J490" s="71"/>
      <c r="K490" s="66" t="str">
        <f aca="false">IF(J490=TRUE(),A490&amp;" - "&amp;B490,"")</f>
        <v/>
      </c>
      <c r="L490" s="64"/>
    </row>
    <row r="491" customFormat="false" ht="14.25" hidden="false" customHeight="true" outlineLevel="0" collapsed="false">
      <c r="A491" s="63"/>
      <c r="B491" s="64"/>
      <c r="C491" s="64"/>
      <c r="D491" s="64"/>
      <c r="E491" s="64"/>
      <c r="F491" s="64"/>
      <c r="G491" s="64"/>
      <c r="H491" s="64"/>
      <c r="I491" s="64"/>
      <c r="J491" s="71"/>
      <c r="K491" s="66" t="str">
        <f aca="false">IF(J491=TRUE(),A491&amp;" - "&amp;B491,"")</f>
        <v/>
      </c>
      <c r="L491" s="64"/>
    </row>
    <row r="492" customFormat="false" ht="14.25" hidden="false" customHeight="true" outlineLevel="0" collapsed="false">
      <c r="A492" s="63"/>
      <c r="B492" s="64"/>
      <c r="C492" s="64"/>
      <c r="D492" s="64"/>
      <c r="E492" s="64"/>
      <c r="F492" s="64"/>
      <c r="G492" s="64"/>
      <c r="H492" s="64"/>
      <c r="I492" s="64"/>
      <c r="J492" s="71"/>
      <c r="K492" s="66" t="str">
        <f aca="false">IF(J492=TRUE(),A492&amp;" - "&amp;B492,"")</f>
        <v/>
      </c>
      <c r="L492" s="64"/>
    </row>
    <row r="493" customFormat="false" ht="14.25" hidden="false" customHeight="true" outlineLevel="0" collapsed="false">
      <c r="A493" s="63"/>
      <c r="B493" s="64"/>
      <c r="C493" s="64"/>
      <c r="D493" s="64"/>
      <c r="E493" s="64"/>
      <c r="F493" s="64"/>
      <c r="G493" s="64"/>
      <c r="H493" s="64"/>
      <c r="I493" s="64"/>
      <c r="J493" s="71"/>
      <c r="K493" s="66" t="str">
        <f aca="false">IF(J493=TRUE(),A493&amp;" - "&amp;B493,"")</f>
        <v/>
      </c>
      <c r="L493" s="64"/>
    </row>
    <row r="494" customFormat="false" ht="14.25" hidden="false" customHeight="true" outlineLevel="0" collapsed="false">
      <c r="A494" s="63"/>
      <c r="B494" s="64"/>
      <c r="C494" s="64"/>
      <c r="D494" s="64"/>
      <c r="E494" s="64"/>
      <c r="F494" s="64"/>
      <c r="G494" s="64"/>
      <c r="H494" s="64"/>
      <c r="I494" s="64"/>
      <c r="J494" s="71"/>
      <c r="K494" s="66" t="str">
        <f aca="false">IF(J494=TRUE(),A494&amp;" - "&amp;B494,"")</f>
        <v/>
      </c>
      <c r="L494" s="64"/>
    </row>
    <row r="495" customFormat="false" ht="14.25" hidden="false" customHeight="true" outlineLevel="0" collapsed="false">
      <c r="A495" s="63"/>
      <c r="B495" s="64"/>
      <c r="C495" s="64"/>
      <c r="D495" s="64"/>
      <c r="E495" s="64"/>
      <c r="F495" s="64"/>
      <c r="G495" s="64"/>
      <c r="H495" s="64"/>
      <c r="I495" s="64"/>
      <c r="J495" s="71"/>
      <c r="K495" s="66" t="str">
        <f aca="false">IF(J495=TRUE(),A495&amp;" - "&amp;B495,"")</f>
        <v/>
      </c>
      <c r="L495" s="64"/>
    </row>
    <row r="496" customFormat="false" ht="14.25" hidden="false" customHeight="true" outlineLevel="0" collapsed="false">
      <c r="A496" s="63"/>
      <c r="B496" s="64"/>
      <c r="C496" s="64"/>
      <c r="D496" s="64"/>
      <c r="E496" s="64"/>
      <c r="F496" s="64"/>
      <c r="G496" s="64"/>
      <c r="H496" s="64"/>
      <c r="I496" s="64"/>
      <c r="J496" s="71"/>
      <c r="K496" s="66" t="str">
        <f aca="false">IF(J496=TRUE(),A496&amp;" - "&amp;B496,"")</f>
        <v/>
      </c>
      <c r="L496" s="64"/>
    </row>
    <row r="497" customFormat="false" ht="14.25" hidden="false" customHeight="true" outlineLevel="0" collapsed="false">
      <c r="A497" s="63"/>
      <c r="B497" s="64"/>
      <c r="C497" s="64"/>
      <c r="D497" s="64"/>
      <c r="E497" s="64"/>
      <c r="F497" s="64"/>
      <c r="G497" s="64"/>
      <c r="H497" s="64"/>
      <c r="I497" s="64"/>
      <c r="J497" s="71"/>
      <c r="K497" s="66" t="str">
        <f aca="false">IF(J497=TRUE(),A497&amp;" - "&amp;B497,"")</f>
        <v/>
      </c>
      <c r="L497" s="64"/>
    </row>
    <row r="498" customFormat="false" ht="14.25" hidden="false" customHeight="true" outlineLevel="0" collapsed="false">
      <c r="A498" s="63"/>
      <c r="B498" s="64"/>
      <c r="C498" s="64"/>
      <c r="D498" s="64"/>
      <c r="E498" s="64"/>
      <c r="F498" s="64"/>
      <c r="G498" s="64"/>
      <c r="H498" s="64"/>
      <c r="I498" s="64"/>
      <c r="J498" s="71"/>
      <c r="K498" s="66" t="str">
        <f aca="false">IF(J498=TRUE(),A498&amp;" - "&amp;B498,"")</f>
        <v/>
      </c>
      <c r="L498" s="64"/>
    </row>
    <row r="499" customFormat="false" ht="13.5" hidden="false" customHeight="true" outlineLevel="0" collapsed="false">
      <c r="A499" s="63" t="s">
        <v>724</v>
      </c>
      <c r="B499" s="64" t="s">
        <v>725</v>
      </c>
      <c r="C499" s="64" t="n">
        <v>3</v>
      </c>
      <c r="D499" s="64" t="s">
        <v>72</v>
      </c>
      <c r="E499" s="64" t="s">
        <v>726</v>
      </c>
      <c r="F499" s="64" t="s">
        <v>727</v>
      </c>
      <c r="G499" s="64" t="s">
        <v>728</v>
      </c>
      <c r="H499" s="64" t="s">
        <v>729</v>
      </c>
      <c r="I499" s="64" t="s">
        <v>212</v>
      </c>
      <c r="J499" s="65" t="b">
        <f aca="false">TRUE()</f>
        <v>1</v>
      </c>
      <c r="K499" s="66" t="str">
        <f aca="false">IF(J499=TRUE(),A499&amp;" - "&amp;B499,"")</f>
        <v>6XX - Mbyllje sintetike e klasës 6</v>
      </c>
      <c r="L499" s="64" t="s">
        <v>702</v>
      </c>
    </row>
    <row r="500" customFormat="false" ht="13.5" hidden="false" customHeight="true" outlineLevel="0" collapsed="false">
      <c r="A500" s="63" t="s">
        <v>730</v>
      </c>
      <c r="B500" s="64" t="s">
        <v>731</v>
      </c>
      <c r="C500" s="64" t="n">
        <v>3</v>
      </c>
      <c r="D500" s="64" t="s">
        <v>614</v>
      </c>
      <c r="E500" s="64" t="s">
        <v>726</v>
      </c>
      <c r="F500" s="64" t="s">
        <v>727</v>
      </c>
      <c r="G500" s="64" t="s">
        <v>732</v>
      </c>
      <c r="H500" s="64" t="s">
        <v>729</v>
      </c>
      <c r="I500" s="64" t="s">
        <v>207</v>
      </c>
      <c r="J500" s="65" t="b">
        <f aca="false">TRUE()</f>
        <v>1</v>
      </c>
      <c r="K500" s="66" t="str">
        <f aca="false">IF(J500=TRUE(),A500&amp;" - "&amp;B500,"")</f>
        <v>7XX - Mbyllje sintetike e klasës 7</v>
      </c>
      <c r="L500" s="64" t="s">
        <v>702</v>
      </c>
    </row>
  </sheetData>
  <sheetProtection sheet="true" password="91db" formatCells="false" formatColumns="false" formatRows="false" sort="false" autoFilter="false"/>
  <conditionalFormatting sqref="A2:L500">
    <cfRule type="expression" priority="2" aboveAverage="0" equalAverage="0" bottom="0" percent="0" rank="0" text="" dxfId="0">
      <formula>$C2=1</formula>
    </cfRule>
    <cfRule type="expression" priority="3" aboveAverage="0" equalAverage="0" bottom="0" percent="0" rank="0" text="" dxfId="1">
      <formula>$C2=2</formula>
    </cfRule>
    <cfRule type="expression" priority="4" aboveAverage="0" equalAverage="0" bottom="0" percent="0" rank="0" text="" dxfId="2">
      <formula>AND($G2="Header",$C2&gt;=3)</formula>
    </cfRule>
    <cfRule type="expression" priority="5" aboveAverage="0" equalAverage="0" bottom="0" percent="0" rank="0" text="" dxfId="3">
      <formula>AND($J2=1,$G2&lt;&gt;"Header")</formula>
    </cfRule>
  </conditionalFormatting>
  <hyperlinks>
    <hyperlink ref="T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5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51" width="16"/>
    <col collapsed="false" customWidth="true" hidden="false" outlineLevel="0" max="3" min="2" style="1" width="15"/>
    <col collapsed="false" customWidth="true" hidden="false" outlineLevel="0" max="4" min="4" style="51" width="14"/>
    <col collapsed="false" customWidth="true" hidden="false" outlineLevel="0" max="5" min="5" style="51" width="32"/>
    <col collapsed="false" customWidth="true" hidden="false" outlineLevel="0" max="7" min="6" style="1" width="16"/>
    <col collapsed="false" customWidth="true" hidden="false" outlineLevel="0" max="9" min="8" style="51" width="14"/>
    <col collapsed="false" customWidth="true" hidden="false" outlineLevel="0" max="10" min="10" style="51" width="32"/>
    <col collapsed="false" customWidth="true" hidden="false" outlineLevel="0" max="11" min="11" style="51" width="16"/>
    <col collapsed="false" customWidth="true" hidden="false" outlineLevel="0" max="13" min="12" style="51" width="18"/>
    <col collapsed="false" customWidth="true" hidden="false" outlineLevel="0" max="14" min="14" style="51" width="22"/>
    <col collapsed="false" customWidth="true" hidden="false" outlineLevel="0" max="15" min="15" style="51" width="12"/>
    <col collapsed="false" customWidth="true" hidden="false" outlineLevel="0" max="16" min="16" style="51" width="20"/>
    <col collapsed="false" customWidth="true" hidden="false" outlineLevel="0" max="17" min="17" style="51" width="24"/>
    <col collapsed="false" customWidth="true" hidden="false" outlineLevel="0" max="18" min="18" style="51" width="14"/>
    <col collapsed="false" customWidth="true" hidden="true" outlineLevel="0" max="19" min="19" style="51" width="14"/>
    <col collapsed="false" customWidth="true" hidden="false" outlineLevel="0" max="20" min="20" style="1" width="16"/>
  </cols>
  <sheetData>
    <row r="1" s="51" customFormat="true" ht="19.5" hidden="false" customHeight="true" outlineLevel="0" collapsed="false">
      <c r="A1" s="72" t="s">
        <v>733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T1" s="29" t="s">
        <v>19</v>
      </c>
    </row>
    <row r="2" customFormat="false" ht="27.75" hidden="false" customHeight="true" outlineLevel="0" collapsed="false">
      <c r="A2" s="73" t="s">
        <v>734</v>
      </c>
      <c r="B2" s="73" t="s">
        <v>735</v>
      </c>
      <c r="C2" s="73" t="s">
        <v>736</v>
      </c>
      <c r="D2" s="73" t="s">
        <v>737</v>
      </c>
      <c r="K2" s="74" t="str">
        <f aca="false">"VEPRIME TË PËRDORURA: "&amp;DEMO_ID_COUNT&amp;" / 20"</f>
        <v>VEPRIME TË PËRDORURA: 0 / 20</v>
      </c>
      <c r="L2" s="74"/>
      <c r="M2" s="74"/>
      <c r="N2" s="75" t="str">
        <f aca="false">IF(DEMO_ID_COUNT&gt;=21,"KUFIRI DEMO U TEJKALUA",IF(DEMO_ID_COUNT=20,"KUFIRI DEMO U ARRIT",IF(DEMO_ID_COUNT&gt;=16,"PO I AFROHENI KUFIRIT","DEMO AKTIVE")))</f>
        <v>DEMO AKTIVE</v>
      </c>
      <c r="O2" s="75"/>
      <c r="P2" s="75"/>
      <c r="Q2" s="76" t="s">
        <v>738</v>
      </c>
      <c r="R2" s="76"/>
      <c r="S2" s="76"/>
      <c r="T2" s="76"/>
    </row>
    <row r="3" s="51" customFormat="true" ht="27.75" hidden="false" customHeight="true" outlineLevel="0" collapsed="false">
      <c r="A3" s="77" t="n">
        <f aca="false">SUM(F6:F550)</f>
        <v>0</v>
      </c>
      <c r="B3" s="78" t="n">
        <f aca="false">SUM(G6:G550)</f>
        <v>0</v>
      </c>
      <c r="C3" s="78" t="n">
        <f aca="false">A3-B3</f>
        <v>0</v>
      </c>
      <c r="D3" s="79" t="str">
        <f aca="false">IF(ABS(C3)&lt;0.005,"OK","ERROR")</f>
        <v>OK</v>
      </c>
      <c r="K3" s="74" t="str">
        <f aca="false">"VEPRIME TË MBETURA: "&amp;MAX(0,20-DEMO_ID_COUNT)</f>
        <v>VEPRIME TË MBETURA: 20</v>
      </c>
      <c r="L3" s="74"/>
      <c r="M3" s="74"/>
      <c r="N3" s="75"/>
      <c r="O3" s="75"/>
      <c r="P3" s="75"/>
      <c r="Q3" s="76"/>
      <c r="R3" s="76"/>
      <c r="S3" s="76"/>
      <c r="T3" s="76"/>
    </row>
    <row r="4" s="51" customFormat="true" ht="24" hidden="false" customHeight="true" outlineLevel="0" collapsed="false">
      <c r="A4" s="80" t="s">
        <v>739</v>
      </c>
      <c r="B4" s="80"/>
      <c r="C4" s="80"/>
      <c r="D4" s="80"/>
      <c r="E4" s="80"/>
      <c r="F4" s="80"/>
      <c r="G4" s="80"/>
      <c r="H4" s="80"/>
      <c r="I4" s="80"/>
      <c r="J4" s="81"/>
      <c r="K4" s="81"/>
      <c r="L4" s="81"/>
      <c r="M4" s="81"/>
      <c r="N4" s="81"/>
      <c r="O4" s="81"/>
      <c r="P4" s="81"/>
      <c r="Q4" s="81"/>
      <c r="R4" s="81"/>
      <c r="S4" s="81"/>
    </row>
    <row r="5" customFormat="false" ht="33.75" hidden="false" customHeight="true" outlineLevel="0" collapsed="false">
      <c r="A5" s="82" t="s">
        <v>740</v>
      </c>
      <c r="B5" s="83" t="s">
        <v>741</v>
      </c>
      <c r="C5" s="83" t="s">
        <v>742</v>
      </c>
      <c r="D5" s="83" t="s">
        <v>743</v>
      </c>
      <c r="E5" s="83" t="s">
        <v>744</v>
      </c>
      <c r="F5" s="83" t="s">
        <v>212</v>
      </c>
      <c r="G5" s="84" t="s">
        <v>745</v>
      </c>
      <c r="H5" s="84" t="s">
        <v>746</v>
      </c>
      <c r="I5" s="85" t="s">
        <v>747</v>
      </c>
      <c r="J5" s="84" t="s">
        <v>748</v>
      </c>
      <c r="K5" s="84" t="s">
        <v>749</v>
      </c>
      <c r="L5" s="84" t="s">
        <v>750</v>
      </c>
      <c r="M5" s="86" t="s">
        <v>751</v>
      </c>
      <c r="N5" s="87" t="s">
        <v>752</v>
      </c>
      <c r="O5" s="88"/>
      <c r="P5" s="88"/>
      <c r="Q5" s="88"/>
      <c r="R5" s="88"/>
      <c r="S5" s="88" t="s">
        <v>753</v>
      </c>
      <c r="T5" s="1" t="s">
        <v>754</v>
      </c>
    </row>
    <row r="6" customFormat="false" ht="14.25" hidden="false" customHeight="true" outlineLevel="0" collapsed="false">
      <c r="A6" s="89"/>
      <c r="B6" s="90"/>
      <c r="C6" s="90"/>
      <c r="D6" s="90"/>
      <c r="E6" s="91" t="str">
        <f aca="false">IFERROR(VLOOKUP(D6,PLANI_LLOGARIVE!$A:$B,2,FALSE()),"")</f>
        <v/>
      </c>
      <c r="F6" s="92"/>
      <c r="G6" s="93"/>
      <c r="H6" s="94"/>
      <c r="I6" s="95"/>
      <c r="J6" s="96" t="str">
        <f aca="false">IF(TRIM($C6)="","",IF($M6&lt;&gt;"OK",$M6,IF(ABS(SUMIFS($F:$F,$C:$C,TRIM($C6))-SUMIFS($G:$G,$C:$C,TRIM($C6)))&lt;0.005,"OK","ERROR - veprimi nuk balancohet")))</f>
        <v/>
      </c>
      <c r="K6" s="97" t="str">
        <f aca="false">IF($D6="","",IFERROR(VLOOKUP($D6,PLANI_LLOGARIVE!$A:$J,10,FALSE()),FALSE()))</f>
        <v/>
      </c>
      <c r="L6" s="97" t="str">
        <f aca="false">IF($D6="","",IFERROR(VLOOKUP($D6,PLANI_LLOGARIVE!$A:$G,7,FALSE()),"NUK EKZISTON"))</f>
        <v/>
      </c>
      <c r="M6" s="98" t="str">
        <f aca="false">IF($D6="","",IF(COUNTIF(PLANI_LLOGARIVE!$A:$A,$D6)=0,"ERROR - llogaria nuk ekziston",IF($K6=TRUE(),"OK","ERROR - llogari jo-postuese/Header")))</f>
        <v/>
      </c>
      <c r="N6" s="99" t="str">
        <f aca="false">IF(TRIM($C6)="","",IF(ABS(SUMIFS($F:$F,$C:$C,TRIM($C6))-SUMIFS($G:$G,$C:$C,TRIM($C6)))&lt;0.005,"OK","ERROR - debi/kredi"))</f>
        <v/>
      </c>
      <c r="O6" s="88"/>
      <c r="P6" s="88"/>
      <c r="Q6" s="88"/>
      <c r="R6" s="88"/>
      <c r="S6" s="100" t="str">
        <f aca="false">IF(D6="","",LEFT(D6&amp;"",2))</f>
        <v/>
      </c>
      <c r="T6" s="101" t="str">
        <f aca="false">IF(D6="","",LEFT(D6&amp;"",3))</f>
        <v/>
      </c>
    </row>
    <row r="7" customFormat="false" ht="14.25" hidden="false" customHeight="true" outlineLevel="0" collapsed="false">
      <c r="A7" s="89"/>
      <c r="B7" s="90"/>
      <c r="C7" s="90"/>
      <c r="D7" s="90"/>
      <c r="E7" s="91" t="str">
        <f aca="false">IFERROR(VLOOKUP(D7,PLANI_LLOGARIVE!$A:$B,2,FALSE()),"")</f>
        <v/>
      </c>
      <c r="F7" s="92"/>
      <c r="G7" s="93"/>
      <c r="H7" s="94"/>
      <c r="I7" s="95"/>
      <c r="J7" s="96" t="str">
        <f aca="false">IF(TRIM($C7)="","",IF($M7&lt;&gt;"OK",$M7,IF(ABS(SUMIFS($F:$F,$C:$C,TRIM($C7))-SUMIFS($G:$G,$C:$C,TRIM($C7)))&lt;0.005,"OK","ERROR - veprimi nuk balancohet")))</f>
        <v/>
      </c>
      <c r="K7" s="97" t="str">
        <f aca="false">IF($D7="","",IFERROR(VLOOKUP($D7,PLANI_LLOGARIVE!$A:$J,10,FALSE()),FALSE()))</f>
        <v/>
      </c>
      <c r="L7" s="97" t="str">
        <f aca="false">IF($D7="","",IFERROR(VLOOKUP($D7,PLANI_LLOGARIVE!$A:$G,7,FALSE()),"NUK EKZISTON"))</f>
        <v/>
      </c>
      <c r="M7" s="98" t="str">
        <f aca="false">IF($D7="","",IF(COUNTIF(PLANI_LLOGARIVE!$A:$A,$D7)=0,"ERROR - llogaria nuk ekziston",IF($K7=TRUE(),"OK","ERROR - llogari jo-postuese/Header")))</f>
        <v/>
      </c>
      <c r="N7" s="99" t="str">
        <f aca="false">IF(TRIM($C7)="","",IF(ABS(SUMIFS($F:$F,$C:$C,TRIM($C7))-SUMIFS($G:$G,$C:$C,TRIM($C7)))&lt;0.005,"OK","ERROR - debi/kredi"))</f>
        <v/>
      </c>
      <c r="O7" s="88"/>
      <c r="P7" s="88"/>
      <c r="Q7" s="88"/>
      <c r="R7" s="88"/>
      <c r="S7" s="100" t="str">
        <f aca="false">IF(D7="","",LEFT(D7&amp;"",2))</f>
        <v/>
      </c>
      <c r="T7" s="101" t="str">
        <f aca="false">IF(D7="","",LEFT(D7&amp;"",3))</f>
        <v/>
      </c>
    </row>
    <row r="8" customFormat="false" ht="14.25" hidden="false" customHeight="true" outlineLevel="0" collapsed="false">
      <c r="A8" s="89"/>
      <c r="B8" s="90"/>
      <c r="C8" s="90"/>
      <c r="D8" s="90"/>
      <c r="E8" s="91" t="str">
        <f aca="false">IFERROR(VLOOKUP(D8,PLANI_LLOGARIVE!$A:$B,2,FALSE()),"")</f>
        <v/>
      </c>
      <c r="F8" s="92"/>
      <c r="G8" s="93"/>
      <c r="H8" s="94"/>
      <c r="I8" s="95"/>
      <c r="J8" s="96" t="str">
        <f aca="false">IF(TRIM($C8)="","",IF($M8&lt;&gt;"OK",$M8,IF(ABS(SUMIFS($F:$F,$C:$C,TRIM($C8))-SUMIFS($G:$G,$C:$C,TRIM($C8)))&lt;0.005,"OK","ERROR - veprimi nuk balancohet")))</f>
        <v/>
      </c>
      <c r="K8" s="97" t="str">
        <f aca="false">IF($D8="","",IFERROR(VLOOKUP($D8,PLANI_LLOGARIVE!$A:$J,10,FALSE()),FALSE()))</f>
        <v/>
      </c>
      <c r="L8" s="97" t="str">
        <f aca="false">IF($D8="","",IFERROR(VLOOKUP($D8,PLANI_LLOGARIVE!$A:$G,7,FALSE()),"NUK EKZISTON"))</f>
        <v/>
      </c>
      <c r="M8" s="98" t="str">
        <f aca="false">IF($D8="","",IF(COUNTIF(PLANI_LLOGARIVE!$A:$A,$D8)=0,"ERROR - llogaria nuk ekziston",IF($K8=TRUE(),"OK","ERROR - llogari jo-postuese/Header")))</f>
        <v/>
      </c>
      <c r="N8" s="99" t="str">
        <f aca="false">IF(TRIM($C8)="","",IF(ABS(SUMIFS($F:$F,$C:$C,TRIM($C8))-SUMIFS($G:$G,$C:$C,TRIM($C8)))&lt;0.005,"OK","ERROR - debi/kredi"))</f>
        <v/>
      </c>
      <c r="O8" s="88"/>
      <c r="P8" s="88"/>
      <c r="Q8" s="88"/>
      <c r="R8" s="88"/>
      <c r="S8" s="100" t="str">
        <f aca="false">IF(D8="","",LEFT(D8&amp;"",2))</f>
        <v/>
      </c>
      <c r="T8" s="101" t="str">
        <f aca="false">IF(D8="","",LEFT(D8&amp;"",3))</f>
        <v/>
      </c>
    </row>
    <row r="9" customFormat="false" ht="14.25" hidden="false" customHeight="true" outlineLevel="0" collapsed="false">
      <c r="A9" s="89"/>
      <c r="B9" s="90"/>
      <c r="C9" s="90"/>
      <c r="D9" s="90"/>
      <c r="E9" s="91" t="str">
        <f aca="false">IFERROR(VLOOKUP(D9,PLANI_LLOGARIVE!$A:$B,2,FALSE()),"")</f>
        <v/>
      </c>
      <c r="F9" s="92"/>
      <c r="G9" s="93"/>
      <c r="H9" s="94"/>
      <c r="I9" s="95"/>
      <c r="J9" s="96" t="str">
        <f aca="false">IF(TRIM($C9)="","",IF($M9&lt;&gt;"OK",$M9,IF(ABS(SUMIFS($F:$F,$C:$C,TRIM($C9))-SUMIFS($G:$G,$C:$C,TRIM($C9)))&lt;0.005,"OK","ERROR - veprimi nuk balancohet")))</f>
        <v/>
      </c>
      <c r="K9" s="97" t="str">
        <f aca="false">IF($D9="","",IFERROR(VLOOKUP($D9,PLANI_LLOGARIVE!$A:$J,10,FALSE()),FALSE()))</f>
        <v/>
      </c>
      <c r="L9" s="97" t="str">
        <f aca="false">IF($D9="","",IFERROR(VLOOKUP($D9,PLANI_LLOGARIVE!$A:$G,7,FALSE()),"NUK EKZISTON"))</f>
        <v/>
      </c>
      <c r="M9" s="98" t="str">
        <f aca="false">IF($D9="","",IF(COUNTIF(PLANI_LLOGARIVE!$A:$A,$D9)=0,"ERROR - llogaria nuk ekziston",IF($K9=TRUE(),"OK","ERROR - llogari jo-postuese/Header")))</f>
        <v/>
      </c>
      <c r="N9" s="99" t="str">
        <f aca="false">IF(TRIM($C9)="","",IF(ABS(SUMIFS($F:$F,$C:$C,TRIM($C9))-SUMIFS($G:$G,$C:$C,TRIM($C9)))&lt;0.005,"OK","ERROR - debi/kredi"))</f>
        <v/>
      </c>
      <c r="O9" s="88"/>
      <c r="P9" s="88"/>
      <c r="Q9" s="88"/>
      <c r="R9" s="88"/>
      <c r="S9" s="100" t="str">
        <f aca="false">IF(D9="","",LEFT(D9&amp;"",2))</f>
        <v/>
      </c>
      <c r="T9" s="101" t="str">
        <f aca="false">IF(D9="","",LEFT(D9&amp;"",3))</f>
        <v/>
      </c>
    </row>
    <row r="10" customFormat="false" ht="14.25" hidden="false" customHeight="true" outlineLevel="0" collapsed="false">
      <c r="A10" s="89"/>
      <c r="B10" s="90"/>
      <c r="C10" s="90"/>
      <c r="D10" s="90"/>
      <c r="E10" s="91" t="str">
        <f aca="false">IFERROR(VLOOKUP(D10,PLANI_LLOGARIVE!$A:$B,2,FALSE()),"")</f>
        <v/>
      </c>
      <c r="F10" s="92"/>
      <c r="G10" s="93"/>
      <c r="H10" s="94"/>
      <c r="I10" s="95"/>
      <c r="J10" s="96" t="str">
        <f aca="false">IF(TRIM($C10)="","",IF($M10&lt;&gt;"OK",$M10,IF(ABS(SUMIFS($F:$F,$C:$C,TRIM($C10))-SUMIFS($G:$G,$C:$C,TRIM($C10)))&lt;0.005,"OK","ERROR - veprimi nuk balancohet")))</f>
        <v/>
      </c>
      <c r="K10" s="97" t="str">
        <f aca="false">IF($D10="","",IFERROR(VLOOKUP($D10,PLANI_LLOGARIVE!$A:$J,10,FALSE()),FALSE()))</f>
        <v/>
      </c>
      <c r="L10" s="97" t="str">
        <f aca="false">IF($D10="","",IFERROR(VLOOKUP($D10,PLANI_LLOGARIVE!$A:$G,7,FALSE()),"NUK EKZISTON"))</f>
        <v/>
      </c>
      <c r="M10" s="98" t="str">
        <f aca="false">IF($D10="","",IF(COUNTIF(PLANI_LLOGARIVE!$A:$A,$D10)=0,"ERROR - llogaria nuk ekziston",IF($K10=TRUE(),"OK","ERROR - llogari jo-postuese/Header")))</f>
        <v/>
      </c>
      <c r="N10" s="99" t="str">
        <f aca="false">IF(TRIM($C10)="","",IF(ABS(SUMIFS($F:$F,$C:$C,TRIM($C10))-SUMIFS($G:$G,$C:$C,TRIM($C10)))&lt;0.005,"OK","ERROR - debi/kredi"))</f>
        <v/>
      </c>
      <c r="O10" s="88"/>
      <c r="P10" s="88"/>
      <c r="Q10" s="88"/>
      <c r="R10" s="88"/>
      <c r="S10" s="100" t="str">
        <f aca="false">IF(D10="","",LEFT(D10&amp;"",2))</f>
        <v/>
      </c>
      <c r="T10" s="101" t="str">
        <f aca="false">IF(D10="","",LEFT(D10&amp;"",3))</f>
        <v/>
      </c>
    </row>
    <row r="11" customFormat="false" ht="14.25" hidden="false" customHeight="true" outlineLevel="0" collapsed="false">
      <c r="A11" s="89"/>
      <c r="B11" s="90"/>
      <c r="C11" s="90"/>
      <c r="D11" s="90"/>
      <c r="E11" s="91" t="str">
        <f aca="false">IFERROR(VLOOKUP(D11,PLANI_LLOGARIVE!$A:$B,2,FALSE()),"")</f>
        <v/>
      </c>
      <c r="F11" s="92"/>
      <c r="G11" s="93"/>
      <c r="H11" s="94"/>
      <c r="I11" s="95"/>
      <c r="J11" s="96" t="str">
        <f aca="false">IF(TRIM($C11)="","",IF($M11&lt;&gt;"OK",$M11,IF(ABS(SUMIFS($F:$F,$C:$C,TRIM($C11))-SUMIFS($G:$G,$C:$C,TRIM($C11)))&lt;0.005,"OK","ERROR - veprimi nuk balancohet")))</f>
        <v/>
      </c>
      <c r="K11" s="97" t="str">
        <f aca="false">IF($D11="","",IFERROR(VLOOKUP($D11,PLANI_LLOGARIVE!$A:$J,10,FALSE()),FALSE()))</f>
        <v/>
      </c>
      <c r="L11" s="97" t="str">
        <f aca="false">IF($D11="","",IFERROR(VLOOKUP($D11,PLANI_LLOGARIVE!$A:$G,7,FALSE()),"NUK EKZISTON"))</f>
        <v/>
      </c>
      <c r="M11" s="98" t="str">
        <f aca="false">IF($D11="","",IF(COUNTIF(PLANI_LLOGARIVE!$A:$A,$D11)=0,"ERROR - llogaria nuk ekziston",IF($K11=TRUE(),"OK","ERROR - llogari jo-postuese/Header")))</f>
        <v/>
      </c>
      <c r="N11" s="99" t="str">
        <f aca="false">IF(TRIM($C11)="","",IF(ABS(SUMIFS($F:$F,$C:$C,TRIM($C11))-SUMIFS($G:$G,$C:$C,TRIM($C11)))&lt;0.005,"OK","ERROR - debi/kredi"))</f>
        <v/>
      </c>
      <c r="O11" s="88"/>
      <c r="P11" s="88"/>
      <c r="Q11" s="88"/>
      <c r="R11" s="88"/>
      <c r="S11" s="100" t="str">
        <f aca="false">IF(D11="","",LEFT(D11&amp;"",2))</f>
        <v/>
      </c>
      <c r="T11" s="101" t="str">
        <f aca="false">IF(D11="","",LEFT(D11&amp;"",3))</f>
        <v/>
      </c>
    </row>
    <row r="12" customFormat="false" ht="14.25" hidden="false" customHeight="true" outlineLevel="0" collapsed="false">
      <c r="A12" s="89"/>
      <c r="B12" s="90"/>
      <c r="C12" s="90"/>
      <c r="D12" s="90"/>
      <c r="E12" s="91" t="str">
        <f aca="false">IFERROR(VLOOKUP(D12,PLANI_LLOGARIVE!$A:$B,2,FALSE()),"")</f>
        <v/>
      </c>
      <c r="F12" s="92"/>
      <c r="G12" s="93"/>
      <c r="H12" s="94"/>
      <c r="I12" s="95"/>
      <c r="J12" s="102" t="str">
        <f aca="false">IF(TRIM($C12)="","",IF($M12&lt;&gt;"OK",$M12,IF(ABS(SUMIFS($F:$F,$C:$C,TRIM($C12))-SUMIFS($G:$G,$C:$C,TRIM($C12)))&lt;0.005,"OK","ERROR - veprimi nuk balancohet")))</f>
        <v/>
      </c>
      <c r="K12" s="97" t="str">
        <f aca="false">IF($D12="","",IFERROR(VLOOKUP($D12,PLANI_LLOGARIVE!$A:$J,10,FALSE()),FALSE()))</f>
        <v/>
      </c>
      <c r="L12" s="103" t="str">
        <f aca="false">IF($D12="","",IFERROR(VLOOKUP($D12,PLANI_LLOGARIVE!$A:$G,7,FALSE()),"NUK EKZISTON"))</f>
        <v/>
      </c>
      <c r="M12" s="98" t="str">
        <f aca="false">IF($D12="","",IF(COUNTIF(PLANI_LLOGARIVE!$A:$A,$D12)=0,"ERROR - llogaria nuk ekziston",IF($K12=TRUE(),"OK","ERROR - llogari jo-postuese/Header")))</f>
        <v/>
      </c>
      <c r="N12" s="99" t="str">
        <f aca="false">IF(TRIM($C12)="","",IF(ABS(SUMIFS($F:$F,$C:$C,TRIM($C12))-SUMIFS($G:$G,$C:$C,TRIM($C12)))&lt;0.005,"OK","ERROR - debi/kredi"))</f>
        <v/>
      </c>
      <c r="O12" s="88"/>
      <c r="P12" s="88"/>
      <c r="Q12" s="88"/>
      <c r="R12" s="88"/>
      <c r="S12" s="100" t="str">
        <f aca="false">IF(D12="","",LEFT(D12&amp;"",2))</f>
        <v/>
      </c>
      <c r="T12" s="101" t="str">
        <f aca="false">IF(D12="","",LEFT(D12&amp;"",3))</f>
        <v/>
      </c>
    </row>
    <row r="13" customFormat="false" ht="14.25" hidden="false" customHeight="true" outlineLevel="0" collapsed="false">
      <c r="A13" s="89"/>
      <c r="B13" s="90"/>
      <c r="C13" s="90"/>
      <c r="D13" s="90"/>
      <c r="E13" s="91" t="str">
        <f aca="false">IFERROR(VLOOKUP(D13,PLANI_LLOGARIVE!$A:$B,2,FALSE()),"")</f>
        <v/>
      </c>
      <c r="F13" s="92"/>
      <c r="G13" s="93"/>
      <c r="H13" s="94"/>
      <c r="I13" s="95"/>
      <c r="J13" s="96" t="str">
        <f aca="false">IF(TRIM($C13)="","",IF($M13&lt;&gt;"OK",$M13,IF(ABS(SUMIFS($F:$F,$C:$C,TRIM($C13))-SUMIFS($G:$G,$C:$C,TRIM($C13)))&lt;0.005,"OK","ERROR - veprimi nuk balancohet")))</f>
        <v/>
      </c>
      <c r="K13" s="97" t="str">
        <f aca="false">IF($D13="","",IFERROR(VLOOKUP($D13,PLANI_LLOGARIVE!$A:$J,10,FALSE()),FALSE()))</f>
        <v/>
      </c>
      <c r="L13" s="97" t="str">
        <f aca="false">IF($D13="","",IFERROR(VLOOKUP($D13,PLANI_LLOGARIVE!$A:$G,7,FALSE()),"NUK EKZISTON"))</f>
        <v/>
      </c>
      <c r="M13" s="98" t="str">
        <f aca="false">IF($D13="","",IF(COUNTIF(PLANI_LLOGARIVE!$A:$A,$D13)=0,"ERROR - llogaria nuk ekziston",IF($K13=TRUE(),"OK","ERROR - llogari jo-postuese/Header")))</f>
        <v/>
      </c>
      <c r="N13" s="99" t="str">
        <f aca="false">IF(TRIM($C13)="","",IF(ABS(SUMIFS($F:$F,$C:$C,TRIM($C13))-SUMIFS($G:$G,$C:$C,TRIM($C13)))&lt;0.005,"OK","ERROR - debi/kredi"))</f>
        <v/>
      </c>
      <c r="O13" s="88"/>
      <c r="P13" s="88"/>
      <c r="Q13" s="88"/>
      <c r="R13" s="88"/>
      <c r="S13" s="100" t="str">
        <f aca="false">IF(D13="","",LEFT(D13&amp;"",2))</f>
        <v/>
      </c>
      <c r="T13" s="101" t="str">
        <f aca="false">IF(D13="","",LEFT(D13&amp;"",3))</f>
        <v/>
      </c>
    </row>
    <row r="14" customFormat="false" ht="14.25" hidden="false" customHeight="true" outlineLevel="0" collapsed="false">
      <c r="A14" s="89"/>
      <c r="B14" s="90"/>
      <c r="C14" s="90"/>
      <c r="D14" s="90"/>
      <c r="E14" s="91" t="str">
        <f aca="false">IFERROR(VLOOKUP(D14,PLANI_LLOGARIVE!$A:$B,2,FALSE()),"")</f>
        <v/>
      </c>
      <c r="F14" s="92"/>
      <c r="G14" s="93"/>
      <c r="H14" s="94"/>
      <c r="I14" s="95"/>
      <c r="J14" s="96" t="str">
        <f aca="false">IF(TRIM($C14)="","",IF($M14&lt;&gt;"OK",$M14,IF(ABS(SUMIFS($F:$F,$C:$C,TRIM($C14))-SUMIFS($G:$G,$C:$C,TRIM($C14)))&lt;0.005,"OK","ERROR - veprimi nuk balancohet")))</f>
        <v/>
      </c>
      <c r="K14" s="97" t="str">
        <f aca="false">IF($D14="","",IFERROR(VLOOKUP($D14,PLANI_LLOGARIVE!$A:$J,10,FALSE()),FALSE()))</f>
        <v/>
      </c>
      <c r="L14" s="97" t="str">
        <f aca="false">IF($D14="","",IFERROR(VLOOKUP($D14,PLANI_LLOGARIVE!$A:$G,7,FALSE()),"NUK EKZISTON"))</f>
        <v/>
      </c>
      <c r="M14" s="98" t="str">
        <f aca="false">IF($D14="","",IF(COUNTIF(PLANI_LLOGARIVE!$A:$A,$D14)=0,"ERROR - llogaria nuk ekziston",IF($K14=TRUE(),"OK","ERROR - llogari jo-postuese/Header")))</f>
        <v/>
      </c>
      <c r="N14" s="99" t="str">
        <f aca="false">IF(TRIM($C14)="","",IF(ABS(SUMIFS($F:$F,$C:$C,TRIM($C14))-SUMIFS($G:$G,$C:$C,TRIM($C14)))&lt;0.005,"OK","ERROR - debi/kredi"))</f>
        <v/>
      </c>
      <c r="O14" s="88"/>
      <c r="P14" s="88"/>
      <c r="Q14" s="88"/>
      <c r="R14" s="88"/>
      <c r="S14" s="100" t="str">
        <f aca="false">IF(D14="","",LEFT(D14&amp;"",2))</f>
        <v/>
      </c>
      <c r="T14" s="101" t="str">
        <f aca="false">IF(D14="","",LEFT(D14&amp;"",3))</f>
        <v/>
      </c>
    </row>
    <row r="15" customFormat="false" ht="14.25" hidden="false" customHeight="true" outlineLevel="0" collapsed="false">
      <c r="A15" s="89"/>
      <c r="B15" s="90"/>
      <c r="C15" s="90"/>
      <c r="D15" s="90"/>
      <c r="E15" s="91" t="str">
        <f aca="false">IFERROR(VLOOKUP(D15,PLANI_LLOGARIVE!$A:$B,2,FALSE()),"")</f>
        <v/>
      </c>
      <c r="F15" s="92"/>
      <c r="G15" s="93"/>
      <c r="H15" s="94"/>
      <c r="I15" s="95"/>
      <c r="J15" s="96" t="str">
        <f aca="false">IF(TRIM($C15)="","",IF($M15&lt;&gt;"OK",$M15,IF(ABS(SUMIFS($F:$F,$C:$C,TRIM($C15))-SUMIFS($G:$G,$C:$C,TRIM($C15)))&lt;0.005,"OK","ERROR - veprimi nuk balancohet")))</f>
        <v/>
      </c>
      <c r="K15" s="97" t="str">
        <f aca="false">IF($D15="","",IFERROR(VLOOKUP($D15,PLANI_LLOGARIVE!$A:$J,10,FALSE()),FALSE()))</f>
        <v/>
      </c>
      <c r="L15" s="97" t="str">
        <f aca="false">IF($D15="","",IFERROR(VLOOKUP($D15,PLANI_LLOGARIVE!$A:$G,7,FALSE()),"NUK EKZISTON"))</f>
        <v/>
      </c>
      <c r="M15" s="98" t="str">
        <f aca="false">IF($D15="","",IF(COUNTIF(PLANI_LLOGARIVE!$A:$A,$D15)=0,"ERROR - llogaria nuk ekziston",IF($K15=TRUE(),"OK","ERROR - llogari jo-postuese/Header")))</f>
        <v/>
      </c>
      <c r="N15" s="99" t="str">
        <f aca="false">IF(TRIM($C15)="","",IF(ABS(SUMIFS($F:$F,$C:$C,TRIM($C15))-SUMIFS($G:$G,$C:$C,TRIM($C15)))&lt;0.005,"OK","ERROR - debi/kredi"))</f>
        <v/>
      </c>
      <c r="O15" s="88"/>
      <c r="P15" s="88"/>
      <c r="Q15" s="88"/>
      <c r="R15" s="88"/>
      <c r="S15" s="100" t="str">
        <f aca="false">IF(D15="","",LEFT(D15&amp;"",2))</f>
        <v/>
      </c>
      <c r="T15" s="101" t="str">
        <f aca="false">IF(D15="","",LEFT(D15&amp;"",3))</f>
        <v/>
      </c>
    </row>
    <row r="16" customFormat="false" ht="14.25" hidden="false" customHeight="true" outlineLevel="0" collapsed="false">
      <c r="A16" s="89"/>
      <c r="B16" s="90"/>
      <c r="C16" s="90"/>
      <c r="D16" s="90"/>
      <c r="E16" s="91" t="str">
        <f aca="false">IFERROR(VLOOKUP(D16,PLANI_LLOGARIVE!$A:$B,2,FALSE()),"")</f>
        <v/>
      </c>
      <c r="F16" s="92"/>
      <c r="G16" s="93"/>
      <c r="H16" s="94"/>
      <c r="I16" s="95"/>
      <c r="J16" s="96" t="str">
        <f aca="false">IF(TRIM($C16)="","",IF($M16&lt;&gt;"OK",$M16,IF(ABS(SUMIFS($F:$F,$C:$C,TRIM($C16))-SUMIFS($G:$G,$C:$C,TRIM($C16)))&lt;0.005,"OK","ERROR - veprimi nuk balancohet")))</f>
        <v/>
      </c>
      <c r="K16" s="97" t="str">
        <f aca="false">IF($D16="","",IFERROR(VLOOKUP($D16,PLANI_LLOGARIVE!$A:$J,10,FALSE()),FALSE()))</f>
        <v/>
      </c>
      <c r="L16" s="97" t="str">
        <f aca="false">IF($D16="","",IFERROR(VLOOKUP($D16,PLANI_LLOGARIVE!$A:$G,7,FALSE()),"NUK EKZISTON"))</f>
        <v/>
      </c>
      <c r="M16" s="98" t="str">
        <f aca="false">IF($D16="","",IF(COUNTIF(PLANI_LLOGARIVE!$A:$A,$D16)=0,"ERROR - llogaria nuk ekziston",IF($K16=TRUE(),"OK","ERROR - llogari jo-postuese/Header")))</f>
        <v/>
      </c>
      <c r="N16" s="99" t="str">
        <f aca="false">IF(TRIM($C16)="","",IF(ABS(SUMIFS($F:$F,$C:$C,TRIM($C16))-SUMIFS($G:$G,$C:$C,TRIM($C16)))&lt;0.005,"OK","ERROR - debi/kredi"))</f>
        <v/>
      </c>
      <c r="O16" s="88"/>
      <c r="P16" s="88"/>
      <c r="Q16" s="88"/>
      <c r="R16" s="88"/>
      <c r="S16" s="100" t="str">
        <f aca="false">IF(D16="","",LEFT(D16&amp;"",2))</f>
        <v/>
      </c>
      <c r="T16" s="101" t="str">
        <f aca="false">IF(D16="","",LEFT(D16&amp;"",3))</f>
        <v/>
      </c>
    </row>
    <row r="17" customFormat="false" ht="14.25" hidden="false" customHeight="true" outlineLevel="0" collapsed="false">
      <c r="A17" s="89"/>
      <c r="B17" s="90"/>
      <c r="C17" s="90"/>
      <c r="D17" s="90"/>
      <c r="E17" s="91" t="str">
        <f aca="false">IFERROR(VLOOKUP(D17,PLANI_LLOGARIVE!$A:$B,2,FALSE()),"")</f>
        <v/>
      </c>
      <c r="F17" s="92"/>
      <c r="G17" s="93"/>
      <c r="H17" s="94"/>
      <c r="I17" s="95"/>
      <c r="J17" s="96" t="str">
        <f aca="false">IF(TRIM($C17)="","",IF($M17&lt;&gt;"OK",$M17,IF(ABS(SUMIFS($F:$F,$C:$C,TRIM($C17))-SUMIFS($G:$G,$C:$C,TRIM($C17)))&lt;0.005,"OK","ERROR - veprimi nuk balancohet")))</f>
        <v/>
      </c>
      <c r="K17" s="97" t="str">
        <f aca="false">IF($D17="","",IFERROR(VLOOKUP($D17,PLANI_LLOGARIVE!$A:$J,10,FALSE()),FALSE()))</f>
        <v/>
      </c>
      <c r="L17" s="97" t="str">
        <f aca="false">IF($D17="","",IFERROR(VLOOKUP($D17,PLANI_LLOGARIVE!$A:$G,7,FALSE()),"NUK EKZISTON"))</f>
        <v/>
      </c>
      <c r="M17" s="98" t="str">
        <f aca="false">IF($D17="","",IF(COUNTIF(PLANI_LLOGARIVE!$A:$A,$D17)=0,"ERROR - llogaria nuk ekziston",IF($K17=TRUE(),"OK","ERROR - llogari jo-postuese/Header")))</f>
        <v/>
      </c>
      <c r="N17" s="99" t="str">
        <f aca="false">IF(TRIM($C17)="","",IF(ABS(SUMIFS($F:$F,$C:$C,TRIM($C17))-SUMIFS($G:$G,$C:$C,TRIM($C17)))&lt;0.005,"OK","ERROR - debi/kredi"))</f>
        <v/>
      </c>
      <c r="O17" s="88"/>
      <c r="P17" s="88"/>
      <c r="Q17" s="88"/>
      <c r="R17" s="88"/>
      <c r="S17" s="100" t="str">
        <f aca="false">IF(D17="","",LEFT(D17&amp;"",2))</f>
        <v/>
      </c>
      <c r="T17" s="101" t="str">
        <f aca="false">IF(D17="","",LEFT(D17&amp;"",3))</f>
        <v/>
      </c>
    </row>
    <row r="18" customFormat="false" ht="14.25" hidden="false" customHeight="true" outlineLevel="0" collapsed="false">
      <c r="A18" s="89"/>
      <c r="B18" s="90"/>
      <c r="C18" s="90"/>
      <c r="D18" s="90"/>
      <c r="E18" s="91" t="str">
        <f aca="false">IFERROR(VLOOKUP(D18,PLANI_LLOGARIVE!$A:$B,2,FALSE()),"")</f>
        <v/>
      </c>
      <c r="F18" s="92"/>
      <c r="G18" s="93"/>
      <c r="H18" s="94"/>
      <c r="I18" s="95"/>
      <c r="J18" s="96" t="str">
        <f aca="false">IF(TRIM($C18)="","",IF($M18&lt;&gt;"OK",$M18,IF(ABS(SUMIFS($F:$F,$C:$C,TRIM($C18))-SUMIFS($G:$G,$C:$C,TRIM($C18)))&lt;0.005,"OK","ERROR - veprimi nuk balancohet")))</f>
        <v/>
      </c>
      <c r="K18" s="97" t="str">
        <f aca="false">IF($D18="","",IFERROR(VLOOKUP($D18,PLANI_LLOGARIVE!$A:$J,10,FALSE()),FALSE()))</f>
        <v/>
      </c>
      <c r="L18" s="97" t="str">
        <f aca="false">IF($D18="","",IFERROR(VLOOKUP($D18,PLANI_LLOGARIVE!$A:$G,7,FALSE()),"NUK EKZISTON"))</f>
        <v/>
      </c>
      <c r="M18" s="98" t="str">
        <f aca="false">IF($D18="","",IF(COUNTIF(PLANI_LLOGARIVE!$A:$A,$D18)=0,"ERROR - llogaria nuk ekziston",IF($K18=TRUE(),"OK","ERROR - llogari jo-postuese/Header")))</f>
        <v/>
      </c>
      <c r="N18" s="99" t="str">
        <f aca="false">IF(TRIM($C18)="","",IF(ABS(SUMIFS($F:$F,$C:$C,TRIM($C18))-SUMIFS($G:$G,$C:$C,TRIM($C18)))&lt;0.005,"OK","ERROR - debi/kredi"))</f>
        <v/>
      </c>
      <c r="O18" s="88"/>
      <c r="P18" s="88"/>
      <c r="Q18" s="88"/>
      <c r="R18" s="88"/>
      <c r="S18" s="100" t="str">
        <f aca="false">IF(D18="","",LEFT(D18&amp;"",2))</f>
        <v/>
      </c>
      <c r="T18" s="101" t="str">
        <f aca="false">IF(D18="","",LEFT(D18&amp;"",3))</f>
        <v/>
      </c>
    </row>
    <row r="19" customFormat="false" ht="14.25" hidden="false" customHeight="true" outlineLevel="0" collapsed="false">
      <c r="A19" s="89"/>
      <c r="B19" s="90"/>
      <c r="C19" s="90"/>
      <c r="D19" s="90"/>
      <c r="E19" s="91" t="str">
        <f aca="false">IFERROR(VLOOKUP(D19,PLANI_LLOGARIVE!$A:$B,2,FALSE()),"")</f>
        <v/>
      </c>
      <c r="F19" s="92"/>
      <c r="G19" s="93"/>
      <c r="H19" s="94"/>
      <c r="I19" s="95"/>
      <c r="J19" s="96" t="str">
        <f aca="false">IF(TRIM($C19)="","",IF($M19&lt;&gt;"OK",$M19,IF(ABS(SUMIFS($F:$F,$C:$C,TRIM($C19))-SUMIFS($G:$G,$C:$C,TRIM($C19)))&lt;0.005,"OK","ERROR - veprimi nuk balancohet")))</f>
        <v/>
      </c>
      <c r="K19" s="97" t="str">
        <f aca="false">IF($D19="","",IFERROR(VLOOKUP($D19,PLANI_LLOGARIVE!$A:$J,10,FALSE()),FALSE()))</f>
        <v/>
      </c>
      <c r="L19" s="97" t="str">
        <f aca="false">IF($D19="","",IFERROR(VLOOKUP($D19,PLANI_LLOGARIVE!$A:$G,7,FALSE()),"NUK EKZISTON"))</f>
        <v/>
      </c>
      <c r="M19" s="98" t="str">
        <f aca="false">IF($D19="","",IF(COUNTIF(PLANI_LLOGARIVE!$A:$A,$D19)=0,"ERROR - llogaria nuk ekziston",IF($K19=TRUE(),"OK","ERROR - llogari jo-postuese/Header")))</f>
        <v/>
      </c>
      <c r="N19" s="99" t="str">
        <f aca="false">IF(TRIM($C19)="","",IF(ABS(SUMIFS($F:$F,$C:$C,TRIM($C19))-SUMIFS($G:$G,$C:$C,TRIM($C19)))&lt;0.005,"OK","ERROR - debi/kredi"))</f>
        <v/>
      </c>
      <c r="O19" s="88"/>
      <c r="P19" s="88"/>
      <c r="Q19" s="88"/>
      <c r="R19" s="88"/>
      <c r="S19" s="100" t="str">
        <f aca="false">IF(D19="","",LEFT(D19&amp;"",2))</f>
        <v/>
      </c>
      <c r="T19" s="101" t="str">
        <f aca="false">IF(D19="","",LEFT(D19&amp;"",3))</f>
        <v/>
      </c>
    </row>
    <row r="20" customFormat="false" ht="14.25" hidden="false" customHeight="true" outlineLevel="0" collapsed="false">
      <c r="A20" s="89"/>
      <c r="B20" s="90"/>
      <c r="C20" s="90"/>
      <c r="D20" s="90"/>
      <c r="E20" s="91" t="str">
        <f aca="false">IFERROR(VLOOKUP(D20,PLANI_LLOGARIVE!$A:$B,2,FALSE()),"")</f>
        <v/>
      </c>
      <c r="F20" s="92"/>
      <c r="G20" s="93"/>
      <c r="H20" s="94"/>
      <c r="I20" s="95"/>
      <c r="J20" s="96" t="str">
        <f aca="false">IF(TRIM($C20)="","",IF($M20&lt;&gt;"OK",$M20,IF(ABS(SUMIFS($F:$F,$C:$C,TRIM($C20))-SUMIFS($G:$G,$C:$C,TRIM($C20)))&lt;0.005,"OK","ERROR - veprimi nuk balancohet")))</f>
        <v/>
      </c>
      <c r="K20" s="97" t="str">
        <f aca="false">IF($D20="","",IFERROR(VLOOKUP($D20,PLANI_LLOGARIVE!$A:$J,10,FALSE()),FALSE()))</f>
        <v/>
      </c>
      <c r="L20" s="97" t="str">
        <f aca="false">IF($D20="","",IFERROR(VLOOKUP($D20,PLANI_LLOGARIVE!$A:$G,7,FALSE()),"NUK EKZISTON"))</f>
        <v/>
      </c>
      <c r="M20" s="98" t="str">
        <f aca="false">IF($D20="","",IF(COUNTIF(PLANI_LLOGARIVE!$A:$A,$D20)=0,"ERROR - llogaria nuk ekziston",IF($K20=TRUE(),"OK","ERROR - llogari jo-postuese/Header")))</f>
        <v/>
      </c>
      <c r="N20" s="99" t="str">
        <f aca="false">IF(TRIM($C20)="","",IF(ABS(SUMIFS($F:$F,$C:$C,TRIM($C20))-SUMIFS($G:$G,$C:$C,TRIM($C20)))&lt;0.005,"OK","ERROR - debi/kredi"))</f>
        <v/>
      </c>
      <c r="O20" s="88"/>
      <c r="P20" s="88"/>
      <c r="Q20" s="88"/>
      <c r="R20" s="88"/>
      <c r="S20" s="100" t="str">
        <f aca="false">IF(D20="","",LEFT(D20&amp;"",2))</f>
        <v/>
      </c>
      <c r="T20" s="101" t="str">
        <f aca="false">IF(D20="","",LEFT(D20&amp;"",3))</f>
        <v/>
      </c>
    </row>
    <row r="21" customFormat="false" ht="14.25" hidden="false" customHeight="true" outlineLevel="0" collapsed="false">
      <c r="A21" s="89"/>
      <c r="B21" s="90"/>
      <c r="C21" s="90"/>
      <c r="D21" s="90"/>
      <c r="E21" s="91" t="str">
        <f aca="false">IFERROR(VLOOKUP(D21,PLANI_LLOGARIVE!$A:$B,2,FALSE()),"")</f>
        <v/>
      </c>
      <c r="F21" s="92"/>
      <c r="G21" s="93"/>
      <c r="H21" s="94"/>
      <c r="I21" s="95"/>
      <c r="J21" s="96" t="str">
        <f aca="false">IF(TRIM($C21)="","",IF($M21&lt;&gt;"OK",$M21,IF(ABS(SUMIFS($F:$F,$C:$C,TRIM($C21))-SUMIFS($G:$G,$C:$C,TRIM($C21)))&lt;0.005,"OK","ERROR - veprimi nuk balancohet")))</f>
        <v/>
      </c>
      <c r="K21" s="97" t="str">
        <f aca="false">IF($D21="","",IFERROR(VLOOKUP($D21,PLANI_LLOGARIVE!$A:$J,10,FALSE()),FALSE()))</f>
        <v/>
      </c>
      <c r="L21" s="97" t="str">
        <f aca="false">IF($D21="","",IFERROR(VLOOKUP($D21,PLANI_LLOGARIVE!$A:$G,7,FALSE()),"NUK EKZISTON"))</f>
        <v/>
      </c>
      <c r="M21" s="98" t="str">
        <f aca="false">IF($D21="","",IF(COUNTIF(PLANI_LLOGARIVE!$A:$A,$D21)=0,"ERROR - llogaria nuk ekziston",IF($K21=TRUE(),"OK","ERROR - llogari jo-postuese/Header")))</f>
        <v/>
      </c>
      <c r="N21" s="99" t="str">
        <f aca="false">IF(TRIM($C21)="","",IF(ABS(SUMIFS($F:$F,$C:$C,TRIM($C21))-SUMIFS($G:$G,$C:$C,TRIM($C21)))&lt;0.005,"OK","ERROR - debi/kredi"))</f>
        <v/>
      </c>
      <c r="O21" s="88"/>
      <c r="P21" s="88"/>
      <c r="Q21" s="88"/>
      <c r="R21" s="88"/>
      <c r="S21" s="100" t="str">
        <f aca="false">IF(D21="","",LEFT(D21&amp;"",2))</f>
        <v/>
      </c>
      <c r="T21" s="101" t="str">
        <f aca="false">IF(D21="","",LEFT(D21&amp;"",3))</f>
        <v/>
      </c>
    </row>
    <row r="22" customFormat="false" ht="14.25" hidden="false" customHeight="true" outlineLevel="0" collapsed="false">
      <c r="A22" s="89"/>
      <c r="B22" s="90"/>
      <c r="C22" s="90"/>
      <c r="D22" s="90"/>
      <c r="E22" s="91" t="str">
        <f aca="false">IFERROR(VLOOKUP(D22,PLANI_LLOGARIVE!$A:$B,2,FALSE()),"")</f>
        <v/>
      </c>
      <c r="F22" s="92"/>
      <c r="G22" s="93"/>
      <c r="H22" s="94"/>
      <c r="I22" s="95"/>
      <c r="J22" s="96" t="str">
        <f aca="false">IF(TRIM($C22)="","",IF($M22&lt;&gt;"OK",$M22,IF(ABS(SUMIFS($F:$F,$C:$C,TRIM($C22))-SUMIFS($G:$G,$C:$C,TRIM($C22)))&lt;0.005,"OK","ERROR - veprimi nuk balancohet")))</f>
        <v/>
      </c>
      <c r="K22" s="97" t="str">
        <f aca="false">IF($D22="","",IFERROR(VLOOKUP($D22,PLANI_LLOGARIVE!$A:$J,10,FALSE()),FALSE()))</f>
        <v/>
      </c>
      <c r="L22" s="97" t="str">
        <f aca="false">IF($D22="","",IFERROR(VLOOKUP($D22,PLANI_LLOGARIVE!$A:$G,7,FALSE()),"NUK EKZISTON"))</f>
        <v/>
      </c>
      <c r="M22" s="98" t="str">
        <f aca="false">IF($D22="","",IF(COUNTIF(PLANI_LLOGARIVE!$A:$A,$D22)=0,"ERROR - llogaria nuk ekziston",IF($K22=TRUE(),"OK","ERROR - llogari jo-postuese/Header")))</f>
        <v/>
      </c>
      <c r="N22" s="99" t="str">
        <f aca="false">IF(TRIM($C22)="","",IF(ABS(SUMIFS($F:$F,$C:$C,TRIM($C22))-SUMIFS($G:$G,$C:$C,TRIM($C22)))&lt;0.005,"OK","ERROR - debi/kredi"))</f>
        <v/>
      </c>
      <c r="O22" s="88"/>
      <c r="P22" s="88"/>
      <c r="Q22" s="88"/>
      <c r="R22" s="88"/>
      <c r="S22" s="100" t="str">
        <f aca="false">IF(D22="","",LEFT(D22&amp;"",2))</f>
        <v/>
      </c>
      <c r="T22" s="101" t="str">
        <f aca="false">IF(D22="","",LEFT(D22&amp;"",3))</f>
        <v/>
      </c>
    </row>
    <row r="23" customFormat="false" ht="14.25" hidden="false" customHeight="true" outlineLevel="0" collapsed="false">
      <c r="A23" s="89"/>
      <c r="B23" s="90"/>
      <c r="C23" s="90"/>
      <c r="D23" s="90"/>
      <c r="E23" s="91" t="str">
        <f aca="false">IFERROR(VLOOKUP(D23,PLANI_LLOGARIVE!$A:$B,2,FALSE()),"")</f>
        <v/>
      </c>
      <c r="F23" s="92"/>
      <c r="G23" s="93"/>
      <c r="H23" s="94"/>
      <c r="I23" s="95"/>
      <c r="J23" s="96" t="str">
        <f aca="false">IF(TRIM($C23)="","",IF($M23&lt;&gt;"OK",$M23,IF(ABS(SUMIFS($F:$F,$C:$C,TRIM($C23))-SUMIFS($G:$G,$C:$C,TRIM($C23)))&lt;0.005,"OK","ERROR - veprimi nuk balancohet")))</f>
        <v/>
      </c>
      <c r="K23" s="97" t="str">
        <f aca="false">IF($D23="","",IFERROR(VLOOKUP($D23,PLANI_LLOGARIVE!$A:$J,10,FALSE()),FALSE()))</f>
        <v/>
      </c>
      <c r="L23" s="97" t="str">
        <f aca="false">IF($D23="","",IFERROR(VLOOKUP($D23,PLANI_LLOGARIVE!$A:$G,7,FALSE()),"NUK EKZISTON"))</f>
        <v/>
      </c>
      <c r="M23" s="98" t="str">
        <f aca="false">IF($D23="","",IF(COUNTIF(PLANI_LLOGARIVE!$A:$A,$D23)=0,"ERROR - llogaria nuk ekziston",IF($K23=TRUE(),"OK","ERROR - llogari jo-postuese/Header")))</f>
        <v/>
      </c>
      <c r="N23" s="99" t="str">
        <f aca="false">IF(TRIM($C23)="","",IF(ABS(SUMIFS($F:$F,$C:$C,TRIM($C23))-SUMIFS($G:$G,$C:$C,TRIM($C23)))&lt;0.005,"OK","ERROR - debi/kredi"))</f>
        <v/>
      </c>
      <c r="O23" s="88"/>
      <c r="P23" s="88"/>
      <c r="Q23" s="88"/>
      <c r="R23" s="88"/>
      <c r="S23" s="100" t="str">
        <f aca="false">IF(D23="","",LEFT(D23&amp;"",2))</f>
        <v/>
      </c>
      <c r="T23" s="101" t="str">
        <f aca="false">IF(D23="","",LEFT(D23&amp;"",3))</f>
        <v/>
      </c>
    </row>
    <row r="24" customFormat="false" ht="14.25" hidden="false" customHeight="true" outlineLevel="0" collapsed="false">
      <c r="A24" s="89"/>
      <c r="B24" s="90"/>
      <c r="C24" s="90"/>
      <c r="D24" s="90"/>
      <c r="E24" s="91" t="str">
        <f aca="false">IFERROR(VLOOKUP(D24,PLANI_LLOGARIVE!$A:$B,2,FALSE()),"")</f>
        <v/>
      </c>
      <c r="F24" s="92"/>
      <c r="G24" s="93"/>
      <c r="H24" s="94"/>
      <c r="I24" s="95"/>
      <c r="J24" s="96" t="str">
        <f aca="false">IF(TRIM($C24)="","",IF($M24&lt;&gt;"OK",$M24,IF(ABS(SUMIFS($F:$F,$C:$C,TRIM($C24))-SUMIFS($G:$G,$C:$C,TRIM($C24)))&lt;0.005,"OK","ERROR - veprimi nuk balancohet")))</f>
        <v/>
      </c>
      <c r="K24" s="97" t="str">
        <f aca="false">IF($D24="","",IFERROR(VLOOKUP($D24,PLANI_LLOGARIVE!$A:$J,10,FALSE()),FALSE()))</f>
        <v/>
      </c>
      <c r="L24" s="97" t="str">
        <f aca="false">IF($D24="","",IFERROR(VLOOKUP($D24,PLANI_LLOGARIVE!$A:$G,7,FALSE()),"NUK EKZISTON"))</f>
        <v/>
      </c>
      <c r="M24" s="98" t="str">
        <f aca="false">IF($D24="","",IF(COUNTIF(PLANI_LLOGARIVE!$A:$A,$D24)=0,"ERROR - llogaria nuk ekziston",IF($K24=TRUE(),"OK","ERROR - llogari jo-postuese/Header")))</f>
        <v/>
      </c>
      <c r="N24" s="99" t="str">
        <f aca="false">IF(TRIM($C24)="","",IF(ABS(SUMIFS($F:$F,$C:$C,TRIM($C24))-SUMIFS($G:$G,$C:$C,TRIM($C24)))&lt;0.005,"OK","ERROR - debi/kredi"))</f>
        <v/>
      </c>
      <c r="O24" s="88"/>
      <c r="P24" s="88"/>
      <c r="Q24" s="88"/>
      <c r="R24" s="88"/>
      <c r="S24" s="100" t="str">
        <f aca="false">IF(D24="","",LEFT(D24&amp;"",2))</f>
        <v/>
      </c>
      <c r="T24" s="101" t="str">
        <f aca="false">IF(D24="","",LEFT(D24&amp;"",3))</f>
        <v/>
      </c>
    </row>
    <row r="25" customFormat="false" ht="14.25" hidden="false" customHeight="true" outlineLevel="0" collapsed="false">
      <c r="A25" s="89"/>
      <c r="B25" s="90"/>
      <c r="C25" s="90"/>
      <c r="D25" s="90"/>
      <c r="E25" s="91" t="str">
        <f aca="false">IFERROR(VLOOKUP(D25,PLANI_LLOGARIVE!$A:$B,2,FALSE()),"")</f>
        <v/>
      </c>
      <c r="F25" s="92"/>
      <c r="G25" s="93"/>
      <c r="H25" s="94"/>
      <c r="I25" s="95"/>
      <c r="J25" s="96" t="str">
        <f aca="false">IF(TRIM($C25)="","",IF($M25&lt;&gt;"OK",$M25,IF(ABS(SUMIFS($F:$F,$C:$C,TRIM($C25))-SUMIFS($G:$G,$C:$C,TRIM($C25)))&lt;0.005,"OK","ERROR - veprimi nuk balancohet")))</f>
        <v/>
      </c>
      <c r="K25" s="97" t="str">
        <f aca="false">IF($D25="","",IFERROR(VLOOKUP($D25,PLANI_LLOGARIVE!$A:$J,10,FALSE()),FALSE()))</f>
        <v/>
      </c>
      <c r="L25" s="97" t="str">
        <f aca="false">IF($D25="","",IFERROR(VLOOKUP($D25,PLANI_LLOGARIVE!$A:$G,7,FALSE()),"NUK EKZISTON"))</f>
        <v/>
      </c>
      <c r="M25" s="98" t="str">
        <f aca="false">IF($D25="","",IF(COUNTIF(PLANI_LLOGARIVE!$A:$A,$D25)=0,"ERROR - llogaria nuk ekziston",IF($K25=TRUE(),"OK","ERROR - llogari jo-postuese/Header")))</f>
        <v/>
      </c>
      <c r="N25" s="99" t="str">
        <f aca="false">IF(TRIM($C25)="","",IF(ABS(SUMIFS($F:$F,$C:$C,TRIM($C25))-SUMIFS($G:$G,$C:$C,TRIM($C25)))&lt;0.005,"OK","ERROR - debi/kredi"))</f>
        <v/>
      </c>
      <c r="O25" s="88"/>
      <c r="P25" s="88"/>
      <c r="Q25" s="88"/>
      <c r="R25" s="88"/>
      <c r="S25" s="100" t="str">
        <f aca="false">IF(D25="","",LEFT(D25&amp;"",2))</f>
        <v/>
      </c>
      <c r="T25" s="101" t="str">
        <f aca="false">IF(D25="","",LEFT(D25&amp;"",3))</f>
        <v/>
      </c>
    </row>
    <row r="26" customFormat="false" ht="14.25" hidden="false" customHeight="true" outlineLevel="0" collapsed="false">
      <c r="A26" s="89"/>
      <c r="B26" s="90"/>
      <c r="C26" s="90"/>
      <c r="D26" s="90"/>
      <c r="E26" s="91" t="str">
        <f aca="false">IFERROR(VLOOKUP(D26,PLANI_LLOGARIVE!$A:$B,2,FALSE()),"")</f>
        <v/>
      </c>
      <c r="F26" s="92"/>
      <c r="G26" s="93"/>
      <c r="H26" s="94"/>
      <c r="I26" s="95"/>
      <c r="J26" s="96" t="str">
        <f aca="false">IF(TRIM($C26)="","",IF($M26&lt;&gt;"OK",$M26,IF(ABS(SUMIFS($F:$F,$C:$C,TRIM($C26))-SUMIFS($G:$G,$C:$C,TRIM($C26)))&lt;0.005,"OK","ERROR - veprimi nuk balancohet")))</f>
        <v/>
      </c>
      <c r="K26" s="97" t="str">
        <f aca="false">IF($D26="","",IFERROR(VLOOKUP($D26,PLANI_LLOGARIVE!$A:$J,10,FALSE()),FALSE()))</f>
        <v/>
      </c>
      <c r="L26" s="97" t="str">
        <f aca="false">IF($D26="","",IFERROR(VLOOKUP($D26,PLANI_LLOGARIVE!$A:$G,7,FALSE()),"NUK EKZISTON"))</f>
        <v/>
      </c>
      <c r="M26" s="98" t="str">
        <f aca="false">IF($D26="","",IF(COUNTIF(PLANI_LLOGARIVE!$A:$A,$D26)=0,"ERROR - llogaria nuk ekziston",IF($K26=TRUE(),"OK","ERROR - llogari jo-postuese/Header")))</f>
        <v/>
      </c>
      <c r="N26" s="99" t="str">
        <f aca="false">IF(TRIM($C26)="","",IF(ABS(SUMIFS($F:$F,$C:$C,TRIM($C26))-SUMIFS($G:$G,$C:$C,TRIM($C26)))&lt;0.005,"OK","ERROR - debi/kredi"))</f>
        <v/>
      </c>
      <c r="O26" s="88"/>
      <c r="P26" s="88"/>
      <c r="Q26" s="88"/>
      <c r="R26" s="88"/>
      <c r="S26" s="100" t="str">
        <f aca="false">IF(D26="","",LEFT(D26&amp;"",2))</f>
        <v/>
      </c>
      <c r="T26" s="101" t="str">
        <f aca="false">IF(D26="","",LEFT(D26&amp;"",3))</f>
        <v/>
      </c>
    </row>
    <row r="27" customFormat="false" ht="14.25" hidden="false" customHeight="true" outlineLevel="0" collapsed="false">
      <c r="A27" s="89"/>
      <c r="B27" s="90"/>
      <c r="C27" s="90"/>
      <c r="D27" s="90"/>
      <c r="E27" s="91" t="str">
        <f aca="false">IFERROR(VLOOKUP(D27,PLANI_LLOGARIVE!$A:$B,2,FALSE()),"")</f>
        <v/>
      </c>
      <c r="F27" s="92"/>
      <c r="G27" s="93"/>
      <c r="H27" s="94"/>
      <c r="I27" s="95"/>
      <c r="J27" s="96" t="str">
        <f aca="false">IF(TRIM($C27)="","",IF($M27&lt;&gt;"OK",$M27,IF(ABS(SUMIFS($F:$F,$C:$C,TRIM($C27))-SUMIFS($G:$G,$C:$C,TRIM($C27)))&lt;0.005,"OK","ERROR - veprimi nuk balancohet")))</f>
        <v/>
      </c>
      <c r="K27" s="97" t="str">
        <f aca="false">IF($D27="","",IFERROR(VLOOKUP($D27,PLANI_LLOGARIVE!$A:$J,10,FALSE()),FALSE()))</f>
        <v/>
      </c>
      <c r="L27" s="97" t="str">
        <f aca="false">IF($D27="","",IFERROR(VLOOKUP($D27,PLANI_LLOGARIVE!$A:$G,7,FALSE()),"NUK EKZISTON"))</f>
        <v/>
      </c>
      <c r="M27" s="98" t="str">
        <f aca="false">IF($D27="","",IF(COUNTIF(PLANI_LLOGARIVE!$A:$A,$D27)=0,"ERROR - llogaria nuk ekziston",IF($K27=TRUE(),"OK","ERROR - llogari jo-postuese/Header")))</f>
        <v/>
      </c>
      <c r="N27" s="99" t="str">
        <f aca="false">IF(TRIM($C27)="","",IF(ABS(SUMIFS($F:$F,$C:$C,TRIM($C27))-SUMIFS($G:$G,$C:$C,TRIM($C27)))&lt;0.005,"OK","ERROR - debi/kredi"))</f>
        <v/>
      </c>
      <c r="O27" s="88"/>
      <c r="P27" s="88"/>
      <c r="Q27" s="88"/>
      <c r="R27" s="88"/>
      <c r="S27" s="100" t="str">
        <f aca="false">IF(D27="","",LEFT(D27&amp;"",2))</f>
        <v/>
      </c>
      <c r="T27" s="101" t="str">
        <f aca="false">IF(D27="","",LEFT(D27&amp;"",3))</f>
        <v/>
      </c>
    </row>
    <row r="28" customFormat="false" ht="14.25" hidden="false" customHeight="true" outlineLevel="0" collapsed="false">
      <c r="A28" s="89"/>
      <c r="B28" s="90"/>
      <c r="C28" s="90"/>
      <c r="D28" s="90"/>
      <c r="E28" s="91" t="str">
        <f aca="false">IFERROR(VLOOKUP(D28,PLANI_LLOGARIVE!$A:$B,2,FALSE()),"")</f>
        <v/>
      </c>
      <c r="F28" s="92"/>
      <c r="G28" s="93"/>
      <c r="H28" s="94"/>
      <c r="I28" s="95"/>
      <c r="J28" s="96" t="str">
        <f aca="false">IF(TRIM($C28)="","",IF($M28&lt;&gt;"OK",$M28,IF(ABS(SUMIFS($F:$F,$C:$C,TRIM($C28))-SUMIFS($G:$G,$C:$C,TRIM($C28)))&lt;0.005,"OK","ERROR - veprimi nuk balancohet")))</f>
        <v/>
      </c>
      <c r="K28" s="97" t="str">
        <f aca="false">IF($D28="","",IFERROR(VLOOKUP($D28,PLANI_LLOGARIVE!$A:$J,10,FALSE()),FALSE()))</f>
        <v/>
      </c>
      <c r="L28" s="97" t="str">
        <f aca="false">IF($D28="","",IFERROR(VLOOKUP($D28,PLANI_LLOGARIVE!$A:$G,7,FALSE()),"NUK EKZISTON"))</f>
        <v/>
      </c>
      <c r="M28" s="98" t="str">
        <f aca="false">IF($D28="","",IF(COUNTIF(PLANI_LLOGARIVE!$A:$A,$D28)=0,"ERROR - llogaria nuk ekziston",IF($K28=TRUE(),"OK","ERROR - llogari jo-postuese/Header")))</f>
        <v/>
      </c>
      <c r="N28" s="99" t="str">
        <f aca="false">IF(TRIM($C28)="","",IF(ABS(SUMIFS($F:$F,$C:$C,TRIM($C28))-SUMIFS($G:$G,$C:$C,TRIM($C28)))&lt;0.005,"OK","ERROR - debi/kredi"))</f>
        <v/>
      </c>
      <c r="O28" s="88"/>
      <c r="P28" s="88"/>
      <c r="Q28" s="88"/>
      <c r="R28" s="88"/>
      <c r="S28" s="100" t="str">
        <f aca="false">IF(D28="","",LEFT(D28&amp;"",2))</f>
        <v/>
      </c>
      <c r="T28" s="101" t="str">
        <f aca="false">IF(D28="","",LEFT(D28&amp;"",3))</f>
        <v/>
      </c>
    </row>
    <row r="29" customFormat="false" ht="14.25" hidden="false" customHeight="true" outlineLevel="0" collapsed="false">
      <c r="A29" s="89"/>
      <c r="B29" s="90"/>
      <c r="C29" s="90"/>
      <c r="D29" s="90"/>
      <c r="E29" s="91" t="str">
        <f aca="false">IFERROR(VLOOKUP(D29,PLANI_LLOGARIVE!$A:$B,2,FALSE()),"")</f>
        <v/>
      </c>
      <c r="F29" s="92"/>
      <c r="G29" s="93"/>
      <c r="H29" s="94"/>
      <c r="I29" s="95"/>
      <c r="J29" s="96" t="str">
        <f aca="false">IF(TRIM($C29)="","",IF($M29&lt;&gt;"OK",$M29,IF(ABS(SUMIFS($F:$F,$C:$C,TRIM($C29))-SUMIFS($G:$G,$C:$C,TRIM($C29)))&lt;0.005,"OK","ERROR - veprimi nuk balancohet")))</f>
        <v/>
      </c>
      <c r="K29" s="97" t="str">
        <f aca="false">IF($D29="","",IFERROR(VLOOKUP($D29,PLANI_LLOGARIVE!$A:$J,10,FALSE()),FALSE()))</f>
        <v/>
      </c>
      <c r="L29" s="97" t="str">
        <f aca="false">IF($D29="","",IFERROR(VLOOKUP($D29,PLANI_LLOGARIVE!$A:$G,7,FALSE()),"NUK EKZISTON"))</f>
        <v/>
      </c>
      <c r="M29" s="98" t="str">
        <f aca="false">IF($D29="","",IF(COUNTIF(PLANI_LLOGARIVE!$A:$A,$D29)=0,"ERROR - llogaria nuk ekziston",IF($K29=TRUE(),"OK","ERROR - llogari jo-postuese/Header")))</f>
        <v/>
      </c>
      <c r="N29" s="99" t="str">
        <f aca="false">IF(TRIM($C29)="","",IF(ABS(SUMIFS($F:$F,$C:$C,TRIM($C29))-SUMIFS($G:$G,$C:$C,TRIM($C29)))&lt;0.005,"OK","ERROR - debi/kredi"))</f>
        <v/>
      </c>
      <c r="O29" s="88"/>
      <c r="P29" s="88"/>
      <c r="Q29" s="88"/>
      <c r="R29" s="88"/>
      <c r="S29" s="100" t="str">
        <f aca="false">IF(D29="","",LEFT(D29&amp;"",2))</f>
        <v/>
      </c>
      <c r="T29" s="101" t="str">
        <f aca="false">IF(D29="","",LEFT(D29&amp;"",3))</f>
        <v/>
      </c>
    </row>
    <row r="30" customFormat="false" ht="14.25" hidden="false" customHeight="true" outlineLevel="0" collapsed="false">
      <c r="A30" s="89"/>
      <c r="B30" s="90"/>
      <c r="C30" s="90"/>
      <c r="D30" s="90"/>
      <c r="E30" s="91" t="str">
        <f aca="false">IFERROR(VLOOKUP(D30,PLANI_LLOGARIVE!$A:$B,2,FALSE()),"")</f>
        <v/>
      </c>
      <c r="F30" s="92"/>
      <c r="G30" s="93"/>
      <c r="H30" s="94"/>
      <c r="I30" s="95"/>
      <c r="J30" s="96" t="str">
        <f aca="false">IF(TRIM($C30)="","",IF($M30&lt;&gt;"OK",$M30,IF(ABS(SUMIFS($F:$F,$C:$C,TRIM($C30))-SUMIFS($G:$G,$C:$C,TRIM($C30)))&lt;0.005,"OK","ERROR - veprimi nuk balancohet")))</f>
        <v/>
      </c>
      <c r="K30" s="97" t="str">
        <f aca="false">IF($D30="","",IFERROR(VLOOKUP($D30,PLANI_LLOGARIVE!$A:$J,10,FALSE()),FALSE()))</f>
        <v/>
      </c>
      <c r="L30" s="97" t="str">
        <f aca="false">IF($D30="","",IFERROR(VLOOKUP($D30,PLANI_LLOGARIVE!$A:$G,7,FALSE()),"NUK EKZISTON"))</f>
        <v/>
      </c>
      <c r="M30" s="98" t="str">
        <f aca="false">IF($D30="","",IF(COUNTIF(PLANI_LLOGARIVE!$A:$A,$D30)=0,"ERROR - llogaria nuk ekziston",IF($K30=TRUE(),"OK","ERROR - llogari jo-postuese/Header")))</f>
        <v/>
      </c>
      <c r="N30" s="99" t="str">
        <f aca="false">IF(TRIM($C30)="","",IF(ABS(SUMIFS($F:$F,$C:$C,TRIM($C30))-SUMIFS($G:$G,$C:$C,TRIM($C30)))&lt;0.005,"OK","ERROR - debi/kredi"))</f>
        <v/>
      </c>
      <c r="O30" s="88"/>
      <c r="P30" s="88"/>
      <c r="Q30" s="88"/>
      <c r="R30" s="88"/>
      <c r="S30" s="100" t="str">
        <f aca="false">IF(D30="","",LEFT(D30&amp;"",2))</f>
        <v/>
      </c>
      <c r="T30" s="101" t="str">
        <f aca="false">IF(D30="","",LEFT(D30&amp;"",3))</f>
        <v/>
      </c>
    </row>
    <row r="31" customFormat="false" ht="14.25" hidden="false" customHeight="true" outlineLevel="0" collapsed="false">
      <c r="A31" s="89"/>
      <c r="B31" s="90"/>
      <c r="C31" s="90"/>
      <c r="D31" s="90"/>
      <c r="E31" s="91" t="str">
        <f aca="false">IFERROR(VLOOKUP(D31,PLANI_LLOGARIVE!$A:$B,2,FALSE()),"")</f>
        <v/>
      </c>
      <c r="F31" s="92"/>
      <c r="G31" s="93"/>
      <c r="H31" s="94"/>
      <c r="I31" s="95"/>
      <c r="J31" s="96" t="str">
        <f aca="false">IF(TRIM($C31)="","",IF($M31&lt;&gt;"OK",$M31,IF(ABS(SUMIFS($F:$F,$C:$C,TRIM($C31))-SUMIFS($G:$G,$C:$C,TRIM($C31)))&lt;0.005,"OK","ERROR - veprimi nuk balancohet")))</f>
        <v/>
      </c>
      <c r="K31" s="97" t="str">
        <f aca="false">IF($D31="","",IFERROR(VLOOKUP($D31,PLANI_LLOGARIVE!$A:$J,10,FALSE()),FALSE()))</f>
        <v/>
      </c>
      <c r="L31" s="97" t="str">
        <f aca="false">IF($D31="","",IFERROR(VLOOKUP($D31,PLANI_LLOGARIVE!$A:$G,7,FALSE()),"NUK EKZISTON"))</f>
        <v/>
      </c>
      <c r="M31" s="98" t="str">
        <f aca="false">IF($D31="","",IF(COUNTIF(PLANI_LLOGARIVE!$A:$A,$D31)=0,"ERROR - llogaria nuk ekziston",IF($K31=TRUE(),"OK","ERROR - llogari jo-postuese/Header")))</f>
        <v/>
      </c>
      <c r="N31" s="99" t="str">
        <f aca="false">IF(TRIM($C31)="","",IF(ABS(SUMIFS($F:$F,$C:$C,TRIM($C31))-SUMIFS($G:$G,$C:$C,TRIM($C31)))&lt;0.005,"OK","ERROR - debi/kredi"))</f>
        <v/>
      </c>
      <c r="O31" s="88"/>
      <c r="P31" s="88"/>
      <c r="Q31" s="88"/>
      <c r="R31" s="88"/>
      <c r="S31" s="100" t="str">
        <f aca="false">IF(D31="","",LEFT(D31&amp;"",2))</f>
        <v/>
      </c>
      <c r="T31" s="101" t="str">
        <f aca="false">IF(D31="","",LEFT(D31&amp;"",3))</f>
        <v/>
      </c>
    </row>
    <row r="32" customFormat="false" ht="14.25" hidden="false" customHeight="true" outlineLevel="0" collapsed="false">
      <c r="A32" s="89"/>
      <c r="B32" s="90"/>
      <c r="C32" s="90"/>
      <c r="D32" s="90"/>
      <c r="E32" s="91" t="str">
        <f aca="false">IFERROR(VLOOKUP(D32,PLANI_LLOGARIVE!$A:$B,2,FALSE()),"")</f>
        <v/>
      </c>
      <c r="F32" s="92"/>
      <c r="G32" s="93"/>
      <c r="H32" s="94"/>
      <c r="I32" s="95"/>
      <c r="J32" s="96" t="str">
        <f aca="false">IF(TRIM($C32)="","",IF($M32&lt;&gt;"OK",$M32,IF(ABS(SUMIFS($F:$F,$C:$C,TRIM($C32))-SUMIFS($G:$G,$C:$C,TRIM($C32)))&lt;0.005,"OK","ERROR - veprimi nuk balancohet")))</f>
        <v/>
      </c>
      <c r="K32" s="97" t="str">
        <f aca="false">IF($D32="","",IFERROR(VLOOKUP($D32,PLANI_LLOGARIVE!$A:$J,10,FALSE()),FALSE()))</f>
        <v/>
      </c>
      <c r="L32" s="97" t="str">
        <f aca="false">IF($D32="","",IFERROR(VLOOKUP($D32,PLANI_LLOGARIVE!$A:$G,7,FALSE()),"NUK EKZISTON"))</f>
        <v/>
      </c>
      <c r="M32" s="98" t="str">
        <f aca="false">IF($D32="","",IF(COUNTIF(PLANI_LLOGARIVE!$A:$A,$D32)=0,"ERROR - llogaria nuk ekziston",IF($K32=TRUE(),"OK","ERROR - llogari jo-postuese/Header")))</f>
        <v/>
      </c>
      <c r="N32" s="99" t="str">
        <f aca="false">IF(TRIM($C32)="","",IF(ABS(SUMIFS($F:$F,$C:$C,TRIM($C32))-SUMIFS($G:$G,$C:$C,TRIM($C32)))&lt;0.005,"OK","ERROR - debi/kredi"))</f>
        <v/>
      </c>
      <c r="O32" s="88"/>
      <c r="P32" s="88"/>
      <c r="Q32" s="88"/>
      <c r="R32" s="88"/>
      <c r="S32" s="100" t="str">
        <f aca="false">IF(D32="","",LEFT(D32&amp;"",2))</f>
        <v/>
      </c>
      <c r="T32" s="101" t="str">
        <f aca="false">IF(D32="","",LEFT(D32&amp;"",3))</f>
        <v/>
      </c>
    </row>
    <row r="33" customFormat="false" ht="14.25" hidden="false" customHeight="true" outlineLevel="0" collapsed="false">
      <c r="A33" s="89"/>
      <c r="B33" s="90"/>
      <c r="C33" s="90"/>
      <c r="D33" s="90"/>
      <c r="E33" s="91" t="str">
        <f aca="false">IFERROR(VLOOKUP(D33,PLANI_LLOGARIVE!$A:$B,2,FALSE()),"")</f>
        <v/>
      </c>
      <c r="F33" s="92"/>
      <c r="G33" s="93"/>
      <c r="H33" s="94"/>
      <c r="I33" s="95"/>
      <c r="J33" s="96" t="str">
        <f aca="false">IF(TRIM($C33)="","",IF($M33&lt;&gt;"OK",$M33,IF(ABS(SUMIFS($F:$F,$C:$C,TRIM($C33))-SUMIFS($G:$G,$C:$C,TRIM($C33)))&lt;0.005,"OK","ERROR - veprimi nuk balancohet")))</f>
        <v/>
      </c>
      <c r="K33" s="97" t="str">
        <f aca="false">IF($D33="","",IFERROR(VLOOKUP($D33,PLANI_LLOGARIVE!$A:$J,10,FALSE()),FALSE()))</f>
        <v/>
      </c>
      <c r="L33" s="97" t="str">
        <f aca="false">IF($D33="","",IFERROR(VLOOKUP($D33,PLANI_LLOGARIVE!$A:$G,7,FALSE()),"NUK EKZISTON"))</f>
        <v/>
      </c>
      <c r="M33" s="98" t="str">
        <f aca="false">IF($D33="","",IF(COUNTIF(PLANI_LLOGARIVE!$A:$A,$D33)=0,"ERROR - llogaria nuk ekziston",IF($K33=TRUE(),"OK","ERROR - llogari jo-postuese/Header")))</f>
        <v/>
      </c>
      <c r="N33" s="99" t="str">
        <f aca="false">IF(TRIM($C33)="","",IF(ABS(SUMIFS($F:$F,$C:$C,TRIM($C33))-SUMIFS($G:$G,$C:$C,TRIM($C33)))&lt;0.005,"OK","ERROR - debi/kredi"))</f>
        <v/>
      </c>
      <c r="O33" s="88"/>
      <c r="P33" s="88"/>
      <c r="Q33" s="88"/>
      <c r="R33" s="88"/>
      <c r="S33" s="100" t="str">
        <f aca="false">IF(D33="","",LEFT(D33&amp;"",2))</f>
        <v/>
      </c>
      <c r="T33" s="101" t="str">
        <f aca="false">IF(D33="","",LEFT(D33&amp;"",3))</f>
        <v/>
      </c>
    </row>
    <row r="34" customFormat="false" ht="14.25" hidden="false" customHeight="true" outlineLevel="0" collapsed="false">
      <c r="A34" s="89"/>
      <c r="B34" s="90"/>
      <c r="C34" s="90"/>
      <c r="D34" s="90"/>
      <c r="E34" s="91" t="str">
        <f aca="false">IFERROR(VLOOKUP(D34,PLANI_LLOGARIVE!$A:$B,2,FALSE()),"")</f>
        <v/>
      </c>
      <c r="F34" s="92"/>
      <c r="G34" s="93"/>
      <c r="H34" s="94"/>
      <c r="I34" s="95"/>
      <c r="J34" s="96" t="str">
        <f aca="false">IF(TRIM($C34)="","",IF($M34&lt;&gt;"OK",$M34,IF(ABS(SUMIFS($F:$F,$C:$C,TRIM($C34))-SUMIFS($G:$G,$C:$C,TRIM($C34)))&lt;0.005,"OK","ERROR - veprimi nuk balancohet")))</f>
        <v/>
      </c>
      <c r="K34" s="97" t="str">
        <f aca="false">IF($D34="","",IFERROR(VLOOKUP($D34,PLANI_LLOGARIVE!$A:$J,10,FALSE()),FALSE()))</f>
        <v/>
      </c>
      <c r="L34" s="97" t="str">
        <f aca="false">IF($D34="","",IFERROR(VLOOKUP($D34,PLANI_LLOGARIVE!$A:$G,7,FALSE()),"NUK EKZISTON"))</f>
        <v/>
      </c>
      <c r="M34" s="98" t="str">
        <f aca="false">IF($D34="","",IF(COUNTIF(PLANI_LLOGARIVE!$A:$A,$D34)=0,"ERROR - llogaria nuk ekziston",IF($K34=TRUE(),"OK","ERROR - llogari jo-postuese/Header")))</f>
        <v/>
      </c>
      <c r="N34" s="99" t="str">
        <f aca="false">IF(TRIM($C34)="","",IF(ABS(SUMIFS($F:$F,$C:$C,TRIM($C34))-SUMIFS($G:$G,$C:$C,TRIM($C34)))&lt;0.005,"OK","ERROR - debi/kredi"))</f>
        <v/>
      </c>
      <c r="O34" s="88"/>
      <c r="P34" s="88"/>
      <c r="Q34" s="88"/>
      <c r="R34" s="88"/>
      <c r="S34" s="100" t="str">
        <f aca="false">IF(D34="","",LEFT(D34&amp;"",2))</f>
        <v/>
      </c>
      <c r="T34" s="101" t="str">
        <f aca="false">IF(D34="","",LEFT(D34&amp;"",3))</f>
        <v/>
      </c>
    </row>
    <row r="35" customFormat="false" ht="14.25" hidden="false" customHeight="true" outlineLevel="0" collapsed="false">
      <c r="A35" s="89"/>
      <c r="B35" s="90"/>
      <c r="C35" s="90"/>
      <c r="D35" s="90"/>
      <c r="E35" s="91" t="str">
        <f aca="false">IFERROR(VLOOKUP(D35,PLANI_LLOGARIVE!$A:$B,2,FALSE()),"")</f>
        <v/>
      </c>
      <c r="F35" s="92"/>
      <c r="G35" s="93"/>
      <c r="H35" s="94"/>
      <c r="I35" s="95"/>
      <c r="J35" s="96" t="str">
        <f aca="false">IF(TRIM($C35)="","",IF($M35&lt;&gt;"OK",$M35,IF(ABS(SUMIFS($F:$F,$C:$C,TRIM($C35))-SUMIFS($G:$G,$C:$C,TRIM($C35)))&lt;0.005,"OK","ERROR - veprimi nuk balancohet")))</f>
        <v/>
      </c>
      <c r="K35" s="97" t="str">
        <f aca="false">IF($D35="","",IFERROR(VLOOKUP($D35,PLANI_LLOGARIVE!$A:$J,10,FALSE()),FALSE()))</f>
        <v/>
      </c>
      <c r="L35" s="97" t="str">
        <f aca="false">IF($D35="","",IFERROR(VLOOKUP($D35,PLANI_LLOGARIVE!$A:$G,7,FALSE()),"NUK EKZISTON"))</f>
        <v/>
      </c>
      <c r="M35" s="98" t="str">
        <f aca="false">IF($D35="","",IF(COUNTIF(PLANI_LLOGARIVE!$A:$A,$D35)=0,"ERROR - llogaria nuk ekziston",IF($K35=TRUE(),"OK","ERROR - llogari jo-postuese/Header")))</f>
        <v/>
      </c>
      <c r="N35" s="99" t="str">
        <f aca="false">IF(TRIM($C35)="","",IF(ABS(SUMIFS($F:$F,$C:$C,TRIM($C35))-SUMIFS($G:$G,$C:$C,TRIM($C35)))&lt;0.005,"OK","ERROR - debi/kredi"))</f>
        <v/>
      </c>
      <c r="O35" s="88"/>
      <c r="P35" s="88"/>
      <c r="Q35" s="88"/>
      <c r="R35" s="88"/>
      <c r="S35" s="100" t="str">
        <f aca="false">IF(D35="","",LEFT(D35&amp;"",2))</f>
        <v/>
      </c>
      <c r="T35" s="101" t="str">
        <f aca="false">IF(D35="","",LEFT(D35&amp;"",3))</f>
        <v/>
      </c>
    </row>
    <row r="36" customFormat="false" ht="14.25" hidden="false" customHeight="true" outlineLevel="0" collapsed="false">
      <c r="A36" s="89"/>
      <c r="B36" s="90"/>
      <c r="C36" s="90"/>
      <c r="D36" s="90"/>
      <c r="E36" s="91" t="str">
        <f aca="false">IFERROR(VLOOKUP(D36,PLANI_LLOGARIVE!$A:$B,2,FALSE()),"")</f>
        <v/>
      </c>
      <c r="F36" s="92"/>
      <c r="G36" s="93"/>
      <c r="H36" s="94"/>
      <c r="I36" s="95"/>
      <c r="J36" s="96" t="str">
        <f aca="false">IF(TRIM($C36)="","",IF($M36&lt;&gt;"OK",$M36,IF(ABS(SUMIFS($F:$F,$C:$C,TRIM($C36))-SUMIFS($G:$G,$C:$C,TRIM($C36)))&lt;0.005,"OK","ERROR - veprimi nuk balancohet")))</f>
        <v/>
      </c>
      <c r="K36" s="97" t="str">
        <f aca="false">IF($D36="","",IFERROR(VLOOKUP($D36,PLANI_LLOGARIVE!$A:$J,10,FALSE()),FALSE()))</f>
        <v/>
      </c>
      <c r="L36" s="97" t="str">
        <f aca="false">IF($D36="","",IFERROR(VLOOKUP($D36,PLANI_LLOGARIVE!$A:$G,7,FALSE()),"NUK EKZISTON"))</f>
        <v/>
      </c>
      <c r="M36" s="98" t="str">
        <f aca="false">IF($D36="","",IF(COUNTIF(PLANI_LLOGARIVE!$A:$A,$D36)=0,"ERROR - llogaria nuk ekziston",IF($K36=TRUE(),"OK","ERROR - llogari jo-postuese/Header")))</f>
        <v/>
      </c>
      <c r="N36" s="99" t="str">
        <f aca="false">IF(TRIM($C36)="","",IF(ABS(SUMIFS($F:$F,$C:$C,TRIM($C36))-SUMIFS($G:$G,$C:$C,TRIM($C36)))&lt;0.005,"OK","ERROR - debi/kredi"))</f>
        <v/>
      </c>
      <c r="O36" s="88"/>
      <c r="P36" s="88"/>
      <c r="Q36" s="88"/>
      <c r="R36" s="88"/>
      <c r="S36" s="100" t="str">
        <f aca="false">IF(D36="","",LEFT(D36&amp;"",2))</f>
        <v/>
      </c>
      <c r="T36" s="101" t="str">
        <f aca="false">IF(D36="","",LEFT(D36&amp;"",3))</f>
        <v/>
      </c>
    </row>
    <row r="37" customFormat="false" ht="14.25" hidden="false" customHeight="true" outlineLevel="0" collapsed="false">
      <c r="A37" s="89"/>
      <c r="B37" s="90"/>
      <c r="C37" s="90"/>
      <c r="D37" s="90"/>
      <c r="E37" s="91" t="str">
        <f aca="false">IFERROR(VLOOKUP(D37,PLANI_LLOGARIVE!$A:$B,2,FALSE()),"")</f>
        <v/>
      </c>
      <c r="F37" s="92"/>
      <c r="G37" s="93"/>
      <c r="H37" s="94"/>
      <c r="I37" s="95"/>
      <c r="J37" s="96" t="str">
        <f aca="false">IF(TRIM($C37)="","",IF($M37&lt;&gt;"OK",$M37,IF(ABS(SUMIFS($F:$F,$C:$C,TRIM($C37))-SUMIFS($G:$G,$C:$C,TRIM($C37)))&lt;0.005,"OK","ERROR - veprimi nuk balancohet")))</f>
        <v/>
      </c>
      <c r="K37" s="97" t="str">
        <f aca="false">IF($D37="","",IFERROR(VLOOKUP($D37,PLANI_LLOGARIVE!$A:$J,10,FALSE()),FALSE()))</f>
        <v/>
      </c>
      <c r="L37" s="97" t="str">
        <f aca="false">IF($D37="","",IFERROR(VLOOKUP($D37,PLANI_LLOGARIVE!$A:$G,7,FALSE()),"NUK EKZISTON"))</f>
        <v/>
      </c>
      <c r="M37" s="98" t="str">
        <f aca="false">IF($D37="","",IF(COUNTIF(PLANI_LLOGARIVE!$A:$A,$D37)=0,"ERROR - llogaria nuk ekziston",IF($K37=TRUE(),"OK","ERROR - llogari jo-postuese/Header")))</f>
        <v/>
      </c>
      <c r="N37" s="99" t="str">
        <f aca="false">IF(TRIM($C37)="","",IF(ABS(SUMIFS($F:$F,$C:$C,TRIM($C37))-SUMIFS($G:$G,$C:$C,TRIM($C37)))&lt;0.005,"OK","ERROR - debi/kredi"))</f>
        <v/>
      </c>
      <c r="O37" s="88"/>
      <c r="P37" s="88"/>
      <c r="Q37" s="88"/>
      <c r="R37" s="88"/>
      <c r="S37" s="100" t="str">
        <f aca="false">IF(D37="","",LEFT(D37&amp;"",2))</f>
        <v/>
      </c>
      <c r="T37" s="101" t="str">
        <f aca="false">IF(D37="","",LEFT(D37&amp;"",3))</f>
        <v/>
      </c>
    </row>
    <row r="38" customFormat="false" ht="14.25" hidden="false" customHeight="true" outlineLevel="0" collapsed="false">
      <c r="A38" s="89"/>
      <c r="B38" s="90"/>
      <c r="C38" s="90"/>
      <c r="D38" s="90"/>
      <c r="E38" s="91" t="str">
        <f aca="false">IFERROR(VLOOKUP(D38,PLANI_LLOGARIVE!$A:$B,2,FALSE()),"")</f>
        <v/>
      </c>
      <c r="F38" s="92"/>
      <c r="G38" s="93"/>
      <c r="H38" s="94"/>
      <c r="I38" s="95"/>
      <c r="J38" s="96" t="str">
        <f aca="false">IF(TRIM($C38)="","",IF($M38&lt;&gt;"OK",$M38,IF(ABS(SUMIFS($F:$F,$C:$C,TRIM($C38))-SUMIFS($G:$G,$C:$C,TRIM($C38)))&lt;0.005,"OK","ERROR - veprimi nuk balancohet")))</f>
        <v/>
      </c>
      <c r="K38" s="97" t="str">
        <f aca="false">IF($D38="","",IFERROR(VLOOKUP($D38,PLANI_LLOGARIVE!$A:$J,10,FALSE()),FALSE()))</f>
        <v/>
      </c>
      <c r="L38" s="97" t="str">
        <f aca="false">IF($D38="","",IFERROR(VLOOKUP($D38,PLANI_LLOGARIVE!$A:$G,7,FALSE()),"NUK EKZISTON"))</f>
        <v/>
      </c>
      <c r="M38" s="98" t="str">
        <f aca="false">IF($D38="","",IF(COUNTIF(PLANI_LLOGARIVE!$A:$A,$D38)=0,"ERROR - llogaria nuk ekziston",IF($K38=TRUE(),"OK","ERROR - llogari jo-postuese/Header")))</f>
        <v/>
      </c>
      <c r="N38" s="99" t="str">
        <f aca="false">IF(TRIM($C38)="","",IF(ABS(SUMIFS($F:$F,$C:$C,TRIM($C38))-SUMIFS($G:$G,$C:$C,TRIM($C38)))&lt;0.005,"OK","ERROR - debi/kredi"))</f>
        <v/>
      </c>
      <c r="O38" s="88"/>
      <c r="P38" s="88"/>
      <c r="Q38" s="88"/>
      <c r="R38" s="88"/>
      <c r="S38" s="100" t="str">
        <f aca="false">IF(D38="","",LEFT(D38&amp;"",2))</f>
        <v/>
      </c>
      <c r="T38" s="101" t="str">
        <f aca="false">IF(D38="","",LEFT(D38&amp;"",3))</f>
        <v/>
      </c>
    </row>
    <row r="39" customFormat="false" ht="14.25" hidden="false" customHeight="true" outlineLevel="0" collapsed="false">
      <c r="A39" s="89"/>
      <c r="B39" s="90"/>
      <c r="C39" s="90"/>
      <c r="D39" s="90"/>
      <c r="E39" s="91" t="str">
        <f aca="false">IFERROR(VLOOKUP(D39,PLANI_LLOGARIVE!$A:$B,2,FALSE()),"")</f>
        <v/>
      </c>
      <c r="F39" s="92"/>
      <c r="G39" s="93"/>
      <c r="H39" s="94"/>
      <c r="I39" s="95"/>
      <c r="J39" s="96" t="str">
        <f aca="false">IF(TRIM($C39)="","",IF($M39&lt;&gt;"OK",$M39,IF(ABS(SUMIFS($F:$F,$C:$C,TRIM($C39))-SUMIFS($G:$G,$C:$C,TRIM($C39)))&lt;0.005,"OK","ERROR - veprimi nuk balancohet")))</f>
        <v/>
      </c>
      <c r="K39" s="97" t="str">
        <f aca="false">IF($D39="","",IFERROR(VLOOKUP($D39,PLANI_LLOGARIVE!$A:$J,10,FALSE()),FALSE()))</f>
        <v/>
      </c>
      <c r="L39" s="97" t="str">
        <f aca="false">IF($D39="","",IFERROR(VLOOKUP($D39,PLANI_LLOGARIVE!$A:$G,7,FALSE()),"NUK EKZISTON"))</f>
        <v/>
      </c>
      <c r="M39" s="98" t="str">
        <f aca="false">IF($D39="","",IF(COUNTIF(PLANI_LLOGARIVE!$A:$A,$D39)=0,"ERROR - llogaria nuk ekziston",IF($K39=TRUE(),"OK","ERROR - llogari jo-postuese/Header")))</f>
        <v/>
      </c>
      <c r="N39" s="99" t="str">
        <f aca="false">IF(TRIM($C39)="","",IF(ABS(SUMIFS($F:$F,$C:$C,TRIM($C39))-SUMIFS($G:$G,$C:$C,TRIM($C39)))&lt;0.005,"OK","ERROR - debi/kredi"))</f>
        <v/>
      </c>
      <c r="O39" s="88"/>
      <c r="P39" s="88"/>
      <c r="Q39" s="88"/>
      <c r="R39" s="88"/>
      <c r="S39" s="100" t="str">
        <f aca="false">IF(D39="","",LEFT(D39&amp;"",2))</f>
        <v/>
      </c>
      <c r="T39" s="101" t="str">
        <f aca="false">IF(D39="","",LEFT(D39&amp;"",3))</f>
        <v/>
      </c>
    </row>
    <row r="40" customFormat="false" ht="14.25" hidden="false" customHeight="true" outlineLevel="0" collapsed="false">
      <c r="A40" s="89"/>
      <c r="B40" s="90"/>
      <c r="C40" s="90"/>
      <c r="D40" s="90"/>
      <c r="E40" s="91" t="str">
        <f aca="false">IFERROR(VLOOKUP(D40,PLANI_LLOGARIVE!$A:$B,2,FALSE()),"")</f>
        <v/>
      </c>
      <c r="F40" s="92"/>
      <c r="G40" s="93"/>
      <c r="H40" s="94"/>
      <c r="I40" s="95"/>
      <c r="J40" s="96" t="str">
        <f aca="false">IF(TRIM($C40)="","",IF($M40&lt;&gt;"OK",$M40,IF(ABS(SUMIFS($F:$F,$C:$C,TRIM($C40))-SUMIFS($G:$G,$C:$C,TRIM($C40)))&lt;0.005,"OK","ERROR - veprimi nuk balancohet")))</f>
        <v/>
      </c>
      <c r="K40" s="97" t="str">
        <f aca="false">IF($D40="","",IFERROR(VLOOKUP($D40,PLANI_LLOGARIVE!$A:$J,10,FALSE()),FALSE()))</f>
        <v/>
      </c>
      <c r="L40" s="97" t="str">
        <f aca="false">IF($D40="","",IFERROR(VLOOKUP($D40,PLANI_LLOGARIVE!$A:$G,7,FALSE()),"NUK EKZISTON"))</f>
        <v/>
      </c>
      <c r="M40" s="98" t="str">
        <f aca="false">IF($D40="","",IF(COUNTIF(PLANI_LLOGARIVE!$A:$A,$D40)=0,"ERROR - llogaria nuk ekziston",IF($K40=TRUE(),"OK","ERROR - llogari jo-postuese/Header")))</f>
        <v/>
      </c>
      <c r="N40" s="99" t="str">
        <f aca="false">IF(TRIM($C40)="","",IF(ABS(SUMIFS($F:$F,$C:$C,TRIM($C40))-SUMIFS($G:$G,$C:$C,TRIM($C40)))&lt;0.005,"OK","ERROR - debi/kredi"))</f>
        <v/>
      </c>
      <c r="O40" s="88"/>
      <c r="P40" s="88"/>
      <c r="Q40" s="88"/>
      <c r="R40" s="88"/>
      <c r="S40" s="100" t="str">
        <f aca="false">IF(D40="","",LEFT(D40&amp;"",2))</f>
        <v/>
      </c>
      <c r="T40" s="101" t="str">
        <f aca="false">IF(D40="","",LEFT(D40&amp;"",3))</f>
        <v/>
      </c>
    </row>
    <row r="41" customFormat="false" ht="14.25" hidden="false" customHeight="true" outlineLevel="0" collapsed="false">
      <c r="A41" s="89"/>
      <c r="B41" s="90"/>
      <c r="C41" s="90"/>
      <c r="D41" s="90"/>
      <c r="E41" s="91" t="str">
        <f aca="false">IFERROR(VLOOKUP(D41,PLANI_LLOGARIVE!$A:$B,2,FALSE()),"")</f>
        <v/>
      </c>
      <c r="F41" s="92"/>
      <c r="G41" s="93"/>
      <c r="H41" s="94"/>
      <c r="I41" s="95"/>
      <c r="J41" s="96" t="str">
        <f aca="false">IF(TRIM($C41)="","",IF($M41&lt;&gt;"OK",$M41,IF(ABS(SUMIFS($F:$F,$C:$C,TRIM($C41))-SUMIFS($G:$G,$C:$C,TRIM($C41)))&lt;0.005,"OK","ERROR - veprimi nuk balancohet")))</f>
        <v/>
      </c>
      <c r="K41" s="97" t="str">
        <f aca="false">IF($D41="","",IFERROR(VLOOKUP($D41,PLANI_LLOGARIVE!$A:$J,10,FALSE()),FALSE()))</f>
        <v/>
      </c>
      <c r="L41" s="97" t="str">
        <f aca="false">IF($D41="","",IFERROR(VLOOKUP($D41,PLANI_LLOGARIVE!$A:$G,7,FALSE()),"NUK EKZISTON"))</f>
        <v/>
      </c>
      <c r="M41" s="98" t="str">
        <f aca="false">IF($D41="","",IF(COUNTIF(PLANI_LLOGARIVE!$A:$A,$D41)=0,"ERROR - llogaria nuk ekziston",IF($K41=TRUE(),"OK","ERROR - llogari jo-postuese/Header")))</f>
        <v/>
      </c>
      <c r="N41" s="99" t="str">
        <f aca="false">IF(TRIM($C41)="","",IF(ABS(SUMIFS($F:$F,$C:$C,TRIM($C41))-SUMIFS($G:$G,$C:$C,TRIM($C41)))&lt;0.005,"OK","ERROR - debi/kredi"))</f>
        <v/>
      </c>
      <c r="O41" s="88"/>
      <c r="P41" s="88"/>
      <c r="Q41" s="88"/>
      <c r="R41" s="88"/>
      <c r="S41" s="100" t="str">
        <f aca="false">IF(D41="","",LEFT(D41&amp;"",2))</f>
        <v/>
      </c>
      <c r="T41" s="101" t="str">
        <f aca="false">IF(D41="","",LEFT(D41&amp;"",3))</f>
        <v/>
      </c>
    </row>
    <row r="42" customFormat="false" ht="14.25" hidden="false" customHeight="true" outlineLevel="0" collapsed="false">
      <c r="A42" s="89"/>
      <c r="B42" s="90"/>
      <c r="C42" s="90"/>
      <c r="D42" s="90"/>
      <c r="E42" s="91" t="str">
        <f aca="false">IFERROR(VLOOKUP(D42,PLANI_LLOGARIVE!$A:$B,2,FALSE()),"")</f>
        <v/>
      </c>
      <c r="F42" s="92"/>
      <c r="G42" s="93"/>
      <c r="H42" s="94"/>
      <c r="I42" s="95"/>
      <c r="J42" s="96" t="str">
        <f aca="false">IF(TRIM($C42)="","",IF($M42&lt;&gt;"OK",$M42,IF(ABS(SUMIFS($F:$F,$C:$C,TRIM($C42))-SUMIFS($G:$G,$C:$C,TRIM($C42)))&lt;0.005,"OK","ERROR - veprimi nuk balancohet")))</f>
        <v/>
      </c>
      <c r="K42" s="97" t="str">
        <f aca="false">IF($D42="","",IFERROR(VLOOKUP($D42,PLANI_LLOGARIVE!$A:$J,10,FALSE()),FALSE()))</f>
        <v/>
      </c>
      <c r="L42" s="97" t="str">
        <f aca="false">IF($D42="","",IFERROR(VLOOKUP($D42,PLANI_LLOGARIVE!$A:$G,7,FALSE()),"NUK EKZISTON"))</f>
        <v/>
      </c>
      <c r="M42" s="98" t="str">
        <f aca="false">IF($D42="","",IF(COUNTIF(PLANI_LLOGARIVE!$A:$A,$D42)=0,"ERROR - llogaria nuk ekziston",IF($K42=TRUE(),"OK","ERROR - llogari jo-postuese/Header")))</f>
        <v/>
      </c>
      <c r="N42" s="99" t="str">
        <f aca="false">IF(TRIM($C42)="","",IF(ABS(SUMIFS($F:$F,$C:$C,TRIM($C42))-SUMIFS($G:$G,$C:$C,TRIM($C42)))&lt;0.005,"OK","ERROR - debi/kredi"))</f>
        <v/>
      </c>
      <c r="O42" s="88"/>
      <c r="P42" s="88"/>
      <c r="Q42" s="88"/>
      <c r="R42" s="88"/>
      <c r="S42" s="100" t="str">
        <f aca="false">IF(D42="","",LEFT(D42&amp;"",2))</f>
        <v/>
      </c>
      <c r="T42" s="101" t="str">
        <f aca="false">IF(D42="","",LEFT(D42&amp;"",3))</f>
        <v/>
      </c>
    </row>
    <row r="43" customFormat="false" ht="14.25" hidden="false" customHeight="true" outlineLevel="0" collapsed="false">
      <c r="A43" s="89"/>
      <c r="B43" s="90"/>
      <c r="C43" s="90"/>
      <c r="D43" s="90"/>
      <c r="E43" s="91" t="str">
        <f aca="false">IFERROR(VLOOKUP(D43,PLANI_LLOGARIVE!$A:$B,2,FALSE()),"")</f>
        <v/>
      </c>
      <c r="F43" s="92"/>
      <c r="G43" s="93"/>
      <c r="H43" s="94"/>
      <c r="I43" s="95"/>
      <c r="J43" s="96" t="str">
        <f aca="false">IF(TRIM($C43)="","",IF($M43&lt;&gt;"OK",$M43,IF(ABS(SUMIFS($F:$F,$C:$C,TRIM($C43))-SUMIFS($G:$G,$C:$C,TRIM($C43)))&lt;0.005,"OK","ERROR - veprimi nuk balancohet")))</f>
        <v/>
      </c>
      <c r="K43" s="97" t="str">
        <f aca="false">IF($D43="","",IFERROR(VLOOKUP($D43,PLANI_LLOGARIVE!$A:$J,10,FALSE()),FALSE()))</f>
        <v/>
      </c>
      <c r="L43" s="97" t="str">
        <f aca="false">IF($D43="","",IFERROR(VLOOKUP($D43,PLANI_LLOGARIVE!$A:$G,7,FALSE()),"NUK EKZISTON"))</f>
        <v/>
      </c>
      <c r="M43" s="98" t="str">
        <f aca="false">IF($D43="","",IF(COUNTIF(PLANI_LLOGARIVE!$A:$A,$D43)=0,"ERROR - llogaria nuk ekziston",IF($K43=TRUE(),"OK","ERROR - llogari jo-postuese/Header")))</f>
        <v/>
      </c>
      <c r="N43" s="99" t="str">
        <f aca="false">IF(TRIM($C43)="","",IF(ABS(SUMIFS($F:$F,$C:$C,TRIM($C43))-SUMIFS($G:$G,$C:$C,TRIM($C43)))&lt;0.005,"OK","ERROR - debi/kredi"))</f>
        <v/>
      </c>
      <c r="O43" s="88"/>
      <c r="P43" s="88"/>
      <c r="Q43" s="88"/>
      <c r="R43" s="88"/>
      <c r="S43" s="100" t="str">
        <f aca="false">IF(D43="","",LEFT(D43&amp;"",2))</f>
        <v/>
      </c>
      <c r="T43" s="101" t="str">
        <f aca="false">IF(D43="","",LEFT(D43&amp;"",3))</f>
        <v/>
      </c>
    </row>
    <row r="44" customFormat="false" ht="14.25" hidden="false" customHeight="true" outlineLevel="0" collapsed="false">
      <c r="A44" s="89"/>
      <c r="B44" s="90"/>
      <c r="C44" s="90"/>
      <c r="D44" s="90"/>
      <c r="E44" s="104" t="str">
        <f aca="false">IFERROR(VLOOKUP(D44,PLANI_LLOGARIVE!$A:$B,2,FALSE()),"")</f>
        <v/>
      </c>
      <c r="F44" s="92"/>
      <c r="G44" s="93"/>
      <c r="H44" s="94"/>
      <c r="I44" s="95"/>
      <c r="J44" s="96" t="str">
        <f aca="false">IF(TRIM($C44)="","",IF($M44&lt;&gt;"OK",$M44,IF(ABS(SUMIFS($F:$F,$C:$C,TRIM($C44))-SUMIFS($G:$G,$C:$C,TRIM($C44)))&lt;0.005,"OK","ERROR - veprimi nuk balancohet")))</f>
        <v/>
      </c>
      <c r="K44" s="97" t="str">
        <f aca="false">IF($D44="","",IFERROR(VLOOKUP($D44,PLANI_LLOGARIVE!$A:$J,10,FALSE()),FALSE()))</f>
        <v/>
      </c>
      <c r="L44" s="97" t="str">
        <f aca="false">IF($D44="","",IFERROR(VLOOKUP($D44,PLANI_LLOGARIVE!$A:$G,7,FALSE()),"NUK EKZISTON"))</f>
        <v/>
      </c>
      <c r="M44" s="98" t="str">
        <f aca="false">IF($D44="","",IF(COUNTIF(PLANI_LLOGARIVE!$A:$A,$D44)=0,"ERROR - llogaria nuk ekziston",IF($K44=TRUE(),"OK","ERROR - llogari jo-postuese/Header")))</f>
        <v/>
      </c>
      <c r="N44" s="99" t="str">
        <f aca="false">IF(TRIM($C44)="","",IF(ABS(SUMIFS($F:$F,$C:$C,TRIM($C44))-SUMIFS($G:$G,$C:$C,TRIM($C44)))&lt;0.005,"OK","ERROR - debi/kredi"))</f>
        <v/>
      </c>
      <c r="O44" s="88"/>
      <c r="P44" s="88"/>
      <c r="Q44" s="88"/>
      <c r="R44" s="88"/>
      <c r="S44" s="100" t="str">
        <f aca="false">IF(D44="","",LEFT(D44&amp;"",2))</f>
        <v/>
      </c>
      <c r="T44" s="101" t="str">
        <f aca="false">IF(D44="","",LEFT(D44&amp;"",3))</f>
        <v/>
      </c>
    </row>
    <row r="45" customFormat="false" ht="14.25" hidden="false" customHeight="true" outlineLevel="0" collapsed="false">
      <c r="A45" s="89"/>
      <c r="B45" s="90"/>
      <c r="C45" s="90"/>
      <c r="D45" s="90"/>
      <c r="E45" s="91" t="str">
        <f aca="false">IFERROR(VLOOKUP(D45,PLANI_LLOGARIVE!$A:$B,2,FALSE()),"")</f>
        <v/>
      </c>
      <c r="F45" s="92"/>
      <c r="G45" s="93"/>
      <c r="H45" s="94"/>
      <c r="I45" s="95"/>
      <c r="J45" s="96" t="str">
        <f aca="false">IF(TRIM($C45)="","",IF($M45&lt;&gt;"OK",$M45,IF(ABS(SUMIFS($F:$F,$C:$C,TRIM($C45))-SUMIFS($G:$G,$C:$C,TRIM($C45)))&lt;0.005,"OK","ERROR - veprimi nuk balancohet")))</f>
        <v/>
      </c>
      <c r="K45" s="97" t="str">
        <f aca="false">IF($D45="","",IFERROR(VLOOKUP($D45,PLANI_LLOGARIVE!$A:$J,10,FALSE()),FALSE()))</f>
        <v/>
      </c>
      <c r="L45" s="97" t="str">
        <f aca="false">IF($D45="","",IFERROR(VLOOKUP($D45,PLANI_LLOGARIVE!$A:$G,7,FALSE()),"NUK EKZISTON"))</f>
        <v/>
      </c>
      <c r="M45" s="98" t="str">
        <f aca="false">IF($D45="","",IF(COUNTIF(PLANI_LLOGARIVE!$A:$A,$D45)=0,"ERROR - llogaria nuk ekziston",IF($K45=TRUE(),"OK","ERROR - llogari jo-postuese/Header")))</f>
        <v/>
      </c>
      <c r="N45" s="99" t="str">
        <f aca="false">IF(TRIM($C45)="","",IF(ABS(SUMIFS($F:$F,$C:$C,TRIM($C45))-SUMIFS($G:$G,$C:$C,TRIM($C45)))&lt;0.005,"OK","ERROR - debi/kredi"))</f>
        <v/>
      </c>
      <c r="O45" s="88"/>
      <c r="P45" s="88"/>
      <c r="Q45" s="88"/>
      <c r="R45" s="88"/>
      <c r="S45" s="100" t="str">
        <f aca="false">IF(D45="","",LEFT(D45&amp;"",2))</f>
        <v/>
      </c>
      <c r="T45" s="101" t="str">
        <f aca="false">IF(D45="","",LEFT(D45&amp;"",3))</f>
        <v/>
      </c>
    </row>
    <row r="46" customFormat="false" ht="14.25" hidden="false" customHeight="true" outlineLevel="0" collapsed="false">
      <c r="A46" s="89"/>
      <c r="B46" s="90"/>
      <c r="C46" s="90"/>
      <c r="D46" s="90"/>
      <c r="E46" s="91" t="str">
        <f aca="false">IFERROR(VLOOKUP(D46,PLANI_LLOGARIVE!$A:$B,2,FALSE()),"")</f>
        <v/>
      </c>
      <c r="F46" s="92"/>
      <c r="G46" s="93"/>
      <c r="H46" s="94"/>
      <c r="I46" s="95"/>
      <c r="J46" s="96" t="str">
        <f aca="false">IF(TRIM($C46)="","",IF($M46&lt;&gt;"OK",$M46,IF(ABS(SUMIFS($F:$F,$C:$C,TRIM($C46))-SUMIFS($G:$G,$C:$C,TRIM($C46)))&lt;0.005,"OK","ERROR - veprimi nuk balancohet")))</f>
        <v/>
      </c>
      <c r="K46" s="97" t="str">
        <f aca="false">IF($D46="","",IFERROR(VLOOKUP($D46,PLANI_LLOGARIVE!$A:$J,10,FALSE()),FALSE()))</f>
        <v/>
      </c>
      <c r="L46" s="97" t="str">
        <f aca="false">IF($D46="","",IFERROR(VLOOKUP($D46,PLANI_LLOGARIVE!$A:$G,7,FALSE()),"NUK EKZISTON"))</f>
        <v/>
      </c>
      <c r="M46" s="98" t="str">
        <f aca="false">IF($D46="","",IF(COUNTIF(PLANI_LLOGARIVE!$A:$A,$D46)=0,"ERROR - llogaria nuk ekziston",IF($K46=TRUE(),"OK","ERROR - llogari jo-postuese/Header")))</f>
        <v/>
      </c>
      <c r="N46" s="99" t="str">
        <f aca="false">IF(TRIM($C46)="","",IF(ABS(SUMIFS($F:$F,$C:$C,TRIM($C46))-SUMIFS($G:$G,$C:$C,TRIM($C46)))&lt;0.005,"OK","ERROR - debi/kredi"))</f>
        <v/>
      </c>
      <c r="O46" s="88"/>
      <c r="P46" s="88"/>
      <c r="Q46" s="88"/>
      <c r="R46" s="88"/>
      <c r="S46" s="100" t="str">
        <f aca="false">IF(D46="","",LEFT(D46&amp;"",2))</f>
        <v/>
      </c>
      <c r="T46" s="101" t="str">
        <f aca="false">IF(D46="","",LEFT(D46&amp;"",3))</f>
        <v/>
      </c>
    </row>
    <row r="47" customFormat="false" ht="14.25" hidden="false" customHeight="true" outlineLevel="0" collapsed="false">
      <c r="A47" s="89"/>
      <c r="B47" s="90"/>
      <c r="C47" s="90"/>
      <c r="D47" s="90"/>
      <c r="E47" s="91" t="str">
        <f aca="false">IFERROR(VLOOKUP(D47,PLANI_LLOGARIVE!$A:$B,2,FALSE()),"")</f>
        <v/>
      </c>
      <c r="F47" s="92"/>
      <c r="G47" s="93"/>
      <c r="H47" s="94"/>
      <c r="I47" s="95"/>
      <c r="J47" s="96" t="str">
        <f aca="false">IF(TRIM($C47)="","",IF($M47&lt;&gt;"OK",$M47,IF(ABS(SUMIFS($F:$F,$C:$C,TRIM($C47))-SUMIFS($G:$G,$C:$C,TRIM($C47)))&lt;0.005,"OK","ERROR - veprimi nuk balancohet")))</f>
        <v/>
      </c>
      <c r="K47" s="97" t="str">
        <f aca="false">IF($D47="","",IFERROR(VLOOKUP($D47,PLANI_LLOGARIVE!$A:$J,10,FALSE()),FALSE()))</f>
        <v/>
      </c>
      <c r="L47" s="97" t="str">
        <f aca="false">IF($D47="","",IFERROR(VLOOKUP($D47,PLANI_LLOGARIVE!$A:$G,7,FALSE()),"NUK EKZISTON"))</f>
        <v/>
      </c>
      <c r="M47" s="98" t="str">
        <f aca="false">IF($D47="","",IF(COUNTIF(PLANI_LLOGARIVE!$A:$A,$D47)=0,"ERROR - llogaria nuk ekziston",IF($K47=TRUE(),"OK","ERROR - llogari jo-postuese/Header")))</f>
        <v/>
      </c>
      <c r="N47" s="99" t="str">
        <f aca="false">IF(TRIM($C47)="","",IF(ABS(SUMIFS($F:$F,$C:$C,TRIM($C47))-SUMIFS($G:$G,$C:$C,TRIM($C47)))&lt;0.005,"OK","ERROR - debi/kredi"))</f>
        <v/>
      </c>
      <c r="O47" s="88"/>
      <c r="P47" s="88"/>
      <c r="Q47" s="88"/>
      <c r="R47" s="88"/>
      <c r="S47" s="100" t="str">
        <f aca="false">IF(D47="","",LEFT(D47&amp;"",2))</f>
        <v/>
      </c>
      <c r="T47" s="101" t="str">
        <f aca="false">IF(D47="","",LEFT(D47&amp;"",3))</f>
        <v/>
      </c>
    </row>
    <row r="48" customFormat="false" ht="14.25" hidden="false" customHeight="true" outlineLevel="0" collapsed="false">
      <c r="A48" s="89"/>
      <c r="B48" s="90"/>
      <c r="C48" s="90"/>
      <c r="D48" s="90"/>
      <c r="E48" s="91" t="str">
        <f aca="false">IFERROR(VLOOKUP(D48,PLANI_LLOGARIVE!$A:$B,2,FALSE()),"")</f>
        <v/>
      </c>
      <c r="F48" s="92"/>
      <c r="G48" s="93"/>
      <c r="H48" s="94"/>
      <c r="I48" s="95"/>
      <c r="J48" s="96" t="str">
        <f aca="false">IF(TRIM($C48)="","",IF($M48&lt;&gt;"OK",$M48,IF(ABS(SUMIFS($F:$F,$C:$C,TRIM($C48))-SUMIFS($G:$G,$C:$C,TRIM($C48)))&lt;0.005,"OK","ERROR - veprimi nuk balancohet")))</f>
        <v/>
      </c>
      <c r="K48" s="97" t="str">
        <f aca="false">IF($D48="","",IFERROR(VLOOKUP($D48,PLANI_LLOGARIVE!$A:$J,10,FALSE()),FALSE()))</f>
        <v/>
      </c>
      <c r="L48" s="97" t="str">
        <f aca="false">IF($D48="","",IFERROR(VLOOKUP($D48,PLANI_LLOGARIVE!$A:$G,7,FALSE()),"NUK EKZISTON"))</f>
        <v/>
      </c>
      <c r="M48" s="98" t="str">
        <f aca="false">IF($D48="","",IF(COUNTIF(PLANI_LLOGARIVE!$A:$A,$D48)=0,"ERROR - llogaria nuk ekziston",IF($K48=TRUE(),"OK","ERROR - llogari jo-postuese/Header")))</f>
        <v/>
      </c>
      <c r="N48" s="99" t="str">
        <f aca="false">IF(TRIM($C48)="","",IF(ABS(SUMIFS($F:$F,$C:$C,TRIM($C48))-SUMIFS($G:$G,$C:$C,TRIM($C48)))&lt;0.005,"OK","ERROR - debi/kredi"))</f>
        <v/>
      </c>
      <c r="O48" s="88"/>
      <c r="P48" s="88"/>
      <c r="Q48" s="88"/>
      <c r="R48" s="88"/>
      <c r="S48" s="100" t="str">
        <f aca="false">IF(D48="","",LEFT(D48&amp;"",2))</f>
        <v/>
      </c>
      <c r="T48" s="101" t="str">
        <f aca="false">IF(D48="","",LEFT(D48&amp;"",3))</f>
        <v/>
      </c>
    </row>
    <row r="49" customFormat="false" ht="14.25" hidden="false" customHeight="true" outlineLevel="0" collapsed="false">
      <c r="A49" s="89"/>
      <c r="B49" s="90"/>
      <c r="C49" s="90"/>
      <c r="D49" s="90"/>
      <c r="E49" s="91" t="str">
        <f aca="false">IFERROR(VLOOKUP(D49,PLANI_LLOGARIVE!$A:$B,2,FALSE()),"")</f>
        <v/>
      </c>
      <c r="F49" s="92"/>
      <c r="G49" s="93"/>
      <c r="H49" s="94"/>
      <c r="I49" s="95"/>
      <c r="J49" s="96" t="str">
        <f aca="false">IF(TRIM($C49)="","",IF($M49&lt;&gt;"OK",$M49,IF(ABS(SUMIFS($F:$F,$C:$C,TRIM($C49))-SUMIFS($G:$G,$C:$C,TRIM($C49)))&lt;0.005,"OK","ERROR - veprimi nuk balancohet")))</f>
        <v/>
      </c>
      <c r="K49" s="97" t="str">
        <f aca="false">IF($D49="","",IFERROR(VLOOKUP($D49,PLANI_LLOGARIVE!$A:$J,10,FALSE()),FALSE()))</f>
        <v/>
      </c>
      <c r="L49" s="97" t="str">
        <f aca="false">IF($D49="","",IFERROR(VLOOKUP($D49,PLANI_LLOGARIVE!$A:$G,7,FALSE()),"NUK EKZISTON"))</f>
        <v/>
      </c>
      <c r="M49" s="98" t="str">
        <f aca="false">IF($D49="","",IF(COUNTIF(PLANI_LLOGARIVE!$A:$A,$D49)=0,"ERROR - llogaria nuk ekziston",IF($K49=TRUE(),"OK","ERROR - llogari jo-postuese/Header")))</f>
        <v/>
      </c>
      <c r="N49" s="99" t="str">
        <f aca="false">IF(TRIM($C49)="","",IF(ABS(SUMIFS($F:$F,$C:$C,TRIM($C49))-SUMIFS($G:$G,$C:$C,TRIM($C49)))&lt;0.005,"OK","ERROR - debi/kredi"))</f>
        <v/>
      </c>
      <c r="O49" s="88"/>
      <c r="P49" s="88"/>
      <c r="Q49" s="88"/>
      <c r="R49" s="88"/>
      <c r="S49" s="100" t="str">
        <f aca="false">IF(D49="","",LEFT(D49&amp;"",2))</f>
        <v/>
      </c>
      <c r="T49" s="101" t="str">
        <f aca="false">IF(D49="","",LEFT(D49&amp;"",3))</f>
        <v/>
      </c>
    </row>
    <row r="50" customFormat="false" ht="14.25" hidden="false" customHeight="true" outlineLevel="0" collapsed="false">
      <c r="A50" s="89"/>
      <c r="B50" s="90"/>
      <c r="C50" s="90"/>
      <c r="D50" s="90"/>
      <c r="E50" s="91" t="str">
        <f aca="false">IFERROR(VLOOKUP(D50,PLANI_LLOGARIVE!$A:$B,2,FALSE()),"")</f>
        <v/>
      </c>
      <c r="F50" s="92"/>
      <c r="G50" s="93"/>
      <c r="H50" s="94"/>
      <c r="I50" s="95"/>
      <c r="J50" s="96" t="str">
        <f aca="false">IF(TRIM($C50)="","",IF($M50&lt;&gt;"OK",$M50,IF(ABS(SUMIFS($F:$F,$C:$C,TRIM($C50))-SUMIFS($G:$G,$C:$C,TRIM($C50)))&lt;0.005,"OK","ERROR - veprimi nuk balancohet")))</f>
        <v/>
      </c>
      <c r="K50" s="97" t="str">
        <f aca="false">IF($D50="","",IFERROR(VLOOKUP($D50,PLANI_LLOGARIVE!$A:$J,10,FALSE()),FALSE()))</f>
        <v/>
      </c>
      <c r="L50" s="97" t="str">
        <f aca="false">IF($D50="","",IFERROR(VLOOKUP($D50,PLANI_LLOGARIVE!$A:$G,7,FALSE()),"NUK EKZISTON"))</f>
        <v/>
      </c>
      <c r="M50" s="98" t="str">
        <f aca="false">IF($D50="","",IF(COUNTIF(PLANI_LLOGARIVE!$A:$A,$D50)=0,"ERROR - llogaria nuk ekziston",IF($K50=TRUE(),"OK","ERROR - llogari jo-postuese/Header")))</f>
        <v/>
      </c>
      <c r="N50" s="99" t="str">
        <f aca="false">IF(TRIM($C50)="","",IF(ABS(SUMIFS($F:$F,$C:$C,TRIM($C50))-SUMIFS($G:$G,$C:$C,TRIM($C50)))&lt;0.005,"OK","ERROR - debi/kredi"))</f>
        <v/>
      </c>
      <c r="O50" s="88"/>
      <c r="P50" s="88"/>
      <c r="Q50" s="88"/>
      <c r="R50" s="88"/>
      <c r="S50" s="100" t="str">
        <f aca="false">IF(D50="","",LEFT(D50&amp;"",2))</f>
        <v/>
      </c>
      <c r="T50" s="101" t="str">
        <f aca="false">IF(D50="","",LEFT(D50&amp;"",3))</f>
        <v/>
      </c>
    </row>
    <row r="51" customFormat="false" ht="14.25" hidden="false" customHeight="true" outlineLevel="0" collapsed="false">
      <c r="A51" s="89"/>
      <c r="B51" s="90"/>
      <c r="C51" s="90"/>
      <c r="D51" s="90"/>
      <c r="E51" s="91" t="str">
        <f aca="false">IFERROR(VLOOKUP(D51,PLANI_LLOGARIVE!$A:$B,2,FALSE()),"")</f>
        <v/>
      </c>
      <c r="F51" s="92"/>
      <c r="G51" s="93"/>
      <c r="H51" s="94"/>
      <c r="I51" s="95"/>
      <c r="J51" s="96" t="str">
        <f aca="false">IF(TRIM($C51)="","",IF($M51&lt;&gt;"OK",$M51,IF(ABS(SUMIFS($F:$F,$C:$C,TRIM($C51))-SUMIFS($G:$G,$C:$C,TRIM($C51)))&lt;0.005,"OK","ERROR - veprimi nuk balancohet")))</f>
        <v/>
      </c>
      <c r="K51" s="97" t="str">
        <f aca="false">IF($D51="","",IFERROR(VLOOKUP($D51,PLANI_LLOGARIVE!$A:$J,10,FALSE()),FALSE()))</f>
        <v/>
      </c>
      <c r="L51" s="97" t="str">
        <f aca="false">IF($D51="","",IFERROR(VLOOKUP($D51,PLANI_LLOGARIVE!$A:$G,7,FALSE()),"NUK EKZISTON"))</f>
        <v/>
      </c>
      <c r="M51" s="98" t="str">
        <f aca="false">IF($D51="","",IF(COUNTIF(PLANI_LLOGARIVE!$A:$A,$D51)=0,"ERROR - llogaria nuk ekziston",IF($K51=TRUE(),"OK","ERROR - llogari jo-postuese/Header")))</f>
        <v/>
      </c>
      <c r="N51" s="99" t="str">
        <f aca="false">IF(TRIM($C51)="","",IF(ABS(SUMIFS($F:$F,$C:$C,TRIM($C51))-SUMIFS($G:$G,$C:$C,TRIM($C51)))&lt;0.005,"OK","ERROR - debi/kredi"))</f>
        <v/>
      </c>
      <c r="O51" s="88"/>
      <c r="P51" s="88"/>
      <c r="Q51" s="88"/>
      <c r="R51" s="88"/>
      <c r="S51" s="100" t="str">
        <f aca="false">IF(D51="","",LEFT(D51&amp;"",2))</f>
        <v/>
      </c>
      <c r="T51" s="101" t="str">
        <f aca="false">IF(D51="","",LEFT(D51&amp;"",3))</f>
        <v/>
      </c>
    </row>
    <row r="52" customFormat="false" ht="14.25" hidden="false" customHeight="true" outlineLevel="0" collapsed="false">
      <c r="A52" s="89"/>
      <c r="B52" s="90"/>
      <c r="C52" s="90"/>
      <c r="D52" s="90"/>
      <c r="E52" s="91" t="str">
        <f aca="false">IFERROR(VLOOKUP(D52,PLANI_LLOGARIVE!$A:$B,2,FALSE()),"")</f>
        <v/>
      </c>
      <c r="F52" s="92"/>
      <c r="G52" s="93"/>
      <c r="H52" s="94"/>
      <c r="I52" s="95"/>
      <c r="J52" s="96" t="str">
        <f aca="false">IF(TRIM($C52)="","",IF($M52&lt;&gt;"OK",$M52,IF(ABS(SUMIFS($F:$F,$C:$C,TRIM($C52))-SUMIFS($G:$G,$C:$C,TRIM($C52)))&lt;0.005,"OK","ERROR - veprimi nuk balancohet")))</f>
        <v/>
      </c>
      <c r="K52" s="97" t="str">
        <f aca="false">IF($D52="","",IFERROR(VLOOKUP($D52,PLANI_LLOGARIVE!$A:$J,10,FALSE()),FALSE()))</f>
        <v/>
      </c>
      <c r="L52" s="97" t="str">
        <f aca="false">IF($D52="","",IFERROR(VLOOKUP($D52,PLANI_LLOGARIVE!$A:$G,7,FALSE()),"NUK EKZISTON"))</f>
        <v/>
      </c>
      <c r="M52" s="98" t="str">
        <f aca="false">IF($D52="","",IF(COUNTIF(PLANI_LLOGARIVE!$A:$A,$D52)=0,"ERROR - llogaria nuk ekziston",IF($K52=TRUE(),"OK","ERROR - llogari jo-postuese/Header")))</f>
        <v/>
      </c>
      <c r="N52" s="99" t="str">
        <f aca="false">IF(TRIM($C52)="","",IF(ABS(SUMIFS($F:$F,$C:$C,TRIM($C52))-SUMIFS($G:$G,$C:$C,TRIM($C52)))&lt;0.005,"OK","ERROR - debi/kredi"))</f>
        <v/>
      </c>
      <c r="O52" s="88"/>
      <c r="P52" s="88"/>
      <c r="Q52" s="88"/>
      <c r="R52" s="88"/>
      <c r="S52" s="100" t="str">
        <f aca="false">IF(D52="","",LEFT(D52&amp;"",2))</f>
        <v/>
      </c>
      <c r="T52" s="101" t="str">
        <f aca="false">IF(D52="","",LEFT(D52&amp;"",3))</f>
        <v/>
      </c>
    </row>
    <row r="53" customFormat="false" ht="14.25" hidden="false" customHeight="true" outlineLevel="0" collapsed="false">
      <c r="A53" s="89"/>
      <c r="B53" s="90"/>
      <c r="C53" s="90"/>
      <c r="D53" s="90"/>
      <c r="E53" s="91" t="str">
        <f aca="false">IFERROR(VLOOKUP(D53,PLANI_LLOGARIVE!$A:$B,2,FALSE()),"")</f>
        <v/>
      </c>
      <c r="F53" s="92"/>
      <c r="G53" s="93"/>
      <c r="H53" s="94"/>
      <c r="I53" s="95"/>
      <c r="J53" s="96" t="str">
        <f aca="false">IF(TRIM($C53)="","",IF($M53&lt;&gt;"OK",$M53,IF(ABS(SUMIFS($F:$F,$C:$C,TRIM($C53))-SUMIFS($G:$G,$C:$C,TRIM($C53)))&lt;0.005,"OK","ERROR - veprimi nuk balancohet")))</f>
        <v/>
      </c>
      <c r="K53" s="97" t="str">
        <f aca="false">IF($D53="","",IFERROR(VLOOKUP($D53,PLANI_LLOGARIVE!$A:$J,10,FALSE()),FALSE()))</f>
        <v/>
      </c>
      <c r="L53" s="97" t="str">
        <f aca="false">IF($D53="","",IFERROR(VLOOKUP($D53,PLANI_LLOGARIVE!$A:$G,7,FALSE()),"NUK EKZISTON"))</f>
        <v/>
      </c>
      <c r="M53" s="98" t="str">
        <f aca="false">IF($D53="","",IF(COUNTIF(PLANI_LLOGARIVE!$A:$A,$D53)=0,"ERROR - llogaria nuk ekziston",IF($K53=TRUE(),"OK","ERROR - llogari jo-postuese/Header")))</f>
        <v/>
      </c>
      <c r="N53" s="99" t="str">
        <f aca="false">IF(TRIM($C53)="","",IF(ABS(SUMIFS($F:$F,$C:$C,TRIM($C53))-SUMIFS($G:$G,$C:$C,TRIM($C53)))&lt;0.005,"OK","ERROR - debi/kredi"))</f>
        <v/>
      </c>
      <c r="O53" s="88"/>
      <c r="P53" s="88"/>
      <c r="Q53" s="88"/>
      <c r="R53" s="88"/>
      <c r="S53" s="100" t="str">
        <f aca="false">IF(D53="","",LEFT(D53&amp;"",2))</f>
        <v/>
      </c>
      <c r="T53" s="101" t="str">
        <f aca="false">IF(D53="","",LEFT(D53&amp;"",3))</f>
        <v/>
      </c>
    </row>
    <row r="54" customFormat="false" ht="14.25" hidden="false" customHeight="true" outlineLevel="0" collapsed="false">
      <c r="A54" s="89"/>
      <c r="B54" s="90"/>
      <c r="C54" s="90"/>
      <c r="D54" s="90"/>
      <c r="E54" s="91" t="str">
        <f aca="false">IFERROR(VLOOKUP(D54,PLANI_LLOGARIVE!$A:$B,2,FALSE()),"")</f>
        <v/>
      </c>
      <c r="F54" s="92"/>
      <c r="G54" s="93"/>
      <c r="H54" s="94"/>
      <c r="I54" s="95"/>
      <c r="J54" s="96" t="str">
        <f aca="false">IF(TRIM($C54)="","",IF($M54&lt;&gt;"OK",$M54,IF(ABS(SUMIFS($F:$F,$C:$C,TRIM($C54))-SUMIFS($G:$G,$C:$C,TRIM($C54)))&lt;0.005,"OK","ERROR - veprimi nuk balancohet")))</f>
        <v/>
      </c>
      <c r="K54" s="97" t="str">
        <f aca="false">IF($D54="","",IFERROR(VLOOKUP($D54,PLANI_LLOGARIVE!$A:$J,10,FALSE()),FALSE()))</f>
        <v/>
      </c>
      <c r="L54" s="97" t="str">
        <f aca="false">IF($D54="","",IFERROR(VLOOKUP($D54,PLANI_LLOGARIVE!$A:$G,7,FALSE()),"NUK EKZISTON"))</f>
        <v/>
      </c>
      <c r="M54" s="98" t="str">
        <f aca="false">IF($D54="","",IF(COUNTIF(PLANI_LLOGARIVE!$A:$A,$D54)=0,"ERROR - llogaria nuk ekziston",IF($K54=TRUE(),"OK","ERROR - llogari jo-postuese/Header")))</f>
        <v/>
      </c>
      <c r="N54" s="99" t="str">
        <f aca="false">IF(TRIM($C54)="","",IF(ABS(SUMIFS($F:$F,$C:$C,TRIM($C54))-SUMIFS($G:$G,$C:$C,TRIM($C54)))&lt;0.005,"OK","ERROR - debi/kredi"))</f>
        <v/>
      </c>
      <c r="O54" s="88"/>
      <c r="P54" s="88"/>
      <c r="Q54" s="88"/>
      <c r="R54" s="88"/>
      <c r="S54" s="100" t="str">
        <f aca="false">IF(D54="","",LEFT(D54&amp;"",2))</f>
        <v/>
      </c>
      <c r="T54" s="101" t="str">
        <f aca="false">IF(D54="","",LEFT(D54&amp;"",3))</f>
        <v/>
      </c>
    </row>
    <row r="55" customFormat="false" ht="14.25" hidden="false" customHeight="true" outlineLevel="0" collapsed="false">
      <c r="A55" s="89"/>
      <c r="B55" s="90"/>
      <c r="C55" s="90"/>
      <c r="D55" s="90"/>
      <c r="E55" s="91" t="str">
        <f aca="false">IFERROR(VLOOKUP(D55,PLANI_LLOGARIVE!$A:$B,2,FALSE()),"")</f>
        <v/>
      </c>
      <c r="F55" s="92"/>
      <c r="G55" s="93"/>
      <c r="H55" s="94"/>
      <c r="I55" s="95"/>
      <c r="J55" s="96" t="str">
        <f aca="false">IF(TRIM($C55)="","",IF($M55&lt;&gt;"OK",$M55,IF(ABS(SUMIFS($F:$F,$C:$C,TRIM($C55))-SUMIFS($G:$G,$C:$C,TRIM($C55)))&lt;0.005,"OK","ERROR - veprimi nuk balancohet")))</f>
        <v/>
      </c>
      <c r="K55" s="97" t="str">
        <f aca="false">IF($D55="","",IFERROR(VLOOKUP($D55,PLANI_LLOGARIVE!$A:$J,10,FALSE()),FALSE()))</f>
        <v/>
      </c>
      <c r="L55" s="97" t="str">
        <f aca="false">IF($D55="","",IFERROR(VLOOKUP($D55,PLANI_LLOGARIVE!$A:$G,7,FALSE()),"NUK EKZISTON"))</f>
        <v/>
      </c>
      <c r="M55" s="98" t="str">
        <f aca="false">IF($D55="","",IF(COUNTIF(PLANI_LLOGARIVE!$A:$A,$D55)=0,"ERROR - llogaria nuk ekziston",IF($K55=TRUE(),"OK","ERROR - llogari jo-postuese/Header")))</f>
        <v/>
      </c>
      <c r="N55" s="99" t="str">
        <f aca="false">IF(TRIM($C55)="","",IF(ABS(SUMIFS($F:$F,$C:$C,TRIM($C55))-SUMIFS($G:$G,$C:$C,TRIM($C55)))&lt;0.005,"OK","ERROR - debi/kredi"))</f>
        <v/>
      </c>
      <c r="O55" s="88"/>
      <c r="P55" s="88"/>
      <c r="Q55" s="88"/>
      <c r="R55" s="88"/>
      <c r="S55" s="100" t="str">
        <f aca="false">IF(D55="","",LEFT(D55&amp;"",2))</f>
        <v/>
      </c>
      <c r="T55" s="101" t="str">
        <f aca="false">IF(D55="","",LEFT(D55&amp;"",3))</f>
        <v/>
      </c>
    </row>
    <row r="56" customFormat="false" ht="14.25" hidden="false" customHeight="true" outlineLevel="0" collapsed="false">
      <c r="A56" s="89"/>
      <c r="B56" s="90"/>
      <c r="C56" s="90"/>
      <c r="D56" s="90"/>
      <c r="E56" s="91" t="str">
        <f aca="false">IFERROR(VLOOKUP(D56,PLANI_LLOGARIVE!$A:$B,2,FALSE()),"")</f>
        <v/>
      </c>
      <c r="F56" s="92"/>
      <c r="G56" s="93"/>
      <c r="H56" s="94"/>
      <c r="I56" s="95"/>
      <c r="J56" s="96" t="str">
        <f aca="false">IF(TRIM($C56)="","",IF($M56&lt;&gt;"OK",$M56,IF(ABS(SUMIFS($F:$F,$C:$C,TRIM($C56))-SUMIFS($G:$G,$C:$C,TRIM($C56)))&lt;0.005,"OK","ERROR - veprimi nuk balancohet")))</f>
        <v/>
      </c>
      <c r="K56" s="97" t="str">
        <f aca="false">IF($D56="","",IFERROR(VLOOKUP($D56,PLANI_LLOGARIVE!$A:$J,10,FALSE()),FALSE()))</f>
        <v/>
      </c>
      <c r="L56" s="97" t="str">
        <f aca="false">IF($D56="","",IFERROR(VLOOKUP($D56,PLANI_LLOGARIVE!$A:$G,7,FALSE()),"NUK EKZISTON"))</f>
        <v/>
      </c>
      <c r="M56" s="98" t="str">
        <f aca="false">IF($D56="","",IF(COUNTIF(PLANI_LLOGARIVE!$A:$A,$D56)=0,"ERROR - llogaria nuk ekziston",IF($K56=TRUE(),"OK","ERROR - llogari jo-postuese/Header")))</f>
        <v/>
      </c>
      <c r="N56" s="99" t="str">
        <f aca="false">IF(TRIM($C56)="","",IF(ABS(SUMIFS($F:$F,$C:$C,TRIM($C56))-SUMIFS($G:$G,$C:$C,TRIM($C56)))&lt;0.005,"OK","ERROR - debi/kredi"))</f>
        <v/>
      </c>
      <c r="O56" s="88"/>
      <c r="P56" s="88"/>
      <c r="Q56" s="88"/>
      <c r="R56" s="88"/>
      <c r="S56" s="100" t="str">
        <f aca="false">IF(D56="","",LEFT(D56&amp;"",2))</f>
        <v/>
      </c>
      <c r="T56" s="101" t="str">
        <f aca="false">IF(D56="","",LEFT(D56&amp;"",3))</f>
        <v/>
      </c>
    </row>
    <row r="57" customFormat="false" ht="14.25" hidden="false" customHeight="true" outlineLevel="0" collapsed="false">
      <c r="A57" s="89"/>
      <c r="B57" s="90"/>
      <c r="C57" s="90"/>
      <c r="D57" s="90"/>
      <c r="E57" s="91" t="str">
        <f aca="false">IFERROR(VLOOKUP(D57,PLANI_LLOGARIVE!$A:$B,2,FALSE()),"")</f>
        <v/>
      </c>
      <c r="F57" s="92"/>
      <c r="G57" s="93"/>
      <c r="H57" s="94"/>
      <c r="I57" s="95"/>
      <c r="J57" s="96" t="str">
        <f aca="false">IF(TRIM($C57)="","",IF($M57&lt;&gt;"OK",$M57,IF(ABS(SUMIFS($F:$F,$C:$C,TRIM($C57))-SUMIFS($G:$G,$C:$C,TRIM($C57)))&lt;0.005,"OK","ERROR - veprimi nuk balancohet")))</f>
        <v/>
      </c>
      <c r="K57" s="97" t="str">
        <f aca="false">IF($D57="","",IFERROR(VLOOKUP($D57,PLANI_LLOGARIVE!$A:$J,10,FALSE()),FALSE()))</f>
        <v/>
      </c>
      <c r="L57" s="97" t="str">
        <f aca="false">IF($D57="","",IFERROR(VLOOKUP($D57,PLANI_LLOGARIVE!$A:$G,7,FALSE()),"NUK EKZISTON"))</f>
        <v/>
      </c>
      <c r="M57" s="98" t="str">
        <f aca="false">IF($D57="","",IF(COUNTIF(PLANI_LLOGARIVE!$A:$A,$D57)=0,"ERROR - llogaria nuk ekziston",IF($K57=TRUE(),"OK","ERROR - llogari jo-postuese/Header")))</f>
        <v/>
      </c>
      <c r="N57" s="99" t="str">
        <f aca="false">IF(TRIM($C57)="","",IF(ABS(SUMIFS($F:$F,$C:$C,TRIM($C57))-SUMIFS($G:$G,$C:$C,TRIM($C57)))&lt;0.005,"OK","ERROR - debi/kredi"))</f>
        <v/>
      </c>
      <c r="O57" s="88"/>
      <c r="P57" s="88"/>
      <c r="Q57" s="88"/>
      <c r="R57" s="88"/>
      <c r="S57" s="100" t="str">
        <f aca="false">IF(D57="","",LEFT(D57&amp;"",2))</f>
        <v/>
      </c>
      <c r="T57" s="101" t="str">
        <f aca="false">IF(D57="","",LEFT(D57&amp;"",3))</f>
        <v/>
      </c>
    </row>
    <row r="58" customFormat="false" ht="14.25" hidden="false" customHeight="true" outlineLevel="0" collapsed="false">
      <c r="A58" s="89"/>
      <c r="B58" s="90"/>
      <c r="C58" s="90"/>
      <c r="D58" s="90"/>
      <c r="E58" s="91" t="str">
        <f aca="false">IFERROR(VLOOKUP(D58,PLANI_LLOGARIVE!$A:$B,2,FALSE()),"")</f>
        <v/>
      </c>
      <c r="F58" s="92"/>
      <c r="G58" s="93"/>
      <c r="H58" s="94"/>
      <c r="I58" s="95"/>
      <c r="J58" s="96" t="str">
        <f aca="false">IF(TRIM($C58)="","",IF($M58&lt;&gt;"OK",$M58,IF(ABS(SUMIFS($F:$F,$C:$C,TRIM($C58))-SUMIFS($G:$G,$C:$C,TRIM($C58)))&lt;0.005,"OK","ERROR - veprimi nuk balancohet")))</f>
        <v/>
      </c>
      <c r="K58" s="97" t="str">
        <f aca="false">IF($D58="","",IFERROR(VLOOKUP($D58,PLANI_LLOGARIVE!$A:$J,10,FALSE()),FALSE()))</f>
        <v/>
      </c>
      <c r="L58" s="97" t="str">
        <f aca="false">IF($D58="","",IFERROR(VLOOKUP($D58,PLANI_LLOGARIVE!$A:$G,7,FALSE()),"NUK EKZISTON"))</f>
        <v/>
      </c>
      <c r="M58" s="98" t="str">
        <f aca="false">IF($D58="","",IF(COUNTIF(PLANI_LLOGARIVE!$A:$A,$D58)=0,"ERROR - llogaria nuk ekziston",IF($K58=TRUE(),"OK","ERROR - llogari jo-postuese/Header")))</f>
        <v/>
      </c>
      <c r="N58" s="99" t="str">
        <f aca="false">IF(TRIM($C58)="","",IF(ABS(SUMIFS($F:$F,$C:$C,TRIM($C58))-SUMIFS($G:$G,$C:$C,TRIM($C58)))&lt;0.005,"OK","ERROR - debi/kredi"))</f>
        <v/>
      </c>
      <c r="O58" s="88"/>
      <c r="P58" s="88"/>
      <c r="Q58" s="88"/>
      <c r="R58" s="88"/>
      <c r="S58" s="100" t="str">
        <f aca="false">IF(D58="","",LEFT(D58&amp;"",2))</f>
        <v/>
      </c>
      <c r="T58" s="101" t="str">
        <f aca="false">IF(D58="","",LEFT(D58&amp;"",3))</f>
        <v/>
      </c>
    </row>
    <row r="59" customFormat="false" ht="14.25" hidden="false" customHeight="true" outlineLevel="0" collapsed="false">
      <c r="A59" s="89"/>
      <c r="B59" s="90"/>
      <c r="C59" s="90"/>
      <c r="D59" s="90"/>
      <c r="E59" s="91" t="str">
        <f aca="false">IFERROR(VLOOKUP(D59,PLANI_LLOGARIVE!$A:$B,2,FALSE()),"")</f>
        <v/>
      </c>
      <c r="F59" s="92"/>
      <c r="G59" s="93"/>
      <c r="H59" s="94"/>
      <c r="I59" s="95"/>
      <c r="J59" s="96" t="str">
        <f aca="false">IF(TRIM($C59)="","",IF($M59&lt;&gt;"OK",$M59,IF(ABS(SUMIFS($F:$F,$C:$C,TRIM($C59))-SUMIFS($G:$G,$C:$C,TRIM($C59)))&lt;0.005,"OK","ERROR - veprimi nuk balancohet")))</f>
        <v/>
      </c>
      <c r="K59" s="97" t="str">
        <f aca="false">IF($D59="","",IFERROR(VLOOKUP($D59,PLANI_LLOGARIVE!$A:$J,10,FALSE()),FALSE()))</f>
        <v/>
      </c>
      <c r="L59" s="97" t="str">
        <f aca="false">IF($D59="","",IFERROR(VLOOKUP($D59,PLANI_LLOGARIVE!$A:$G,7,FALSE()),"NUK EKZISTON"))</f>
        <v/>
      </c>
      <c r="M59" s="98" t="str">
        <f aca="false">IF($D59="","",IF(COUNTIF(PLANI_LLOGARIVE!$A:$A,$D59)=0,"ERROR - llogaria nuk ekziston",IF($K59=TRUE(),"OK","ERROR - llogari jo-postuese/Header")))</f>
        <v/>
      </c>
      <c r="N59" s="99" t="str">
        <f aca="false">IF(TRIM($C59)="","",IF(ABS(SUMIFS($F:$F,$C:$C,TRIM($C59))-SUMIFS($G:$G,$C:$C,TRIM($C59)))&lt;0.005,"OK","ERROR - debi/kredi"))</f>
        <v/>
      </c>
      <c r="O59" s="88"/>
      <c r="P59" s="88"/>
      <c r="Q59" s="88"/>
      <c r="R59" s="88"/>
      <c r="S59" s="100" t="str">
        <f aca="false">IF(D59="","",LEFT(D59&amp;"",2))</f>
        <v/>
      </c>
      <c r="T59" s="101" t="str">
        <f aca="false">IF(D59="","",LEFT(D59&amp;"",3))</f>
        <v/>
      </c>
    </row>
    <row r="60" customFormat="false" ht="14.25" hidden="false" customHeight="true" outlineLevel="0" collapsed="false">
      <c r="A60" s="89"/>
      <c r="B60" s="90"/>
      <c r="C60" s="90"/>
      <c r="D60" s="90"/>
      <c r="E60" s="91" t="str">
        <f aca="false">IFERROR(VLOOKUP(D60,PLANI_LLOGARIVE!$A:$B,2,FALSE()),"")</f>
        <v/>
      </c>
      <c r="F60" s="92"/>
      <c r="G60" s="93"/>
      <c r="H60" s="94"/>
      <c r="I60" s="95"/>
      <c r="J60" s="96" t="str">
        <f aca="false">IF(TRIM($C60)="","",IF($M60&lt;&gt;"OK",$M60,IF(ABS(SUMIFS($F:$F,$C:$C,TRIM($C60))-SUMIFS($G:$G,$C:$C,TRIM($C60)))&lt;0.005,"OK","ERROR - veprimi nuk balancohet")))</f>
        <v/>
      </c>
      <c r="K60" s="97" t="str">
        <f aca="false">IF($D60="","",IFERROR(VLOOKUP($D60,PLANI_LLOGARIVE!$A:$J,10,FALSE()),FALSE()))</f>
        <v/>
      </c>
      <c r="L60" s="97" t="str">
        <f aca="false">IF($D60="","",IFERROR(VLOOKUP($D60,PLANI_LLOGARIVE!$A:$G,7,FALSE()),"NUK EKZISTON"))</f>
        <v/>
      </c>
      <c r="M60" s="98" t="str">
        <f aca="false">IF($D60="","",IF(COUNTIF(PLANI_LLOGARIVE!$A:$A,$D60)=0,"ERROR - llogaria nuk ekziston",IF($K60=TRUE(),"OK","ERROR - llogari jo-postuese/Header")))</f>
        <v/>
      </c>
      <c r="N60" s="99" t="str">
        <f aca="false">IF(TRIM($C60)="","",IF(ABS(SUMIFS($F:$F,$C:$C,TRIM($C60))-SUMIFS($G:$G,$C:$C,TRIM($C60)))&lt;0.005,"OK","ERROR - debi/kredi"))</f>
        <v/>
      </c>
      <c r="O60" s="88"/>
      <c r="P60" s="88"/>
      <c r="Q60" s="88"/>
      <c r="R60" s="88"/>
      <c r="S60" s="100" t="str">
        <f aca="false">IF(D60="","",LEFT(D60&amp;"",2))</f>
        <v/>
      </c>
      <c r="T60" s="101" t="str">
        <f aca="false">IF(D60="","",LEFT(D60&amp;"",3))</f>
        <v/>
      </c>
    </row>
    <row r="61" customFormat="false" ht="14.25" hidden="false" customHeight="true" outlineLevel="0" collapsed="false">
      <c r="A61" s="89"/>
      <c r="B61" s="90"/>
      <c r="C61" s="90"/>
      <c r="D61" s="90"/>
      <c r="E61" s="91" t="str">
        <f aca="false">IFERROR(VLOOKUP(D61,PLANI_LLOGARIVE!$A:$B,2,FALSE()),"")</f>
        <v/>
      </c>
      <c r="F61" s="92"/>
      <c r="G61" s="93"/>
      <c r="H61" s="94"/>
      <c r="I61" s="95"/>
      <c r="J61" s="96" t="str">
        <f aca="false">IF(TRIM($C61)="","",IF($M61&lt;&gt;"OK",$M61,IF(ABS(SUMIFS($F:$F,$C:$C,TRIM($C61))-SUMIFS($G:$G,$C:$C,TRIM($C61)))&lt;0.005,"OK","ERROR - veprimi nuk balancohet")))</f>
        <v/>
      </c>
      <c r="K61" s="97" t="str">
        <f aca="false">IF($D61="","",IFERROR(VLOOKUP($D61,PLANI_LLOGARIVE!$A:$J,10,FALSE()),FALSE()))</f>
        <v/>
      </c>
      <c r="L61" s="97" t="str">
        <f aca="false">IF($D61="","",IFERROR(VLOOKUP($D61,PLANI_LLOGARIVE!$A:$G,7,FALSE()),"NUK EKZISTON"))</f>
        <v/>
      </c>
      <c r="M61" s="98" t="str">
        <f aca="false">IF($D61="","",IF(COUNTIF(PLANI_LLOGARIVE!$A:$A,$D61)=0,"ERROR - llogaria nuk ekziston",IF($K61=TRUE(),"OK","ERROR - llogari jo-postuese/Header")))</f>
        <v/>
      </c>
      <c r="N61" s="99" t="str">
        <f aca="false">IF(TRIM($C61)="","",IF(ABS(SUMIFS($F:$F,$C:$C,TRIM($C61))-SUMIFS($G:$G,$C:$C,TRIM($C61)))&lt;0.005,"OK","ERROR - debi/kredi"))</f>
        <v/>
      </c>
      <c r="O61" s="88"/>
      <c r="P61" s="88"/>
      <c r="Q61" s="88"/>
      <c r="R61" s="88"/>
      <c r="S61" s="100" t="str">
        <f aca="false">IF(D61="","",LEFT(D61&amp;"",2))</f>
        <v/>
      </c>
      <c r="T61" s="101" t="str">
        <f aca="false">IF(D61="","",LEFT(D61&amp;"",3))</f>
        <v/>
      </c>
    </row>
    <row r="62" customFormat="false" ht="14.25" hidden="false" customHeight="true" outlineLevel="0" collapsed="false">
      <c r="A62" s="89"/>
      <c r="B62" s="90"/>
      <c r="C62" s="90"/>
      <c r="D62" s="90"/>
      <c r="E62" s="91" t="str">
        <f aca="false">IFERROR(VLOOKUP(D62,PLANI_LLOGARIVE!$A:$B,2,FALSE()),"")</f>
        <v/>
      </c>
      <c r="F62" s="92"/>
      <c r="G62" s="93"/>
      <c r="H62" s="94"/>
      <c r="I62" s="95"/>
      <c r="J62" s="96" t="str">
        <f aca="false">IF(TRIM($C62)="","",IF($M62&lt;&gt;"OK",$M62,IF(ABS(SUMIFS($F:$F,$C:$C,TRIM($C62))-SUMIFS($G:$G,$C:$C,TRIM($C62)))&lt;0.005,"OK","ERROR - veprimi nuk balancohet")))</f>
        <v/>
      </c>
      <c r="K62" s="97" t="str">
        <f aca="false">IF($D62="","",IFERROR(VLOOKUP($D62,PLANI_LLOGARIVE!$A:$J,10,FALSE()),FALSE()))</f>
        <v/>
      </c>
      <c r="L62" s="97" t="str">
        <f aca="false">IF($D62="","",IFERROR(VLOOKUP($D62,PLANI_LLOGARIVE!$A:$G,7,FALSE()),"NUK EKZISTON"))</f>
        <v/>
      </c>
      <c r="M62" s="98" t="str">
        <f aca="false">IF($D62="","",IF(COUNTIF(PLANI_LLOGARIVE!$A:$A,$D62)=0,"ERROR - llogaria nuk ekziston",IF($K62=TRUE(),"OK","ERROR - llogari jo-postuese/Header")))</f>
        <v/>
      </c>
      <c r="N62" s="99" t="str">
        <f aca="false">IF(TRIM($C62)="","",IF(ABS(SUMIFS($F:$F,$C:$C,TRIM($C62))-SUMIFS($G:$G,$C:$C,TRIM($C62)))&lt;0.005,"OK","ERROR - debi/kredi"))</f>
        <v/>
      </c>
      <c r="O62" s="88"/>
      <c r="P62" s="88"/>
      <c r="Q62" s="88"/>
      <c r="R62" s="88"/>
      <c r="S62" s="100" t="str">
        <f aca="false">IF(D62="","",LEFT(D62&amp;"",2))</f>
        <v/>
      </c>
      <c r="T62" s="101" t="str">
        <f aca="false">IF(D62="","",LEFT(D62&amp;"",3))</f>
        <v/>
      </c>
    </row>
    <row r="63" customFormat="false" ht="14.25" hidden="false" customHeight="true" outlineLevel="0" collapsed="false">
      <c r="A63" s="89"/>
      <c r="B63" s="90"/>
      <c r="C63" s="90"/>
      <c r="D63" s="90"/>
      <c r="E63" s="91" t="str">
        <f aca="false">IFERROR(VLOOKUP(D63,PLANI_LLOGARIVE!$A:$B,2,FALSE()),"")</f>
        <v/>
      </c>
      <c r="F63" s="92"/>
      <c r="G63" s="93"/>
      <c r="H63" s="94"/>
      <c r="I63" s="95"/>
      <c r="J63" s="96" t="str">
        <f aca="false">IF(TRIM($C63)="","",IF($M63&lt;&gt;"OK",$M63,IF(ABS(SUMIFS($F:$F,$C:$C,TRIM($C63))-SUMIFS($G:$G,$C:$C,TRIM($C63)))&lt;0.005,"OK","ERROR - veprimi nuk balancohet")))</f>
        <v/>
      </c>
      <c r="K63" s="97" t="str">
        <f aca="false">IF($D63="","",IFERROR(VLOOKUP($D63,PLANI_LLOGARIVE!$A:$J,10,FALSE()),FALSE()))</f>
        <v/>
      </c>
      <c r="L63" s="97" t="str">
        <f aca="false">IF($D63="","",IFERROR(VLOOKUP($D63,PLANI_LLOGARIVE!$A:$G,7,FALSE()),"NUK EKZISTON"))</f>
        <v/>
      </c>
      <c r="M63" s="98" t="str">
        <f aca="false">IF($D63="","",IF(COUNTIF(PLANI_LLOGARIVE!$A:$A,$D63)=0,"ERROR - llogaria nuk ekziston",IF($K63=TRUE(),"OK","ERROR - llogari jo-postuese/Header")))</f>
        <v/>
      </c>
      <c r="N63" s="99" t="str">
        <f aca="false">IF(TRIM($C63)="","",IF(ABS(SUMIFS($F:$F,$C:$C,TRIM($C63))-SUMIFS($G:$G,$C:$C,TRIM($C63)))&lt;0.005,"OK","ERROR - debi/kredi"))</f>
        <v/>
      </c>
      <c r="O63" s="88"/>
      <c r="P63" s="88"/>
      <c r="Q63" s="88"/>
      <c r="R63" s="88"/>
      <c r="S63" s="100" t="str">
        <f aca="false">IF(D63="","",LEFT(D63&amp;"",2))</f>
        <v/>
      </c>
      <c r="T63" s="101" t="str">
        <f aca="false">IF(D63="","",LEFT(D63&amp;"",3))</f>
        <v/>
      </c>
    </row>
    <row r="64" customFormat="false" ht="14.25" hidden="false" customHeight="true" outlineLevel="0" collapsed="false">
      <c r="A64" s="89"/>
      <c r="B64" s="90"/>
      <c r="C64" s="90"/>
      <c r="D64" s="90"/>
      <c r="E64" s="91" t="str">
        <f aca="false">IFERROR(VLOOKUP(D64,PLANI_LLOGARIVE!$A:$B,2,FALSE()),"")</f>
        <v/>
      </c>
      <c r="F64" s="92"/>
      <c r="G64" s="93"/>
      <c r="H64" s="94"/>
      <c r="I64" s="95"/>
      <c r="J64" s="96" t="str">
        <f aca="false">IF(TRIM($C64)="","",IF($M64&lt;&gt;"OK",$M64,IF(ABS(SUMIFS($F:$F,$C:$C,TRIM($C64))-SUMIFS($G:$G,$C:$C,TRIM($C64)))&lt;0.005,"OK","ERROR - veprimi nuk balancohet")))</f>
        <v/>
      </c>
      <c r="K64" s="97" t="str">
        <f aca="false">IF($D64="","",IFERROR(VLOOKUP($D64,PLANI_LLOGARIVE!$A:$J,10,FALSE()),FALSE()))</f>
        <v/>
      </c>
      <c r="L64" s="97" t="str">
        <f aca="false">IF($D64="","",IFERROR(VLOOKUP($D64,PLANI_LLOGARIVE!$A:$G,7,FALSE()),"NUK EKZISTON"))</f>
        <v/>
      </c>
      <c r="M64" s="98" t="str">
        <f aca="false">IF($D64="","",IF(COUNTIF(PLANI_LLOGARIVE!$A:$A,$D64)=0,"ERROR - llogaria nuk ekziston",IF($K64=TRUE(),"OK","ERROR - llogari jo-postuese/Header")))</f>
        <v/>
      </c>
      <c r="N64" s="99" t="str">
        <f aca="false">IF(TRIM($C64)="","",IF(ABS(SUMIFS($F:$F,$C:$C,TRIM($C64))-SUMIFS($G:$G,$C:$C,TRIM($C64)))&lt;0.005,"OK","ERROR - debi/kredi"))</f>
        <v/>
      </c>
      <c r="O64" s="88"/>
      <c r="P64" s="88"/>
      <c r="Q64" s="88"/>
      <c r="R64" s="88"/>
      <c r="S64" s="100" t="str">
        <f aca="false">IF(D64="","",LEFT(D64&amp;"",2))</f>
        <v/>
      </c>
      <c r="T64" s="101" t="str">
        <f aca="false">IF(D64="","",LEFT(D64&amp;"",3))</f>
        <v/>
      </c>
    </row>
    <row r="65" customFormat="false" ht="14.25" hidden="false" customHeight="true" outlineLevel="0" collapsed="false">
      <c r="A65" s="89"/>
      <c r="B65" s="90"/>
      <c r="C65" s="90"/>
      <c r="D65" s="90"/>
      <c r="E65" s="91" t="str">
        <f aca="false">IFERROR(VLOOKUP(D65,PLANI_LLOGARIVE!$A:$B,2,FALSE()),"")</f>
        <v/>
      </c>
      <c r="F65" s="92"/>
      <c r="G65" s="93"/>
      <c r="H65" s="94"/>
      <c r="I65" s="95"/>
      <c r="J65" s="96" t="str">
        <f aca="false">IF(TRIM($C65)="","",IF($M65&lt;&gt;"OK",$M65,IF(ABS(SUMIFS($F:$F,$C:$C,TRIM($C65))-SUMIFS($G:$G,$C:$C,TRIM($C65)))&lt;0.005,"OK","ERROR - veprimi nuk balancohet")))</f>
        <v/>
      </c>
      <c r="K65" s="97" t="str">
        <f aca="false">IF($D65="","",IFERROR(VLOOKUP($D65,PLANI_LLOGARIVE!$A:$J,10,FALSE()),FALSE()))</f>
        <v/>
      </c>
      <c r="L65" s="97" t="str">
        <f aca="false">IF($D65="","",IFERROR(VLOOKUP($D65,PLANI_LLOGARIVE!$A:$G,7,FALSE()),"NUK EKZISTON"))</f>
        <v/>
      </c>
      <c r="M65" s="98" t="str">
        <f aca="false">IF($D65="","",IF(COUNTIF(PLANI_LLOGARIVE!$A:$A,$D65)=0,"ERROR - llogaria nuk ekziston",IF($K65=TRUE(),"OK","ERROR - llogari jo-postuese/Header")))</f>
        <v/>
      </c>
      <c r="N65" s="99" t="str">
        <f aca="false">IF(TRIM($C65)="","",IF(ABS(SUMIFS($F:$F,$C:$C,TRIM($C65))-SUMIFS($G:$G,$C:$C,TRIM($C65)))&lt;0.005,"OK","ERROR - debi/kredi"))</f>
        <v/>
      </c>
      <c r="O65" s="88"/>
      <c r="P65" s="88"/>
      <c r="Q65" s="88"/>
      <c r="R65" s="88"/>
      <c r="S65" s="100" t="str">
        <f aca="false">IF(D65="","",LEFT(D65&amp;"",2))</f>
        <v/>
      </c>
      <c r="T65" s="101" t="str">
        <f aca="false">IF(D65="","",LEFT(D65&amp;"",3))</f>
        <v/>
      </c>
    </row>
    <row r="66" customFormat="false" ht="14.25" hidden="false" customHeight="true" outlineLevel="0" collapsed="false">
      <c r="A66" s="89"/>
      <c r="B66" s="90"/>
      <c r="C66" s="90"/>
      <c r="D66" s="90"/>
      <c r="E66" s="91" t="str">
        <f aca="false">IFERROR(VLOOKUP(D66,PLANI_LLOGARIVE!$A:$B,2,FALSE()),"")</f>
        <v/>
      </c>
      <c r="F66" s="92"/>
      <c r="G66" s="93"/>
      <c r="H66" s="94"/>
      <c r="I66" s="95"/>
      <c r="J66" s="96" t="str">
        <f aca="false">IF(TRIM($C66)="","",IF($M66&lt;&gt;"OK",$M66,IF(ABS(SUMIFS($F:$F,$C:$C,TRIM($C66))-SUMIFS($G:$G,$C:$C,TRIM($C66)))&lt;0.005,"OK","ERROR - veprimi nuk balancohet")))</f>
        <v/>
      </c>
      <c r="K66" s="97" t="str">
        <f aca="false">IF($D66="","",IFERROR(VLOOKUP($D66,PLANI_LLOGARIVE!$A:$J,10,FALSE()),FALSE()))</f>
        <v/>
      </c>
      <c r="L66" s="97" t="str">
        <f aca="false">IF($D66="","",IFERROR(VLOOKUP($D66,PLANI_LLOGARIVE!$A:$G,7,FALSE()),"NUK EKZISTON"))</f>
        <v/>
      </c>
      <c r="M66" s="98" t="str">
        <f aca="false">IF($D66="","",IF(COUNTIF(PLANI_LLOGARIVE!$A:$A,$D66)=0,"ERROR - llogaria nuk ekziston",IF($K66=TRUE(),"OK","ERROR - llogari jo-postuese/Header")))</f>
        <v/>
      </c>
      <c r="N66" s="99" t="str">
        <f aca="false">IF(TRIM($C66)="","",IF(ABS(SUMIFS($F:$F,$C:$C,TRIM($C66))-SUMIFS($G:$G,$C:$C,TRIM($C66)))&lt;0.005,"OK","ERROR - debi/kredi"))</f>
        <v/>
      </c>
      <c r="O66" s="88"/>
      <c r="P66" s="88"/>
      <c r="Q66" s="88"/>
      <c r="R66" s="88"/>
      <c r="S66" s="100" t="str">
        <f aca="false">IF(D66="","",LEFT(D66&amp;"",2))</f>
        <v/>
      </c>
      <c r="T66" s="101" t="str">
        <f aca="false">IF(D66="","",LEFT(D66&amp;"",3))</f>
        <v/>
      </c>
    </row>
    <row r="67" customFormat="false" ht="14.25" hidden="false" customHeight="true" outlineLevel="0" collapsed="false">
      <c r="A67" s="89"/>
      <c r="B67" s="90"/>
      <c r="C67" s="90"/>
      <c r="D67" s="90"/>
      <c r="E67" s="91" t="str">
        <f aca="false">IFERROR(VLOOKUP(D67,PLANI_LLOGARIVE!$A:$B,2,FALSE()),"")</f>
        <v/>
      </c>
      <c r="F67" s="92"/>
      <c r="G67" s="93"/>
      <c r="H67" s="94"/>
      <c r="I67" s="95"/>
      <c r="J67" s="96" t="str">
        <f aca="false">IF(TRIM($C67)="","",IF($M67&lt;&gt;"OK",$M67,IF(ABS(SUMIFS($F:$F,$C:$C,TRIM($C67))-SUMIFS($G:$G,$C:$C,TRIM($C67)))&lt;0.005,"OK","ERROR - veprimi nuk balancohet")))</f>
        <v/>
      </c>
      <c r="K67" s="97" t="str">
        <f aca="false">IF($D67="","",IFERROR(VLOOKUP($D67,PLANI_LLOGARIVE!$A:$J,10,FALSE()),FALSE()))</f>
        <v/>
      </c>
      <c r="L67" s="97" t="str">
        <f aca="false">IF($D67="","",IFERROR(VLOOKUP($D67,PLANI_LLOGARIVE!$A:$G,7,FALSE()),"NUK EKZISTON"))</f>
        <v/>
      </c>
      <c r="M67" s="98" t="str">
        <f aca="false">IF($D67="","",IF(COUNTIF(PLANI_LLOGARIVE!$A:$A,$D67)=0,"ERROR - llogaria nuk ekziston",IF($K67=TRUE(),"OK","ERROR - llogari jo-postuese/Header")))</f>
        <v/>
      </c>
      <c r="N67" s="99" t="str">
        <f aca="false">IF(TRIM($C67)="","",IF(ABS(SUMIFS($F:$F,$C:$C,TRIM($C67))-SUMIFS($G:$G,$C:$C,TRIM($C67)))&lt;0.005,"OK","ERROR - debi/kredi"))</f>
        <v/>
      </c>
      <c r="O67" s="88"/>
      <c r="P67" s="88"/>
      <c r="Q67" s="88"/>
      <c r="R67" s="88"/>
      <c r="S67" s="100" t="str">
        <f aca="false">IF(D67="","",LEFT(D67&amp;"",2))</f>
        <v/>
      </c>
      <c r="T67" s="101" t="str">
        <f aca="false">IF(D67="","",LEFT(D67&amp;"",3))</f>
        <v/>
      </c>
    </row>
    <row r="68" customFormat="false" ht="14.25" hidden="false" customHeight="true" outlineLevel="0" collapsed="false">
      <c r="A68" s="89"/>
      <c r="B68" s="90"/>
      <c r="C68" s="90"/>
      <c r="D68" s="90"/>
      <c r="E68" s="91" t="str">
        <f aca="false">IFERROR(VLOOKUP(D68,PLANI_LLOGARIVE!$A:$B,2,FALSE()),"")</f>
        <v/>
      </c>
      <c r="F68" s="92"/>
      <c r="G68" s="93"/>
      <c r="H68" s="94"/>
      <c r="I68" s="95"/>
      <c r="J68" s="96" t="str">
        <f aca="false">IF(TRIM($C68)="","",IF($M68&lt;&gt;"OK",$M68,IF(ABS(SUMIFS($F:$F,$C:$C,TRIM($C68))-SUMIFS($G:$G,$C:$C,TRIM($C68)))&lt;0.005,"OK","ERROR - veprimi nuk balancohet")))</f>
        <v/>
      </c>
      <c r="K68" s="97" t="str">
        <f aca="false">IF($D68="","",IFERROR(VLOOKUP($D68,PLANI_LLOGARIVE!$A:$J,10,FALSE()),FALSE()))</f>
        <v/>
      </c>
      <c r="L68" s="97" t="str">
        <f aca="false">IF($D68="","",IFERROR(VLOOKUP($D68,PLANI_LLOGARIVE!$A:$G,7,FALSE()),"NUK EKZISTON"))</f>
        <v/>
      </c>
      <c r="M68" s="98" t="str">
        <f aca="false">IF($D68="","",IF(COUNTIF(PLANI_LLOGARIVE!$A:$A,$D68)=0,"ERROR - llogaria nuk ekziston",IF($K68=TRUE(),"OK","ERROR - llogari jo-postuese/Header")))</f>
        <v/>
      </c>
      <c r="N68" s="99" t="str">
        <f aca="false">IF(TRIM($C68)="","",IF(ABS(SUMIFS($F:$F,$C:$C,TRIM($C68))-SUMIFS($G:$G,$C:$C,TRIM($C68)))&lt;0.005,"OK","ERROR - debi/kredi"))</f>
        <v/>
      </c>
      <c r="O68" s="88"/>
      <c r="P68" s="88"/>
      <c r="Q68" s="88"/>
      <c r="R68" s="88"/>
      <c r="S68" s="100" t="str">
        <f aca="false">IF(D68="","",LEFT(D68&amp;"",2))</f>
        <v/>
      </c>
      <c r="T68" s="101" t="str">
        <f aca="false">IF(D68="","",LEFT(D68&amp;"",3))</f>
        <v/>
      </c>
    </row>
    <row r="69" customFormat="false" ht="14.25" hidden="false" customHeight="true" outlineLevel="0" collapsed="false">
      <c r="A69" s="89"/>
      <c r="B69" s="90"/>
      <c r="C69" s="90"/>
      <c r="D69" s="90"/>
      <c r="E69" s="91" t="str">
        <f aca="false">IFERROR(VLOOKUP(D69,PLANI_LLOGARIVE!$A:$B,2,FALSE()),"")</f>
        <v/>
      </c>
      <c r="F69" s="92"/>
      <c r="G69" s="93"/>
      <c r="H69" s="94"/>
      <c r="I69" s="95"/>
      <c r="J69" s="96" t="str">
        <f aca="false">IF(TRIM($C69)="","",IF($M69&lt;&gt;"OK",$M69,IF(ABS(SUMIFS($F:$F,$C:$C,TRIM($C69))-SUMIFS($G:$G,$C:$C,TRIM($C69)))&lt;0.005,"OK","ERROR - veprimi nuk balancohet")))</f>
        <v/>
      </c>
      <c r="K69" s="97" t="str">
        <f aca="false">IF($D69="","",IFERROR(VLOOKUP($D69,PLANI_LLOGARIVE!$A:$J,10,FALSE()),FALSE()))</f>
        <v/>
      </c>
      <c r="L69" s="97" t="str">
        <f aca="false">IF($D69="","",IFERROR(VLOOKUP($D69,PLANI_LLOGARIVE!$A:$G,7,FALSE()),"NUK EKZISTON"))</f>
        <v/>
      </c>
      <c r="M69" s="98" t="str">
        <f aca="false">IF($D69="","",IF(COUNTIF(PLANI_LLOGARIVE!$A:$A,$D69)=0,"ERROR - llogaria nuk ekziston",IF($K69=TRUE(),"OK","ERROR - llogari jo-postuese/Header")))</f>
        <v/>
      </c>
      <c r="N69" s="99" t="str">
        <f aca="false">IF(TRIM($C69)="","",IF(ABS(SUMIFS($F:$F,$C:$C,TRIM($C69))-SUMIFS($G:$G,$C:$C,TRIM($C69)))&lt;0.005,"OK","ERROR - debi/kredi"))</f>
        <v/>
      </c>
      <c r="O69" s="88"/>
      <c r="P69" s="88"/>
      <c r="Q69" s="88"/>
      <c r="R69" s="88"/>
      <c r="S69" s="100" t="str">
        <f aca="false">IF(D69="","",LEFT(D69&amp;"",2))</f>
        <v/>
      </c>
      <c r="T69" s="101" t="str">
        <f aca="false">IF(D69="","",LEFT(D69&amp;"",3))</f>
        <v/>
      </c>
    </row>
    <row r="70" customFormat="false" ht="14.25" hidden="false" customHeight="true" outlineLevel="0" collapsed="false">
      <c r="A70" s="89"/>
      <c r="B70" s="90"/>
      <c r="C70" s="90"/>
      <c r="D70" s="90"/>
      <c r="E70" s="91" t="str">
        <f aca="false">IFERROR(VLOOKUP(D70,PLANI_LLOGARIVE!$A:$B,2,FALSE()),"")</f>
        <v/>
      </c>
      <c r="F70" s="92"/>
      <c r="G70" s="93"/>
      <c r="H70" s="94"/>
      <c r="I70" s="95"/>
      <c r="J70" s="96" t="str">
        <f aca="false">IF(TRIM($C70)="","",IF($M70&lt;&gt;"OK",$M70,IF(ABS(SUMIFS($F:$F,$C:$C,TRIM($C70))-SUMIFS($G:$G,$C:$C,TRIM($C70)))&lt;0.005,"OK","ERROR - veprimi nuk balancohet")))</f>
        <v/>
      </c>
      <c r="K70" s="97" t="str">
        <f aca="false">IF($D70="","",IFERROR(VLOOKUP($D70,PLANI_LLOGARIVE!$A:$J,10,FALSE()),FALSE()))</f>
        <v/>
      </c>
      <c r="L70" s="97" t="str">
        <f aca="false">IF($D70="","",IFERROR(VLOOKUP($D70,PLANI_LLOGARIVE!$A:$G,7,FALSE()),"NUK EKZISTON"))</f>
        <v/>
      </c>
      <c r="M70" s="98" t="str">
        <f aca="false">IF($D70="","",IF(COUNTIF(PLANI_LLOGARIVE!$A:$A,$D70)=0,"ERROR - llogaria nuk ekziston",IF($K70=TRUE(),"OK","ERROR - llogari jo-postuese/Header")))</f>
        <v/>
      </c>
      <c r="N70" s="99" t="str">
        <f aca="false">IF(TRIM($C70)="","",IF(ABS(SUMIFS($F:$F,$C:$C,TRIM($C70))-SUMIFS($G:$G,$C:$C,TRIM($C70)))&lt;0.005,"OK","ERROR - debi/kredi"))</f>
        <v/>
      </c>
      <c r="O70" s="88"/>
      <c r="P70" s="88"/>
      <c r="Q70" s="88"/>
      <c r="R70" s="88"/>
      <c r="S70" s="100" t="str">
        <f aca="false">IF(D70="","",LEFT(D70&amp;"",2))</f>
        <v/>
      </c>
      <c r="T70" s="101" t="str">
        <f aca="false">IF(D70="","",LEFT(D70&amp;"",3))</f>
        <v/>
      </c>
    </row>
    <row r="71" customFormat="false" ht="14.25" hidden="false" customHeight="true" outlineLevel="0" collapsed="false">
      <c r="A71" s="89"/>
      <c r="B71" s="90"/>
      <c r="C71" s="90"/>
      <c r="D71" s="90"/>
      <c r="E71" s="91" t="str">
        <f aca="false">IFERROR(VLOOKUP(D71,PLANI_LLOGARIVE!$A:$B,2,FALSE()),"")</f>
        <v/>
      </c>
      <c r="F71" s="92"/>
      <c r="G71" s="93"/>
      <c r="H71" s="94"/>
      <c r="I71" s="95"/>
      <c r="J71" s="96" t="str">
        <f aca="false">IF(TRIM($C71)="","",IF($M71&lt;&gt;"OK",$M71,IF(ABS(SUMIFS($F:$F,$C:$C,TRIM($C71))-SUMIFS($G:$G,$C:$C,TRIM($C71)))&lt;0.005,"OK","ERROR - veprimi nuk balancohet")))</f>
        <v/>
      </c>
      <c r="K71" s="97" t="str">
        <f aca="false">IF($D71="","",IFERROR(VLOOKUP($D71,PLANI_LLOGARIVE!$A:$J,10,FALSE()),FALSE()))</f>
        <v/>
      </c>
      <c r="L71" s="97" t="str">
        <f aca="false">IF($D71="","",IFERROR(VLOOKUP($D71,PLANI_LLOGARIVE!$A:$G,7,FALSE()),"NUK EKZISTON"))</f>
        <v/>
      </c>
      <c r="M71" s="98" t="str">
        <f aca="false">IF($D71="","",IF(COUNTIF(PLANI_LLOGARIVE!$A:$A,$D71)=0,"ERROR - llogaria nuk ekziston",IF($K71=TRUE(),"OK","ERROR - llogari jo-postuese/Header")))</f>
        <v/>
      </c>
      <c r="N71" s="99" t="str">
        <f aca="false">IF(TRIM($C71)="","",IF(ABS(SUMIFS($F:$F,$C:$C,TRIM($C71))-SUMIFS($G:$G,$C:$C,TRIM($C71)))&lt;0.005,"OK","ERROR - debi/kredi"))</f>
        <v/>
      </c>
      <c r="O71" s="88"/>
      <c r="P71" s="88"/>
      <c r="Q71" s="88"/>
      <c r="R71" s="88"/>
      <c r="S71" s="100" t="str">
        <f aca="false">IF(D71="","",LEFT(D71&amp;"",2))</f>
        <v/>
      </c>
      <c r="T71" s="101" t="str">
        <f aca="false">IF(D71="","",LEFT(D71&amp;"",3))</f>
        <v/>
      </c>
    </row>
    <row r="72" customFormat="false" ht="14.25" hidden="false" customHeight="true" outlineLevel="0" collapsed="false">
      <c r="A72" s="89"/>
      <c r="B72" s="90"/>
      <c r="C72" s="90"/>
      <c r="D72" s="90"/>
      <c r="E72" s="91" t="str">
        <f aca="false">IFERROR(VLOOKUP(D72,PLANI_LLOGARIVE!$A:$B,2,FALSE()),"")</f>
        <v/>
      </c>
      <c r="F72" s="92"/>
      <c r="G72" s="93"/>
      <c r="H72" s="94"/>
      <c r="I72" s="95"/>
      <c r="J72" s="96" t="str">
        <f aca="false">IF(TRIM($C72)="","",IF($M72&lt;&gt;"OK",$M72,IF(ABS(SUMIFS($F:$F,$C:$C,TRIM($C72))-SUMIFS($G:$G,$C:$C,TRIM($C72)))&lt;0.005,"OK","ERROR - veprimi nuk balancohet")))</f>
        <v/>
      </c>
      <c r="K72" s="97" t="str">
        <f aca="false">IF($D72="","",IFERROR(VLOOKUP($D72,PLANI_LLOGARIVE!$A:$J,10,FALSE()),FALSE()))</f>
        <v/>
      </c>
      <c r="L72" s="97" t="str">
        <f aca="false">IF($D72="","",IFERROR(VLOOKUP($D72,PLANI_LLOGARIVE!$A:$G,7,FALSE()),"NUK EKZISTON"))</f>
        <v/>
      </c>
      <c r="M72" s="98" t="str">
        <f aca="false">IF($D72="","",IF(COUNTIF(PLANI_LLOGARIVE!$A:$A,$D72)=0,"ERROR - llogaria nuk ekziston",IF($K72=TRUE(),"OK","ERROR - llogari jo-postuese/Header")))</f>
        <v/>
      </c>
      <c r="N72" s="99" t="str">
        <f aca="false">IF(TRIM($C72)="","",IF(ABS(SUMIFS($F:$F,$C:$C,TRIM($C72))-SUMIFS($G:$G,$C:$C,TRIM($C72)))&lt;0.005,"OK","ERROR - debi/kredi"))</f>
        <v/>
      </c>
      <c r="O72" s="88"/>
      <c r="P72" s="88"/>
      <c r="Q72" s="88"/>
      <c r="R72" s="88"/>
      <c r="S72" s="100" t="str">
        <f aca="false">IF(D72="","",LEFT(D72&amp;"",2))</f>
        <v/>
      </c>
      <c r="T72" s="101" t="str">
        <f aca="false">IF(D72="","",LEFT(D72&amp;"",3))</f>
        <v/>
      </c>
    </row>
    <row r="73" customFormat="false" ht="14.25" hidden="false" customHeight="true" outlineLevel="0" collapsed="false">
      <c r="A73" s="89"/>
      <c r="B73" s="90"/>
      <c r="C73" s="90"/>
      <c r="D73" s="90"/>
      <c r="E73" s="91" t="str">
        <f aca="false">IFERROR(VLOOKUP(D73,PLANI_LLOGARIVE!$A:$B,2,FALSE()),"")</f>
        <v/>
      </c>
      <c r="F73" s="92"/>
      <c r="G73" s="93"/>
      <c r="H73" s="94"/>
      <c r="I73" s="95"/>
      <c r="J73" s="96" t="str">
        <f aca="false">IF(TRIM($C73)="","",IF($M73&lt;&gt;"OK",$M73,IF(ABS(SUMIFS($F:$F,$C:$C,TRIM($C73))-SUMIFS($G:$G,$C:$C,TRIM($C73)))&lt;0.005,"OK","ERROR - veprimi nuk balancohet")))</f>
        <v/>
      </c>
      <c r="K73" s="97" t="str">
        <f aca="false">IF($D73="","",IFERROR(VLOOKUP($D73,PLANI_LLOGARIVE!$A:$J,10,FALSE()),FALSE()))</f>
        <v/>
      </c>
      <c r="L73" s="97" t="str">
        <f aca="false">IF($D73="","",IFERROR(VLOOKUP($D73,PLANI_LLOGARIVE!$A:$G,7,FALSE()),"NUK EKZISTON"))</f>
        <v/>
      </c>
      <c r="M73" s="98" t="str">
        <f aca="false">IF($D73="","",IF(COUNTIF(PLANI_LLOGARIVE!$A:$A,$D73)=0,"ERROR - llogaria nuk ekziston",IF($K73=TRUE(),"OK","ERROR - llogari jo-postuese/Header")))</f>
        <v/>
      </c>
      <c r="N73" s="99" t="str">
        <f aca="false">IF(TRIM($C73)="","",IF(ABS(SUMIFS($F:$F,$C:$C,TRIM($C73))-SUMIFS($G:$G,$C:$C,TRIM($C73)))&lt;0.005,"OK","ERROR - debi/kredi"))</f>
        <v/>
      </c>
      <c r="O73" s="88"/>
      <c r="P73" s="88"/>
      <c r="Q73" s="88"/>
      <c r="R73" s="88"/>
      <c r="S73" s="100" t="str">
        <f aca="false">IF(D73="","",LEFT(D73&amp;"",2))</f>
        <v/>
      </c>
      <c r="T73" s="101" t="str">
        <f aca="false">IF(D73="","",LEFT(D73&amp;"",3))</f>
        <v/>
      </c>
    </row>
    <row r="74" customFormat="false" ht="14.25" hidden="false" customHeight="true" outlineLevel="0" collapsed="false">
      <c r="A74" s="89"/>
      <c r="B74" s="90"/>
      <c r="C74" s="90"/>
      <c r="D74" s="90"/>
      <c r="E74" s="91" t="str">
        <f aca="false">IFERROR(VLOOKUP(D74,PLANI_LLOGARIVE!$A:$B,2,FALSE()),"")</f>
        <v/>
      </c>
      <c r="F74" s="92"/>
      <c r="G74" s="93"/>
      <c r="H74" s="94"/>
      <c r="I74" s="95"/>
      <c r="J74" s="96" t="str">
        <f aca="false">IF(TRIM($C74)="","",IF($M74&lt;&gt;"OK",$M74,IF(ABS(SUMIFS($F:$F,$C:$C,TRIM($C74))-SUMIFS($G:$G,$C:$C,TRIM($C74)))&lt;0.005,"OK","ERROR - veprimi nuk balancohet")))</f>
        <v/>
      </c>
      <c r="K74" s="97" t="str">
        <f aca="false">IF($D74="","",IFERROR(VLOOKUP($D74,PLANI_LLOGARIVE!$A:$J,10,FALSE()),FALSE()))</f>
        <v/>
      </c>
      <c r="L74" s="97" t="str">
        <f aca="false">IF($D74="","",IFERROR(VLOOKUP($D74,PLANI_LLOGARIVE!$A:$G,7,FALSE()),"NUK EKZISTON"))</f>
        <v/>
      </c>
      <c r="M74" s="98" t="str">
        <f aca="false">IF($D74="","",IF(COUNTIF(PLANI_LLOGARIVE!$A:$A,$D74)=0,"ERROR - llogaria nuk ekziston",IF($K74=TRUE(),"OK","ERROR - llogari jo-postuese/Header")))</f>
        <v/>
      </c>
      <c r="N74" s="99" t="str">
        <f aca="false">IF(TRIM($C74)="","",IF(ABS(SUMIFS($F:$F,$C:$C,TRIM($C74))-SUMIFS($G:$G,$C:$C,TRIM($C74)))&lt;0.005,"OK","ERROR - debi/kredi"))</f>
        <v/>
      </c>
      <c r="O74" s="88"/>
      <c r="P74" s="88"/>
      <c r="Q74" s="88"/>
      <c r="R74" s="88"/>
      <c r="S74" s="100" t="str">
        <f aca="false">IF(D74="","",LEFT(D74&amp;"",2))</f>
        <v/>
      </c>
      <c r="T74" s="101" t="str">
        <f aca="false">IF(D74="","",LEFT(D74&amp;"",3))</f>
        <v/>
      </c>
    </row>
    <row r="75" customFormat="false" ht="14.25" hidden="false" customHeight="true" outlineLevel="0" collapsed="false">
      <c r="A75" s="89"/>
      <c r="B75" s="90"/>
      <c r="C75" s="90"/>
      <c r="D75" s="90"/>
      <c r="E75" s="91" t="str">
        <f aca="false">IFERROR(VLOOKUP(D75,PLANI_LLOGARIVE!$A:$B,2,FALSE()),"")</f>
        <v/>
      </c>
      <c r="F75" s="92"/>
      <c r="G75" s="93"/>
      <c r="H75" s="94"/>
      <c r="I75" s="95"/>
      <c r="J75" s="96" t="str">
        <f aca="false">IF(TRIM($C75)="","",IF($M75&lt;&gt;"OK",$M75,IF(ABS(SUMIFS($F:$F,$C:$C,TRIM($C75))-SUMIFS($G:$G,$C:$C,TRIM($C75)))&lt;0.005,"OK","ERROR - veprimi nuk balancohet")))</f>
        <v/>
      </c>
      <c r="K75" s="97" t="str">
        <f aca="false">IF($D75="","",IFERROR(VLOOKUP($D75,PLANI_LLOGARIVE!$A:$J,10,FALSE()),FALSE()))</f>
        <v/>
      </c>
      <c r="L75" s="97" t="str">
        <f aca="false">IF($D75="","",IFERROR(VLOOKUP($D75,PLANI_LLOGARIVE!$A:$G,7,FALSE()),"NUK EKZISTON"))</f>
        <v/>
      </c>
      <c r="M75" s="98" t="str">
        <f aca="false">IF($D75="","",IF(COUNTIF(PLANI_LLOGARIVE!$A:$A,$D75)=0,"ERROR - llogaria nuk ekziston",IF($K75=TRUE(),"OK","ERROR - llogari jo-postuese/Header")))</f>
        <v/>
      </c>
      <c r="N75" s="99" t="str">
        <f aca="false">IF(TRIM($C75)="","",IF(ABS(SUMIFS($F:$F,$C:$C,TRIM($C75))-SUMIFS($G:$G,$C:$C,TRIM($C75)))&lt;0.005,"OK","ERROR - debi/kredi"))</f>
        <v/>
      </c>
      <c r="O75" s="88"/>
      <c r="P75" s="88"/>
      <c r="Q75" s="88"/>
      <c r="R75" s="88"/>
      <c r="S75" s="100" t="str">
        <f aca="false">IF(D75="","",LEFT(D75&amp;"",2))</f>
        <v/>
      </c>
      <c r="T75" s="101" t="str">
        <f aca="false">IF(D75="","",LEFT(D75&amp;"",3))</f>
        <v/>
      </c>
    </row>
    <row r="76" customFormat="false" ht="14.25" hidden="false" customHeight="true" outlineLevel="0" collapsed="false">
      <c r="A76" s="89"/>
      <c r="B76" s="90"/>
      <c r="C76" s="90"/>
      <c r="D76" s="90"/>
      <c r="E76" s="91" t="str">
        <f aca="false">IFERROR(VLOOKUP(D76,PLANI_LLOGARIVE!$A:$B,2,FALSE()),"")</f>
        <v/>
      </c>
      <c r="F76" s="92"/>
      <c r="G76" s="93"/>
      <c r="H76" s="94"/>
      <c r="I76" s="95"/>
      <c r="J76" s="96" t="str">
        <f aca="false">IF(TRIM($C76)="","",IF($M76&lt;&gt;"OK",$M76,IF(ABS(SUMIFS($F:$F,$C:$C,TRIM($C76))-SUMIFS($G:$G,$C:$C,TRIM($C76)))&lt;0.005,"OK","ERROR - veprimi nuk balancohet")))</f>
        <v/>
      </c>
      <c r="K76" s="97" t="str">
        <f aca="false">IF($D76="","",IFERROR(VLOOKUP($D76,PLANI_LLOGARIVE!$A:$J,10,FALSE()),FALSE()))</f>
        <v/>
      </c>
      <c r="L76" s="97" t="str">
        <f aca="false">IF($D76="","",IFERROR(VLOOKUP($D76,PLANI_LLOGARIVE!$A:$G,7,FALSE()),"NUK EKZISTON"))</f>
        <v/>
      </c>
      <c r="M76" s="98" t="str">
        <f aca="false">IF($D76="","",IF(COUNTIF(PLANI_LLOGARIVE!$A:$A,$D76)=0,"ERROR - llogaria nuk ekziston",IF($K76=TRUE(),"OK","ERROR - llogari jo-postuese/Header")))</f>
        <v/>
      </c>
      <c r="N76" s="99" t="str">
        <f aca="false">IF(TRIM($C76)="","",IF(ABS(SUMIFS($F:$F,$C:$C,TRIM($C76))-SUMIFS($G:$G,$C:$C,TRIM($C76)))&lt;0.005,"OK","ERROR - debi/kredi"))</f>
        <v/>
      </c>
      <c r="O76" s="88"/>
      <c r="P76" s="88"/>
      <c r="Q76" s="88"/>
      <c r="R76" s="88"/>
      <c r="S76" s="100" t="str">
        <f aca="false">IF(D76="","",LEFT(D76&amp;"",2))</f>
        <v/>
      </c>
      <c r="T76" s="101" t="str">
        <f aca="false">IF(D76="","",LEFT(D76&amp;"",3))</f>
        <v/>
      </c>
    </row>
    <row r="77" customFormat="false" ht="14.25" hidden="false" customHeight="true" outlineLevel="0" collapsed="false">
      <c r="A77" s="89"/>
      <c r="B77" s="90"/>
      <c r="C77" s="90"/>
      <c r="D77" s="90"/>
      <c r="E77" s="91" t="str">
        <f aca="false">IFERROR(VLOOKUP(D77,PLANI_LLOGARIVE!$A:$B,2,FALSE()),"")</f>
        <v/>
      </c>
      <c r="F77" s="92"/>
      <c r="G77" s="93"/>
      <c r="H77" s="94"/>
      <c r="I77" s="95"/>
      <c r="J77" s="96" t="str">
        <f aca="false">IF(TRIM($C77)="","",IF($M77&lt;&gt;"OK",$M77,IF(ABS(SUMIFS($F:$F,$C:$C,TRIM($C77))-SUMIFS($G:$G,$C:$C,TRIM($C77)))&lt;0.005,"OK","ERROR - veprimi nuk balancohet")))</f>
        <v/>
      </c>
      <c r="K77" s="97" t="str">
        <f aca="false">IF($D77="","",IFERROR(VLOOKUP($D77,PLANI_LLOGARIVE!$A:$J,10,FALSE()),FALSE()))</f>
        <v/>
      </c>
      <c r="L77" s="97" t="str">
        <f aca="false">IF($D77="","",IFERROR(VLOOKUP($D77,PLANI_LLOGARIVE!$A:$G,7,FALSE()),"NUK EKZISTON"))</f>
        <v/>
      </c>
      <c r="M77" s="98" t="str">
        <f aca="false">IF($D77="","",IF(COUNTIF(PLANI_LLOGARIVE!$A:$A,$D77)=0,"ERROR - llogaria nuk ekziston",IF($K77=TRUE(),"OK","ERROR - llogari jo-postuese/Header")))</f>
        <v/>
      </c>
      <c r="N77" s="99" t="str">
        <f aca="false">IF(TRIM($C77)="","",IF(ABS(SUMIFS($F:$F,$C:$C,TRIM($C77))-SUMIFS($G:$G,$C:$C,TRIM($C77)))&lt;0.005,"OK","ERROR - debi/kredi"))</f>
        <v/>
      </c>
      <c r="O77" s="88"/>
      <c r="P77" s="88"/>
      <c r="Q77" s="88"/>
      <c r="R77" s="88"/>
      <c r="S77" s="100" t="str">
        <f aca="false">IF(D77="","",LEFT(D77&amp;"",2))</f>
        <v/>
      </c>
      <c r="T77" s="101" t="str">
        <f aca="false">IF(D77="","",LEFT(D77&amp;"",3))</f>
        <v/>
      </c>
    </row>
    <row r="78" customFormat="false" ht="14.25" hidden="false" customHeight="true" outlineLevel="0" collapsed="false">
      <c r="A78" s="89"/>
      <c r="B78" s="90"/>
      <c r="C78" s="90"/>
      <c r="D78" s="90"/>
      <c r="E78" s="91" t="str">
        <f aca="false">IFERROR(VLOOKUP(D78,PLANI_LLOGARIVE!$A:$B,2,FALSE()),"")</f>
        <v/>
      </c>
      <c r="F78" s="92"/>
      <c r="G78" s="93"/>
      <c r="H78" s="94"/>
      <c r="I78" s="95"/>
      <c r="J78" s="96" t="str">
        <f aca="false">IF(TRIM($C78)="","",IF($M78&lt;&gt;"OK",$M78,IF(ABS(SUMIFS($F:$F,$C:$C,TRIM($C78))-SUMIFS($G:$G,$C:$C,TRIM($C78)))&lt;0.005,"OK","ERROR - veprimi nuk balancohet")))</f>
        <v/>
      </c>
      <c r="K78" s="97" t="str">
        <f aca="false">IF($D78="","",IFERROR(VLOOKUP($D78,PLANI_LLOGARIVE!$A:$J,10,FALSE()),FALSE()))</f>
        <v/>
      </c>
      <c r="L78" s="97" t="str">
        <f aca="false">IF($D78="","",IFERROR(VLOOKUP($D78,PLANI_LLOGARIVE!$A:$G,7,FALSE()),"NUK EKZISTON"))</f>
        <v/>
      </c>
      <c r="M78" s="98" t="str">
        <f aca="false">IF($D78="","",IF(COUNTIF(PLANI_LLOGARIVE!$A:$A,$D78)=0,"ERROR - llogaria nuk ekziston",IF($K78=TRUE(),"OK","ERROR - llogari jo-postuese/Header")))</f>
        <v/>
      </c>
      <c r="N78" s="99" t="str">
        <f aca="false">IF(TRIM($C78)="","",IF(ABS(SUMIFS($F:$F,$C:$C,TRIM($C78))-SUMIFS($G:$G,$C:$C,TRIM($C78)))&lt;0.005,"OK","ERROR - debi/kredi"))</f>
        <v/>
      </c>
      <c r="O78" s="88"/>
      <c r="P78" s="88"/>
      <c r="Q78" s="88"/>
      <c r="R78" s="88"/>
      <c r="S78" s="100" t="str">
        <f aca="false">IF(D78="","",LEFT(D78&amp;"",2))</f>
        <v/>
      </c>
      <c r="T78" s="101" t="str">
        <f aca="false">IF(D78="","",LEFT(D78&amp;"",3))</f>
        <v/>
      </c>
    </row>
    <row r="79" customFormat="false" ht="14.25" hidden="false" customHeight="true" outlineLevel="0" collapsed="false">
      <c r="A79" s="89"/>
      <c r="B79" s="90"/>
      <c r="C79" s="90"/>
      <c r="D79" s="90"/>
      <c r="E79" s="91" t="str">
        <f aca="false">IFERROR(VLOOKUP(D79,PLANI_LLOGARIVE!$A:$B,2,FALSE()),"")</f>
        <v/>
      </c>
      <c r="F79" s="92"/>
      <c r="G79" s="93"/>
      <c r="H79" s="94"/>
      <c r="I79" s="95"/>
      <c r="J79" s="96" t="str">
        <f aca="false">IF(TRIM($C79)="","",IF($M79&lt;&gt;"OK",$M79,IF(ABS(SUMIFS($F:$F,$C:$C,TRIM($C79))-SUMIFS($G:$G,$C:$C,TRIM($C79)))&lt;0.005,"OK","ERROR - veprimi nuk balancohet")))</f>
        <v/>
      </c>
      <c r="K79" s="97" t="str">
        <f aca="false">IF($D79="","",IFERROR(VLOOKUP($D79,PLANI_LLOGARIVE!$A:$J,10,FALSE()),FALSE()))</f>
        <v/>
      </c>
      <c r="L79" s="97" t="str">
        <f aca="false">IF($D79="","",IFERROR(VLOOKUP($D79,PLANI_LLOGARIVE!$A:$G,7,FALSE()),"NUK EKZISTON"))</f>
        <v/>
      </c>
      <c r="M79" s="98" t="str">
        <f aca="false">IF($D79="","",IF(COUNTIF(PLANI_LLOGARIVE!$A:$A,$D79)=0,"ERROR - llogaria nuk ekziston",IF($K79=TRUE(),"OK","ERROR - llogari jo-postuese/Header")))</f>
        <v/>
      </c>
      <c r="N79" s="99" t="str">
        <f aca="false">IF(TRIM($C79)="","",IF(ABS(SUMIFS($F:$F,$C:$C,TRIM($C79))-SUMIFS($G:$G,$C:$C,TRIM($C79)))&lt;0.005,"OK","ERROR - debi/kredi"))</f>
        <v/>
      </c>
      <c r="O79" s="88"/>
      <c r="P79" s="88"/>
      <c r="Q79" s="88"/>
      <c r="R79" s="88"/>
      <c r="S79" s="100" t="str">
        <f aca="false">IF(D79="","",LEFT(D79&amp;"",2))</f>
        <v/>
      </c>
      <c r="T79" s="101" t="str">
        <f aca="false">IF(D79="","",LEFT(D79&amp;"",3))</f>
        <v/>
      </c>
    </row>
    <row r="80" customFormat="false" ht="14.25" hidden="false" customHeight="true" outlineLevel="0" collapsed="false">
      <c r="A80" s="89"/>
      <c r="B80" s="90"/>
      <c r="C80" s="90"/>
      <c r="D80" s="90"/>
      <c r="E80" s="91" t="str">
        <f aca="false">IFERROR(VLOOKUP(D80,PLANI_LLOGARIVE!$A:$B,2,FALSE()),"")</f>
        <v/>
      </c>
      <c r="F80" s="92"/>
      <c r="G80" s="93"/>
      <c r="H80" s="94"/>
      <c r="I80" s="95"/>
      <c r="J80" s="96" t="str">
        <f aca="false">IF(TRIM($C80)="","",IF($M80&lt;&gt;"OK",$M80,IF(ABS(SUMIFS($F:$F,$C:$C,TRIM($C80))-SUMIFS($G:$G,$C:$C,TRIM($C80)))&lt;0.005,"OK","ERROR - veprimi nuk balancohet")))</f>
        <v/>
      </c>
      <c r="K80" s="97" t="str">
        <f aca="false">IF($D80="","",IFERROR(VLOOKUP($D80,PLANI_LLOGARIVE!$A:$J,10,FALSE()),FALSE()))</f>
        <v/>
      </c>
      <c r="L80" s="97" t="str">
        <f aca="false">IF($D80="","",IFERROR(VLOOKUP($D80,PLANI_LLOGARIVE!$A:$G,7,FALSE()),"NUK EKZISTON"))</f>
        <v/>
      </c>
      <c r="M80" s="98" t="str">
        <f aca="false">IF($D80="","",IF(COUNTIF(PLANI_LLOGARIVE!$A:$A,$D80)=0,"ERROR - llogaria nuk ekziston",IF($K80=TRUE(),"OK","ERROR - llogari jo-postuese/Header")))</f>
        <v/>
      </c>
      <c r="N80" s="99" t="str">
        <f aca="false">IF(TRIM($C80)="","",IF(ABS(SUMIFS($F:$F,$C:$C,TRIM($C80))-SUMIFS($G:$G,$C:$C,TRIM($C80)))&lt;0.005,"OK","ERROR - debi/kredi"))</f>
        <v/>
      </c>
      <c r="O80" s="88"/>
      <c r="P80" s="88"/>
      <c r="Q80" s="88"/>
      <c r="R80" s="88"/>
      <c r="S80" s="100" t="str">
        <f aca="false">IF(D80="","",LEFT(D80&amp;"",2))</f>
        <v/>
      </c>
      <c r="T80" s="101" t="str">
        <f aca="false">IF(D80="","",LEFT(D80&amp;"",3))</f>
        <v/>
      </c>
    </row>
    <row r="81" customFormat="false" ht="14.25" hidden="false" customHeight="true" outlineLevel="0" collapsed="false">
      <c r="A81" s="89"/>
      <c r="B81" s="90"/>
      <c r="C81" s="90"/>
      <c r="D81" s="90"/>
      <c r="E81" s="91" t="str">
        <f aca="false">IFERROR(VLOOKUP(D81,PLANI_LLOGARIVE!$A:$B,2,FALSE()),"")</f>
        <v/>
      </c>
      <c r="F81" s="92"/>
      <c r="G81" s="93"/>
      <c r="H81" s="94"/>
      <c r="I81" s="95"/>
      <c r="J81" s="96" t="str">
        <f aca="false">IF(TRIM($C81)="","",IF($M81&lt;&gt;"OK",$M81,IF(ABS(SUMIFS($F:$F,$C:$C,TRIM($C81))-SUMIFS($G:$G,$C:$C,TRIM($C81)))&lt;0.005,"OK","ERROR - veprimi nuk balancohet")))</f>
        <v/>
      </c>
      <c r="K81" s="97" t="str">
        <f aca="false">IF($D81="","",IFERROR(VLOOKUP($D81,PLANI_LLOGARIVE!$A:$J,10,FALSE()),FALSE()))</f>
        <v/>
      </c>
      <c r="L81" s="97" t="str">
        <f aca="false">IF($D81="","",IFERROR(VLOOKUP($D81,PLANI_LLOGARIVE!$A:$G,7,FALSE()),"NUK EKZISTON"))</f>
        <v/>
      </c>
      <c r="M81" s="98" t="str">
        <f aca="false">IF($D81="","",IF(COUNTIF(PLANI_LLOGARIVE!$A:$A,$D81)=0,"ERROR - llogaria nuk ekziston",IF($K81=TRUE(),"OK","ERROR - llogari jo-postuese/Header")))</f>
        <v/>
      </c>
      <c r="N81" s="99" t="str">
        <f aca="false">IF(TRIM($C81)="","",IF(ABS(SUMIFS($F:$F,$C:$C,TRIM($C81))-SUMIFS($G:$G,$C:$C,TRIM($C81)))&lt;0.005,"OK","ERROR - debi/kredi"))</f>
        <v/>
      </c>
      <c r="O81" s="88"/>
      <c r="P81" s="88"/>
      <c r="Q81" s="88"/>
      <c r="R81" s="88"/>
      <c r="S81" s="100" t="str">
        <f aca="false">IF(D81="","",LEFT(D81&amp;"",2))</f>
        <v/>
      </c>
      <c r="T81" s="101" t="str">
        <f aca="false">IF(D81="","",LEFT(D81&amp;"",3))</f>
        <v/>
      </c>
    </row>
    <row r="82" customFormat="false" ht="14.25" hidden="false" customHeight="true" outlineLevel="0" collapsed="false">
      <c r="A82" s="89"/>
      <c r="B82" s="90"/>
      <c r="C82" s="90"/>
      <c r="D82" s="90"/>
      <c r="E82" s="91" t="str">
        <f aca="false">IFERROR(VLOOKUP(D82,PLANI_LLOGARIVE!$A:$B,2,FALSE()),"")</f>
        <v/>
      </c>
      <c r="F82" s="92"/>
      <c r="G82" s="93"/>
      <c r="H82" s="94"/>
      <c r="I82" s="95"/>
      <c r="J82" s="96" t="str">
        <f aca="false">IF(TRIM($C82)="","",IF($M82&lt;&gt;"OK",$M82,IF(ABS(SUMIFS($F:$F,$C:$C,TRIM($C82))-SUMIFS($G:$G,$C:$C,TRIM($C82)))&lt;0.005,"OK","ERROR - veprimi nuk balancohet")))</f>
        <v/>
      </c>
      <c r="K82" s="97" t="str">
        <f aca="false">IF($D82="","",IFERROR(VLOOKUP($D82,PLANI_LLOGARIVE!$A:$J,10,FALSE()),FALSE()))</f>
        <v/>
      </c>
      <c r="L82" s="97" t="str">
        <f aca="false">IF($D82="","",IFERROR(VLOOKUP($D82,PLANI_LLOGARIVE!$A:$G,7,FALSE()),"NUK EKZISTON"))</f>
        <v/>
      </c>
      <c r="M82" s="98" t="str">
        <f aca="false">IF($D82="","",IF(COUNTIF(PLANI_LLOGARIVE!$A:$A,$D82)=0,"ERROR - llogaria nuk ekziston",IF($K82=TRUE(),"OK","ERROR - llogari jo-postuese/Header")))</f>
        <v/>
      </c>
      <c r="N82" s="99" t="str">
        <f aca="false">IF(TRIM($C82)="","",IF(ABS(SUMIFS($F:$F,$C:$C,TRIM($C82))-SUMIFS($G:$G,$C:$C,TRIM($C82)))&lt;0.005,"OK","ERROR - debi/kredi"))</f>
        <v/>
      </c>
      <c r="O82" s="88"/>
      <c r="P82" s="88"/>
      <c r="Q82" s="88"/>
      <c r="R82" s="88"/>
      <c r="S82" s="100" t="str">
        <f aca="false">IF(D82="","",LEFT(D82&amp;"",2))</f>
        <v/>
      </c>
      <c r="T82" s="101" t="str">
        <f aca="false">IF(D82="","",LEFT(D82&amp;"",3))</f>
        <v/>
      </c>
    </row>
    <row r="83" customFormat="false" ht="14.25" hidden="false" customHeight="true" outlineLevel="0" collapsed="false">
      <c r="A83" s="89"/>
      <c r="B83" s="90"/>
      <c r="C83" s="90"/>
      <c r="D83" s="90"/>
      <c r="E83" s="91" t="str">
        <f aca="false">IFERROR(VLOOKUP(D83,PLANI_LLOGARIVE!$A:$B,2,FALSE()),"")</f>
        <v/>
      </c>
      <c r="F83" s="92"/>
      <c r="G83" s="93"/>
      <c r="H83" s="94"/>
      <c r="I83" s="95"/>
      <c r="J83" s="96" t="str">
        <f aca="false">IF(TRIM($C83)="","",IF($M83&lt;&gt;"OK",$M83,IF(ABS(SUMIFS($F:$F,$C:$C,TRIM($C83))-SUMIFS($G:$G,$C:$C,TRIM($C83)))&lt;0.005,"OK","ERROR - veprimi nuk balancohet")))</f>
        <v/>
      </c>
      <c r="K83" s="97" t="str">
        <f aca="false">IF($D83="","",IFERROR(VLOOKUP($D83,PLANI_LLOGARIVE!$A:$J,10,FALSE()),FALSE()))</f>
        <v/>
      </c>
      <c r="L83" s="97" t="str">
        <f aca="false">IF($D83="","",IFERROR(VLOOKUP($D83,PLANI_LLOGARIVE!$A:$G,7,FALSE()),"NUK EKZISTON"))</f>
        <v/>
      </c>
      <c r="M83" s="98" t="str">
        <f aca="false">IF($D83="","",IF(COUNTIF(PLANI_LLOGARIVE!$A:$A,$D83)=0,"ERROR - llogaria nuk ekziston",IF($K83=TRUE(),"OK","ERROR - llogari jo-postuese/Header")))</f>
        <v/>
      </c>
      <c r="N83" s="99" t="str">
        <f aca="false">IF(TRIM($C83)="","",IF(ABS(SUMIFS($F:$F,$C:$C,TRIM($C83))-SUMIFS($G:$G,$C:$C,TRIM($C83)))&lt;0.005,"OK","ERROR - debi/kredi"))</f>
        <v/>
      </c>
      <c r="O83" s="88"/>
      <c r="P83" s="88"/>
      <c r="Q83" s="88"/>
      <c r="R83" s="88"/>
      <c r="S83" s="100" t="str">
        <f aca="false">IF(D83="","",LEFT(D83&amp;"",2))</f>
        <v/>
      </c>
      <c r="T83" s="101" t="str">
        <f aca="false">IF(D83="","",LEFT(D83&amp;"",3))</f>
        <v/>
      </c>
    </row>
    <row r="84" customFormat="false" ht="14.25" hidden="false" customHeight="true" outlineLevel="0" collapsed="false">
      <c r="A84" s="89"/>
      <c r="B84" s="90"/>
      <c r="C84" s="90"/>
      <c r="D84" s="90"/>
      <c r="E84" s="91" t="str">
        <f aca="false">IFERROR(VLOOKUP(D84,PLANI_LLOGARIVE!$A:$B,2,FALSE()),"")</f>
        <v/>
      </c>
      <c r="F84" s="92"/>
      <c r="G84" s="93"/>
      <c r="H84" s="94"/>
      <c r="I84" s="95"/>
      <c r="J84" s="96" t="str">
        <f aca="false">IF(TRIM($C84)="","",IF($M84&lt;&gt;"OK",$M84,IF(ABS(SUMIFS($F:$F,$C:$C,TRIM($C84))-SUMIFS($G:$G,$C:$C,TRIM($C84)))&lt;0.005,"OK","ERROR - veprimi nuk balancohet")))</f>
        <v/>
      </c>
      <c r="K84" s="97" t="str">
        <f aca="false">IF($D84="","",IFERROR(VLOOKUP($D84,PLANI_LLOGARIVE!$A:$J,10,FALSE()),FALSE()))</f>
        <v/>
      </c>
      <c r="L84" s="97" t="str">
        <f aca="false">IF($D84="","",IFERROR(VLOOKUP($D84,PLANI_LLOGARIVE!$A:$G,7,FALSE()),"NUK EKZISTON"))</f>
        <v/>
      </c>
      <c r="M84" s="98" t="str">
        <f aca="false">IF($D84="","",IF(COUNTIF(PLANI_LLOGARIVE!$A:$A,$D84)=0,"ERROR - llogaria nuk ekziston",IF($K84=TRUE(),"OK","ERROR - llogari jo-postuese/Header")))</f>
        <v/>
      </c>
      <c r="N84" s="99" t="str">
        <f aca="false">IF(TRIM($C84)="","",IF(ABS(SUMIFS($F:$F,$C:$C,TRIM($C84))-SUMIFS($G:$G,$C:$C,TRIM($C84)))&lt;0.005,"OK","ERROR - debi/kredi"))</f>
        <v/>
      </c>
      <c r="O84" s="88"/>
      <c r="P84" s="88"/>
      <c r="Q84" s="88"/>
      <c r="R84" s="88"/>
      <c r="S84" s="100" t="str">
        <f aca="false">IF(D84="","",LEFT(D84&amp;"",2))</f>
        <v/>
      </c>
      <c r="T84" s="101" t="str">
        <f aca="false">IF(D84="","",LEFT(D84&amp;"",3))</f>
        <v/>
      </c>
    </row>
    <row r="85" customFormat="false" ht="14.25" hidden="false" customHeight="true" outlineLevel="0" collapsed="false">
      <c r="A85" s="89"/>
      <c r="B85" s="90"/>
      <c r="C85" s="90"/>
      <c r="D85" s="90"/>
      <c r="E85" s="91" t="str">
        <f aca="false">IFERROR(VLOOKUP(D85,PLANI_LLOGARIVE!$A:$B,2,FALSE()),"")</f>
        <v/>
      </c>
      <c r="F85" s="92"/>
      <c r="G85" s="93"/>
      <c r="H85" s="94"/>
      <c r="I85" s="95"/>
      <c r="J85" s="96" t="str">
        <f aca="false">IF(TRIM($C85)="","",IF($M85&lt;&gt;"OK",$M85,IF(ABS(SUMIFS($F:$F,$C:$C,TRIM($C85))-SUMIFS($G:$G,$C:$C,TRIM($C85)))&lt;0.005,"OK","ERROR - veprimi nuk balancohet")))</f>
        <v/>
      </c>
      <c r="K85" s="97" t="str">
        <f aca="false">IF($D85="","",IFERROR(VLOOKUP($D85,PLANI_LLOGARIVE!$A:$J,10,FALSE()),FALSE()))</f>
        <v/>
      </c>
      <c r="L85" s="97" t="str">
        <f aca="false">IF($D85="","",IFERROR(VLOOKUP($D85,PLANI_LLOGARIVE!$A:$G,7,FALSE()),"NUK EKZISTON"))</f>
        <v/>
      </c>
      <c r="M85" s="98" t="str">
        <f aca="false">IF($D85="","",IF(COUNTIF(PLANI_LLOGARIVE!$A:$A,$D85)=0,"ERROR - llogaria nuk ekziston",IF($K85=TRUE(),"OK","ERROR - llogari jo-postuese/Header")))</f>
        <v/>
      </c>
      <c r="N85" s="99" t="str">
        <f aca="false">IF(TRIM($C85)="","",IF(ABS(SUMIFS($F:$F,$C:$C,TRIM($C85))-SUMIFS($G:$G,$C:$C,TRIM($C85)))&lt;0.005,"OK","ERROR - debi/kredi"))</f>
        <v/>
      </c>
      <c r="O85" s="88"/>
      <c r="P85" s="88"/>
      <c r="Q85" s="88"/>
      <c r="R85" s="88"/>
      <c r="S85" s="100" t="str">
        <f aca="false">IF(D85="","",LEFT(D85&amp;"",2))</f>
        <v/>
      </c>
      <c r="T85" s="101" t="str">
        <f aca="false">IF(D85="","",LEFT(D85&amp;"",3))</f>
        <v/>
      </c>
    </row>
    <row r="86" customFormat="false" ht="14.25" hidden="false" customHeight="true" outlineLevel="0" collapsed="false">
      <c r="A86" s="89"/>
      <c r="B86" s="90"/>
      <c r="C86" s="90"/>
      <c r="D86" s="90"/>
      <c r="E86" s="91" t="str">
        <f aca="false">IFERROR(VLOOKUP(D86,PLANI_LLOGARIVE!$A:$B,2,FALSE()),"")</f>
        <v/>
      </c>
      <c r="F86" s="92"/>
      <c r="G86" s="93"/>
      <c r="H86" s="94"/>
      <c r="I86" s="95"/>
      <c r="J86" s="96" t="str">
        <f aca="false">IF(TRIM($C86)="","",IF($M86&lt;&gt;"OK",$M86,IF(ABS(SUMIFS($F:$F,$C:$C,TRIM($C86))-SUMIFS($G:$G,$C:$C,TRIM($C86)))&lt;0.005,"OK","ERROR - veprimi nuk balancohet")))</f>
        <v/>
      </c>
      <c r="K86" s="97" t="str">
        <f aca="false">IF($D86="","",IFERROR(VLOOKUP($D86,PLANI_LLOGARIVE!$A:$J,10,FALSE()),FALSE()))</f>
        <v/>
      </c>
      <c r="L86" s="97" t="str">
        <f aca="false">IF($D86="","",IFERROR(VLOOKUP($D86,PLANI_LLOGARIVE!$A:$G,7,FALSE()),"NUK EKZISTON"))</f>
        <v/>
      </c>
      <c r="M86" s="98" t="str">
        <f aca="false">IF($D86="","",IF(COUNTIF(PLANI_LLOGARIVE!$A:$A,$D86)=0,"ERROR - llogaria nuk ekziston",IF($K86=TRUE(),"OK","ERROR - llogari jo-postuese/Header")))</f>
        <v/>
      </c>
      <c r="N86" s="99" t="str">
        <f aca="false">IF(TRIM($C86)="","",IF(ABS(SUMIFS($F:$F,$C:$C,TRIM($C86))-SUMIFS($G:$G,$C:$C,TRIM($C86)))&lt;0.005,"OK","ERROR - debi/kredi"))</f>
        <v/>
      </c>
      <c r="O86" s="88"/>
      <c r="P86" s="88"/>
      <c r="Q86" s="88"/>
      <c r="R86" s="88"/>
      <c r="S86" s="100" t="str">
        <f aca="false">IF(D86="","",LEFT(D86&amp;"",2))</f>
        <v/>
      </c>
      <c r="T86" s="101" t="str">
        <f aca="false">IF(D86="","",LEFT(D86&amp;"",3))</f>
        <v/>
      </c>
    </row>
    <row r="87" customFormat="false" ht="14.25" hidden="false" customHeight="true" outlineLevel="0" collapsed="false">
      <c r="A87" s="89"/>
      <c r="B87" s="90"/>
      <c r="C87" s="90"/>
      <c r="D87" s="90"/>
      <c r="E87" s="91" t="str">
        <f aca="false">IFERROR(VLOOKUP(D87,PLANI_LLOGARIVE!$A:$B,2,FALSE()),"")</f>
        <v/>
      </c>
      <c r="F87" s="92"/>
      <c r="G87" s="93"/>
      <c r="H87" s="94"/>
      <c r="I87" s="95"/>
      <c r="J87" s="96" t="str">
        <f aca="false">IF(TRIM($C87)="","",IF($M87&lt;&gt;"OK",$M87,IF(ABS(SUMIFS($F:$F,$C:$C,TRIM($C87))-SUMIFS($G:$G,$C:$C,TRIM($C87)))&lt;0.005,"OK","ERROR - veprimi nuk balancohet")))</f>
        <v/>
      </c>
      <c r="K87" s="97" t="str">
        <f aca="false">IF($D87="","",IFERROR(VLOOKUP($D87,PLANI_LLOGARIVE!$A:$J,10,FALSE()),FALSE()))</f>
        <v/>
      </c>
      <c r="L87" s="97" t="str">
        <f aca="false">IF($D87="","",IFERROR(VLOOKUP($D87,PLANI_LLOGARIVE!$A:$G,7,FALSE()),"NUK EKZISTON"))</f>
        <v/>
      </c>
      <c r="M87" s="98" t="str">
        <f aca="false">IF($D87="","",IF(COUNTIF(PLANI_LLOGARIVE!$A:$A,$D87)=0,"ERROR - llogaria nuk ekziston",IF($K87=TRUE(),"OK","ERROR - llogari jo-postuese/Header")))</f>
        <v/>
      </c>
      <c r="N87" s="99" t="str">
        <f aca="false">IF(TRIM($C87)="","",IF(ABS(SUMIFS($F:$F,$C:$C,TRIM($C87))-SUMIFS($G:$G,$C:$C,TRIM($C87)))&lt;0.005,"OK","ERROR - debi/kredi"))</f>
        <v/>
      </c>
      <c r="O87" s="88"/>
      <c r="P87" s="88"/>
      <c r="Q87" s="88"/>
      <c r="R87" s="88"/>
      <c r="S87" s="100" t="str">
        <f aca="false">IF(D87="","",LEFT(D87&amp;"",2))</f>
        <v/>
      </c>
      <c r="T87" s="101" t="str">
        <f aca="false">IF(D87="","",LEFT(D87&amp;"",3))</f>
        <v/>
      </c>
    </row>
    <row r="88" customFormat="false" ht="14.25" hidden="false" customHeight="true" outlineLevel="0" collapsed="false">
      <c r="A88" s="89"/>
      <c r="B88" s="90"/>
      <c r="C88" s="90"/>
      <c r="D88" s="90"/>
      <c r="E88" s="91" t="str">
        <f aca="false">IFERROR(VLOOKUP(D88,PLANI_LLOGARIVE!$A:$B,2,FALSE()),"")</f>
        <v/>
      </c>
      <c r="F88" s="92"/>
      <c r="G88" s="93"/>
      <c r="H88" s="94"/>
      <c r="I88" s="95"/>
      <c r="J88" s="96" t="str">
        <f aca="false">IF(TRIM($C88)="","",IF($M88&lt;&gt;"OK",$M88,IF(ABS(SUMIFS($F:$F,$C:$C,TRIM($C88))-SUMIFS($G:$G,$C:$C,TRIM($C88)))&lt;0.005,"OK","ERROR - veprimi nuk balancohet")))</f>
        <v/>
      </c>
      <c r="K88" s="97" t="str">
        <f aca="false">IF($D88="","",IFERROR(VLOOKUP($D88,PLANI_LLOGARIVE!$A:$J,10,FALSE()),FALSE()))</f>
        <v/>
      </c>
      <c r="L88" s="97" t="str">
        <f aca="false">IF($D88="","",IFERROR(VLOOKUP($D88,PLANI_LLOGARIVE!$A:$G,7,FALSE()),"NUK EKZISTON"))</f>
        <v/>
      </c>
      <c r="M88" s="98" t="str">
        <f aca="false">IF($D88="","",IF(COUNTIF(PLANI_LLOGARIVE!$A:$A,$D88)=0,"ERROR - llogaria nuk ekziston",IF($K88=TRUE(),"OK","ERROR - llogari jo-postuese/Header")))</f>
        <v/>
      </c>
      <c r="N88" s="99" t="str">
        <f aca="false">IF(TRIM($C88)="","",IF(ABS(SUMIFS($F:$F,$C:$C,TRIM($C88))-SUMIFS($G:$G,$C:$C,TRIM($C88)))&lt;0.005,"OK","ERROR - debi/kredi"))</f>
        <v/>
      </c>
      <c r="O88" s="88"/>
      <c r="P88" s="88"/>
      <c r="Q88" s="88"/>
      <c r="R88" s="88"/>
      <c r="S88" s="100" t="str">
        <f aca="false">IF(D88="","",LEFT(D88&amp;"",2))</f>
        <v/>
      </c>
      <c r="T88" s="101" t="str">
        <f aca="false">IF(D88="","",LEFT(D88&amp;"",3))</f>
        <v/>
      </c>
    </row>
    <row r="89" customFormat="false" ht="14.25" hidden="false" customHeight="true" outlineLevel="0" collapsed="false">
      <c r="A89" s="89"/>
      <c r="B89" s="90"/>
      <c r="C89" s="90"/>
      <c r="D89" s="90"/>
      <c r="E89" s="91" t="str">
        <f aca="false">IFERROR(VLOOKUP(D89,PLANI_LLOGARIVE!$A:$B,2,FALSE()),"")</f>
        <v/>
      </c>
      <c r="F89" s="92"/>
      <c r="G89" s="93"/>
      <c r="H89" s="94"/>
      <c r="I89" s="95"/>
      <c r="J89" s="96" t="str">
        <f aca="false">IF(TRIM($C89)="","",IF($M89&lt;&gt;"OK",$M89,IF(ABS(SUMIFS($F:$F,$C:$C,TRIM($C89))-SUMIFS($G:$G,$C:$C,TRIM($C89)))&lt;0.005,"OK","ERROR - veprimi nuk balancohet")))</f>
        <v/>
      </c>
      <c r="K89" s="97" t="str">
        <f aca="false">IF($D89="","",IFERROR(VLOOKUP($D89,PLANI_LLOGARIVE!$A:$J,10,FALSE()),FALSE()))</f>
        <v/>
      </c>
      <c r="L89" s="97" t="str">
        <f aca="false">IF($D89="","",IFERROR(VLOOKUP($D89,PLANI_LLOGARIVE!$A:$G,7,FALSE()),"NUK EKZISTON"))</f>
        <v/>
      </c>
      <c r="M89" s="98" t="str">
        <f aca="false">IF($D89="","",IF(COUNTIF(PLANI_LLOGARIVE!$A:$A,$D89)=0,"ERROR - llogaria nuk ekziston",IF($K89=TRUE(),"OK","ERROR - llogari jo-postuese/Header")))</f>
        <v/>
      </c>
      <c r="N89" s="99" t="str">
        <f aca="false">IF(TRIM($C89)="","",IF(ABS(SUMIFS($F:$F,$C:$C,TRIM($C89))-SUMIFS($G:$G,$C:$C,TRIM($C89)))&lt;0.005,"OK","ERROR - debi/kredi"))</f>
        <v/>
      </c>
      <c r="O89" s="88"/>
      <c r="P89" s="88"/>
      <c r="Q89" s="88"/>
      <c r="R89" s="88"/>
      <c r="S89" s="100" t="str">
        <f aca="false">IF(D89="","",LEFT(D89&amp;"",2))</f>
        <v/>
      </c>
      <c r="T89" s="101" t="str">
        <f aca="false">IF(D89="","",LEFT(D89&amp;"",3))</f>
        <v/>
      </c>
    </row>
    <row r="90" customFormat="false" ht="14.25" hidden="false" customHeight="true" outlineLevel="0" collapsed="false">
      <c r="A90" s="89"/>
      <c r="B90" s="90"/>
      <c r="C90" s="90"/>
      <c r="D90" s="90"/>
      <c r="E90" s="91" t="str">
        <f aca="false">IFERROR(VLOOKUP(D90,PLANI_LLOGARIVE!$A:$B,2,FALSE()),"")</f>
        <v/>
      </c>
      <c r="F90" s="92"/>
      <c r="G90" s="93"/>
      <c r="H90" s="94"/>
      <c r="I90" s="95"/>
      <c r="J90" s="96" t="str">
        <f aca="false">IF(TRIM($C90)="","",IF($M90&lt;&gt;"OK",$M90,IF(ABS(SUMIFS($F:$F,$C:$C,TRIM($C90))-SUMIFS($G:$G,$C:$C,TRIM($C90)))&lt;0.005,"OK","ERROR - veprimi nuk balancohet")))</f>
        <v/>
      </c>
      <c r="K90" s="97" t="str">
        <f aca="false">IF($D90="","",IFERROR(VLOOKUP($D90,PLANI_LLOGARIVE!$A:$J,10,FALSE()),FALSE()))</f>
        <v/>
      </c>
      <c r="L90" s="97" t="str">
        <f aca="false">IF($D90="","",IFERROR(VLOOKUP($D90,PLANI_LLOGARIVE!$A:$G,7,FALSE()),"NUK EKZISTON"))</f>
        <v/>
      </c>
      <c r="M90" s="98" t="str">
        <f aca="false">IF($D90="","",IF(COUNTIF(PLANI_LLOGARIVE!$A:$A,$D90)=0,"ERROR - llogaria nuk ekziston",IF($K90=TRUE(),"OK","ERROR - llogari jo-postuese/Header")))</f>
        <v/>
      </c>
      <c r="N90" s="99" t="str">
        <f aca="false">IF(TRIM($C90)="","",IF(ABS(SUMIFS($F:$F,$C:$C,TRIM($C90))-SUMIFS($G:$G,$C:$C,TRIM($C90)))&lt;0.005,"OK","ERROR - debi/kredi"))</f>
        <v/>
      </c>
      <c r="O90" s="88"/>
      <c r="P90" s="88"/>
      <c r="Q90" s="88"/>
      <c r="R90" s="88"/>
      <c r="S90" s="100" t="str">
        <f aca="false">IF(D90="","",LEFT(D90&amp;"",2))</f>
        <v/>
      </c>
      <c r="T90" s="101" t="str">
        <f aca="false">IF(D90="","",LEFT(D90&amp;"",3))</f>
        <v/>
      </c>
    </row>
    <row r="91" customFormat="false" ht="14.25" hidden="false" customHeight="true" outlineLevel="0" collapsed="false">
      <c r="A91" s="89"/>
      <c r="B91" s="90"/>
      <c r="C91" s="90"/>
      <c r="D91" s="90"/>
      <c r="E91" s="91" t="str">
        <f aca="false">IFERROR(VLOOKUP(D91,PLANI_LLOGARIVE!$A:$B,2,FALSE()),"")</f>
        <v/>
      </c>
      <c r="F91" s="92"/>
      <c r="G91" s="93"/>
      <c r="H91" s="94"/>
      <c r="I91" s="95"/>
      <c r="J91" s="96" t="str">
        <f aca="false">IF(TRIM($C91)="","",IF($M91&lt;&gt;"OK",$M91,IF(ABS(SUMIFS($F:$F,$C:$C,TRIM($C91))-SUMIFS($G:$G,$C:$C,TRIM($C91)))&lt;0.005,"OK","ERROR - veprimi nuk balancohet")))</f>
        <v/>
      </c>
      <c r="K91" s="97" t="str">
        <f aca="false">IF($D91="","",IFERROR(VLOOKUP($D91,PLANI_LLOGARIVE!$A:$J,10,FALSE()),FALSE()))</f>
        <v/>
      </c>
      <c r="L91" s="97" t="str">
        <f aca="false">IF($D91="","",IFERROR(VLOOKUP($D91,PLANI_LLOGARIVE!$A:$G,7,FALSE()),"NUK EKZISTON"))</f>
        <v/>
      </c>
      <c r="M91" s="98" t="str">
        <f aca="false">IF($D91="","",IF(COUNTIF(PLANI_LLOGARIVE!$A:$A,$D91)=0,"ERROR - llogaria nuk ekziston",IF($K91=TRUE(),"OK","ERROR - llogari jo-postuese/Header")))</f>
        <v/>
      </c>
      <c r="N91" s="99" t="str">
        <f aca="false">IF(TRIM($C91)="","",IF(ABS(SUMIFS($F:$F,$C:$C,TRIM($C91))-SUMIFS($G:$G,$C:$C,TRIM($C91)))&lt;0.005,"OK","ERROR - debi/kredi"))</f>
        <v/>
      </c>
      <c r="O91" s="88"/>
      <c r="P91" s="88"/>
      <c r="Q91" s="88"/>
      <c r="R91" s="88"/>
      <c r="S91" s="100" t="str">
        <f aca="false">IF(D91="","",LEFT(D91&amp;"",2))</f>
        <v/>
      </c>
      <c r="T91" s="101" t="str">
        <f aca="false">IF(D91="","",LEFT(D91&amp;"",3))</f>
        <v/>
      </c>
    </row>
    <row r="92" customFormat="false" ht="14.25" hidden="false" customHeight="true" outlineLevel="0" collapsed="false">
      <c r="A92" s="89"/>
      <c r="B92" s="90"/>
      <c r="C92" s="90"/>
      <c r="D92" s="90"/>
      <c r="E92" s="91" t="str">
        <f aca="false">IFERROR(VLOOKUP(D92,PLANI_LLOGARIVE!$A:$B,2,FALSE()),"")</f>
        <v/>
      </c>
      <c r="F92" s="92"/>
      <c r="G92" s="93"/>
      <c r="H92" s="94"/>
      <c r="I92" s="95"/>
      <c r="J92" s="96" t="str">
        <f aca="false">IF(TRIM($C92)="","",IF($M92&lt;&gt;"OK",$M92,IF(ABS(SUMIFS($F:$F,$C:$C,TRIM($C92))-SUMIFS($G:$G,$C:$C,TRIM($C92)))&lt;0.005,"OK","ERROR - veprimi nuk balancohet")))</f>
        <v/>
      </c>
      <c r="K92" s="97" t="str">
        <f aca="false">IF($D92="","",IFERROR(VLOOKUP($D92,PLANI_LLOGARIVE!$A:$J,10,FALSE()),FALSE()))</f>
        <v/>
      </c>
      <c r="L92" s="97" t="str">
        <f aca="false">IF($D92="","",IFERROR(VLOOKUP($D92,PLANI_LLOGARIVE!$A:$G,7,FALSE()),"NUK EKZISTON"))</f>
        <v/>
      </c>
      <c r="M92" s="98" t="str">
        <f aca="false">IF($D92="","",IF(COUNTIF(PLANI_LLOGARIVE!$A:$A,$D92)=0,"ERROR - llogaria nuk ekziston",IF($K92=TRUE(),"OK","ERROR - llogari jo-postuese/Header")))</f>
        <v/>
      </c>
      <c r="N92" s="99" t="str">
        <f aca="false">IF(TRIM($C92)="","",IF(ABS(SUMIFS($F:$F,$C:$C,TRIM($C92))-SUMIFS($G:$G,$C:$C,TRIM($C92)))&lt;0.005,"OK","ERROR - debi/kredi"))</f>
        <v/>
      </c>
      <c r="O92" s="88"/>
      <c r="P92" s="88"/>
      <c r="Q92" s="88"/>
      <c r="R92" s="88"/>
      <c r="S92" s="100" t="str">
        <f aca="false">IF(D92="","",LEFT(D92&amp;"",2))</f>
        <v/>
      </c>
      <c r="T92" s="101" t="str">
        <f aca="false">IF(D92="","",LEFT(D92&amp;"",3))</f>
        <v/>
      </c>
    </row>
    <row r="93" customFormat="false" ht="14.25" hidden="false" customHeight="true" outlineLevel="0" collapsed="false">
      <c r="A93" s="89"/>
      <c r="B93" s="90"/>
      <c r="C93" s="90"/>
      <c r="D93" s="90"/>
      <c r="E93" s="91" t="str">
        <f aca="false">IFERROR(VLOOKUP(D93,PLANI_LLOGARIVE!$A:$B,2,FALSE()),"")</f>
        <v/>
      </c>
      <c r="F93" s="92"/>
      <c r="G93" s="93"/>
      <c r="H93" s="94"/>
      <c r="I93" s="95"/>
      <c r="J93" s="96" t="str">
        <f aca="false">IF(TRIM($C93)="","",IF($M93&lt;&gt;"OK",$M93,IF(ABS(SUMIFS($F:$F,$C:$C,TRIM($C93))-SUMIFS($G:$G,$C:$C,TRIM($C93)))&lt;0.005,"OK","ERROR - veprimi nuk balancohet")))</f>
        <v/>
      </c>
      <c r="K93" s="97" t="str">
        <f aca="false">IF($D93="","",IFERROR(VLOOKUP($D93,PLANI_LLOGARIVE!$A:$J,10,FALSE()),FALSE()))</f>
        <v/>
      </c>
      <c r="L93" s="97" t="str">
        <f aca="false">IF($D93="","",IFERROR(VLOOKUP($D93,PLANI_LLOGARIVE!$A:$G,7,FALSE()),"NUK EKZISTON"))</f>
        <v/>
      </c>
      <c r="M93" s="98" t="str">
        <f aca="false">IF($D93="","",IF(COUNTIF(PLANI_LLOGARIVE!$A:$A,$D93)=0,"ERROR - llogaria nuk ekziston",IF($K93=TRUE(),"OK","ERROR - llogari jo-postuese/Header")))</f>
        <v/>
      </c>
      <c r="N93" s="99" t="str">
        <f aca="false">IF(TRIM($C93)="","",IF(ABS(SUMIFS($F:$F,$C:$C,TRIM($C93))-SUMIFS($G:$G,$C:$C,TRIM($C93)))&lt;0.005,"OK","ERROR - debi/kredi"))</f>
        <v/>
      </c>
      <c r="O93" s="88"/>
      <c r="P93" s="88"/>
      <c r="Q93" s="88"/>
      <c r="R93" s="88"/>
      <c r="S93" s="100" t="str">
        <f aca="false">IF(D93="","",LEFT(D93&amp;"",2))</f>
        <v/>
      </c>
      <c r="T93" s="101" t="str">
        <f aca="false">IF(D93="","",LEFT(D93&amp;"",3))</f>
        <v/>
      </c>
    </row>
    <row r="94" customFormat="false" ht="14.25" hidden="false" customHeight="true" outlineLevel="0" collapsed="false">
      <c r="A94" s="89"/>
      <c r="B94" s="90"/>
      <c r="C94" s="90"/>
      <c r="D94" s="90"/>
      <c r="E94" s="91" t="str">
        <f aca="false">IFERROR(VLOOKUP(D94,PLANI_LLOGARIVE!$A:$B,2,FALSE()),"")</f>
        <v/>
      </c>
      <c r="F94" s="92"/>
      <c r="G94" s="93"/>
      <c r="H94" s="94"/>
      <c r="I94" s="95"/>
      <c r="J94" s="96" t="str">
        <f aca="false">IF(TRIM($C94)="","",IF($M94&lt;&gt;"OK",$M94,IF(ABS(SUMIFS($F:$F,$C:$C,TRIM($C94))-SUMIFS($G:$G,$C:$C,TRIM($C94)))&lt;0.005,"OK","ERROR - veprimi nuk balancohet")))</f>
        <v/>
      </c>
      <c r="K94" s="97" t="str">
        <f aca="false">IF($D94="","",IFERROR(VLOOKUP($D94,PLANI_LLOGARIVE!$A:$J,10,FALSE()),FALSE()))</f>
        <v/>
      </c>
      <c r="L94" s="97" t="str">
        <f aca="false">IF($D94="","",IFERROR(VLOOKUP($D94,PLANI_LLOGARIVE!$A:$G,7,FALSE()),"NUK EKZISTON"))</f>
        <v/>
      </c>
      <c r="M94" s="98" t="str">
        <f aca="false">IF($D94="","",IF(COUNTIF(PLANI_LLOGARIVE!$A:$A,$D94)=0,"ERROR - llogaria nuk ekziston",IF($K94=TRUE(),"OK","ERROR - llogari jo-postuese/Header")))</f>
        <v/>
      </c>
      <c r="N94" s="99" t="str">
        <f aca="false">IF(TRIM($C94)="","",IF(ABS(SUMIFS($F:$F,$C:$C,TRIM($C94))-SUMIFS($G:$G,$C:$C,TRIM($C94)))&lt;0.005,"OK","ERROR - debi/kredi"))</f>
        <v/>
      </c>
      <c r="O94" s="88"/>
      <c r="P94" s="88"/>
      <c r="Q94" s="88"/>
      <c r="R94" s="88"/>
      <c r="S94" s="100" t="str">
        <f aca="false">IF(D94="","",LEFT(D94&amp;"",2))</f>
        <v/>
      </c>
      <c r="T94" s="101" t="str">
        <f aca="false">IF(D94="","",LEFT(D94&amp;"",3))</f>
        <v/>
      </c>
    </row>
    <row r="95" customFormat="false" ht="14.25" hidden="false" customHeight="true" outlineLevel="0" collapsed="false">
      <c r="A95" s="89"/>
      <c r="B95" s="90"/>
      <c r="C95" s="90"/>
      <c r="D95" s="90"/>
      <c r="E95" s="91" t="str">
        <f aca="false">IFERROR(VLOOKUP(D95,PLANI_LLOGARIVE!$A:$B,2,FALSE()),"")</f>
        <v/>
      </c>
      <c r="F95" s="92"/>
      <c r="G95" s="93"/>
      <c r="H95" s="94"/>
      <c r="I95" s="95"/>
      <c r="J95" s="96" t="str">
        <f aca="false">IF(TRIM($C95)="","",IF($M95&lt;&gt;"OK",$M95,IF(ABS(SUMIFS($F:$F,$C:$C,TRIM($C95))-SUMIFS($G:$G,$C:$C,TRIM($C95)))&lt;0.005,"OK","ERROR - veprimi nuk balancohet")))</f>
        <v/>
      </c>
      <c r="K95" s="97" t="str">
        <f aca="false">IF($D95="","",IFERROR(VLOOKUP($D95,PLANI_LLOGARIVE!$A:$J,10,FALSE()),FALSE()))</f>
        <v/>
      </c>
      <c r="L95" s="97" t="str">
        <f aca="false">IF($D95="","",IFERROR(VLOOKUP($D95,PLANI_LLOGARIVE!$A:$G,7,FALSE()),"NUK EKZISTON"))</f>
        <v/>
      </c>
      <c r="M95" s="98" t="str">
        <f aca="false">IF($D95="","",IF(COUNTIF(PLANI_LLOGARIVE!$A:$A,$D95)=0,"ERROR - llogaria nuk ekziston",IF($K95=TRUE(),"OK","ERROR - llogari jo-postuese/Header")))</f>
        <v/>
      </c>
      <c r="N95" s="99" t="str">
        <f aca="false">IF(TRIM($C95)="","",IF(ABS(SUMIFS($F:$F,$C:$C,TRIM($C95))-SUMIFS($G:$G,$C:$C,TRIM($C95)))&lt;0.005,"OK","ERROR - debi/kredi"))</f>
        <v/>
      </c>
      <c r="O95" s="88"/>
      <c r="P95" s="88"/>
      <c r="Q95" s="88"/>
      <c r="R95" s="88"/>
      <c r="S95" s="100" t="str">
        <f aca="false">IF(D95="","",LEFT(D95&amp;"",2))</f>
        <v/>
      </c>
      <c r="T95" s="101" t="str">
        <f aca="false">IF(D95="","",LEFT(D95&amp;"",3))</f>
        <v/>
      </c>
    </row>
    <row r="96" customFormat="false" ht="14.25" hidden="false" customHeight="true" outlineLevel="0" collapsed="false">
      <c r="A96" s="89"/>
      <c r="B96" s="90"/>
      <c r="C96" s="90"/>
      <c r="D96" s="90"/>
      <c r="E96" s="91" t="str">
        <f aca="false">IFERROR(VLOOKUP(D96,PLANI_LLOGARIVE!$A:$B,2,FALSE()),"")</f>
        <v/>
      </c>
      <c r="F96" s="92"/>
      <c r="G96" s="93"/>
      <c r="H96" s="94"/>
      <c r="I96" s="95"/>
      <c r="J96" s="96" t="str">
        <f aca="false">IF(TRIM($C96)="","",IF($M96&lt;&gt;"OK",$M96,IF(ABS(SUMIFS($F:$F,$C:$C,TRIM($C96))-SUMIFS($G:$G,$C:$C,TRIM($C96)))&lt;0.005,"OK","ERROR - veprimi nuk balancohet")))</f>
        <v/>
      </c>
      <c r="K96" s="97" t="str">
        <f aca="false">IF($D96="","",IFERROR(VLOOKUP($D96,PLANI_LLOGARIVE!$A:$J,10,FALSE()),FALSE()))</f>
        <v/>
      </c>
      <c r="L96" s="97" t="str">
        <f aca="false">IF($D96="","",IFERROR(VLOOKUP($D96,PLANI_LLOGARIVE!$A:$G,7,FALSE()),"NUK EKZISTON"))</f>
        <v/>
      </c>
      <c r="M96" s="98" t="str">
        <f aca="false">IF($D96="","",IF(COUNTIF(PLANI_LLOGARIVE!$A:$A,$D96)=0,"ERROR - llogaria nuk ekziston",IF($K96=TRUE(),"OK","ERROR - llogari jo-postuese/Header")))</f>
        <v/>
      </c>
      <c r="N96" s="99" t="str">
        <f aca="false">IF(TRIM($C96)="","",IF(ABS(SUMIFS($F:$F,$C:$C,TRIM($C96))-SUMIFS($G:$G,$C:$C,TRIM($C96)))&lt;0.005,"OK","ERROR - debi/kredi"))</f>
        <v/>
      </c>
      <c r="O96" s="88"/>
      <c r="P96" s="88"/>
      <c r="Q96" s="88"/>
      <c r="R96" s="88"/>
      <c r="S96" s="100" t="str">
        <f aca="false">IF(D96="","",LEFT(D96&amp;"",2))</f>
        <v/>
      </c>
      <c r="T96" s="101" t="str">
        <f aca="false">IF(D96="","",LEFT(D96&amp;"",3))</f>
        <v/>
      </c>
    </row>
    <row r="97" customFormat="false" ht="14.25" hidden="false" customHeight="true" outlineLevel="0" collapsed="false">
      <c r="A97" s="89"/>
      <c r="B97" s="90"/>
      <c r="C97" s="90"/>
      <c r="D97" s="90"/>
      <c r="E97" s="91" t="str">
        <f aca="false">IFERROR(VLOOKUP(D97,PLANI_LLOGARIVE!$A:$B,2,FALSE()),"")</f>
        <v/>
      </c>
      <c r="F97" s="92"/>
      <c r="G97" s="93"/>
      <c r="H97" s="94"/>
      <c r="I97" s="95"/>
      <c r="J97" s="96" t="str">
        <f aca="false">IF(TRIM($C97)="","",IF($M97&lt;&gt;"OK",$M97,IF(ABS(SUMIFS($F:$F,$C:$C,TRIM($C97))-SUMIFS($G:$G,$C:$C,TRIM($C97)))&lt;0.005,"OK","ERROR - veprimi nuk balancohet")))</f>
        <v/>
      </c>
      <c r="K97" s="97" t="str">
        <f aca="false">IF($D97="","",IFERROR(VLOOKUP($D97,PLANI_LLOGARIVE!$A:$J,10,FALSE()),FALSE()))</f>
        <v/>
      </c>
      <c r="L97" s="97" t="str">
        <f aca="false">IF($D97="","",IFERROR(VLOOKUP($D97,PLANI_LLOGARIVE!$A:$G,7,FALSE()),"NUK EKZISTON"))</f>
        <v/>
      </c>
      <c r="M97" s="98" t="str">
        <f aca="false">IF($D97="","",IF(COUNTIF(PLANI_LLOGARIVE!$A:$A,$D97)=0,"ERROR - llogaria nuk ekziston",IF($K97=TRUE(),"OK","ERROR - llogari jo-postuese/Header")))</f>
        <v/>
      </c>
      <c r="N97" s="99" t="str">
        <f aca="false">IF(TRIM($C97)="","",IF(ABS(SUMIFS($F:$F,$C:$C,TRIM($C97))-SUMIFS($G:$G,$C:$C,TRIM($C97)))&lt;0.005,"OK","ERROR - debi/kredi"))</f>
        <v/>
      </c>
      <c r="O97" s="88"/>
      <c r="P97" s="88"/>
      <c r="Q97" s="88"/>
      <c r="R97" s="88"/>
      <c r="S97" s="100" t="str">
        <f aca="false">IF(D97="","",LEFT(D97&amp;"",2))</f>
        <v/>
      </c>
      <c r="T97" s="101" t="str">
        <f aca="false">IF(D97="","",LEFT(D97&amp;"",3))</f>
        <v/>
      </c>
    </row>
    <row r="98" customFormat="false" ht="14.25" hidden="false" customHeight="true" outlineLevel="0" collapsed="false">
      <c r="A98" s="89"/>
      <c r="B98" s="90"/>
      <c r="C98" s="90"/>
      <c r="D98" s="90"/>
      <c r="E98" s="91" t="str">
        <f aca="false">IFERROR(VLOOKUP(D98,PLANI_LLOGARIVE!$A:$B,2,FALSE()),"")</f>
        <v/>
      </c>
      <c r="F98" s="92"/>
      <c r="G98" s="93"/>
      <c r="H98" s="94"/>
      <c r="I98" s="95"/>
      <c r="J98" s="96" t="str">
        <f aca="false">IF(TRIM($C98)="","",IF($M98&lt;&gt;"OK",$M98,IF(ABS(SUMIFS($F:$F,$C:$C,TRIM($C98))-SUMIFS($G:$G,$C:$C,TRIM($C98)))&lt;0.005,"OK","ERROR - veprimi nuk balancohet")))</f>
        <v/>
      </c>
      <c r="K98" s="97" t="str">
        <f aca="false">IF($D98="","",IFERROR(VLOOKUP($D98,PLANI_LLOGARIVE!$A:$J,10,FALSE()),FALSE()))</f>
        <v/>
      </c>
      <c r="L98" s="97" t="str">
        <f aca="false">IF($D98="","",IFERROR(VLOOKUP($D98,PLANI_LLOGARIVE!$A:$G,7,FALSE()),"NUK EKZISTON"))</f>
        <v/>
      </c>
      <c r="M98" s="98" t="str">
        <f aca="false">IF($D98="","",IF(COUNTIF(PLANI_LLOGARIVE!$A:$A,$D98)=0,"ERROR - llogaria nuk ekziston",IF($K98=TRUE(),"OK","ERROR - llogari jo-postuese/Header")))</f>
        <v/>
      </c>
      <c r="N98" s="99" t="str">
        <f aca="false">IF(TRIM($C98)="","",IF(ABS(SUMIFS($F:$F,$C:$C,TRIM($C98))-SUMIFS($G:$G,$C:$C,TRIM($C98)))&lt;0.005,"OK","ERROR - debi/kredi"))</f>
        <v/>
      </c>
      <c r="O98" s="88"/>
      <c r="P98" s="88"/>
      <c r="Q98" s="88"/>
      <c r="R98" s="88"/>
      <c r="S98" s="100" t="str">
        <f aca="false">IF(D98="","",LEFT(D98&amp;"",2))</f>
        <v/>
      </c>
      <c r="T98" s="101" t="str">
        <f aca="false">IF(D98="","",LEFT(D98&amp;"",3))</f>
        <v/>
      </c>
    </row>
    <row r="99" customFormat="false" ht="14.25" hidden="false" customHeight="true" outlineLevel="0" collapsed="false">
      <c r="A99" s="89"/>
      <c r="B99" s="90"/>
      <c r="C99" s="90"/>
      <c r="D99" s="90"/>
      <c r="E99" s="91" t="str">
        <f aca="false">IFERROR(VLOOKUP(D99,PLANI_LLOGARIVE!$A:$B,2,FALSE()),"")</f>
        <v/>
      </c>
      <c r="F99" s="92"/>
      <c r="G99" s="93"/>
      <c r="H99" s="94"/>
      <c r="I99" s="95"/>
      <c r="J99" s="96" t="str">
        <f aca="false">IF(TRIM($C99)="","",IF($M99&lt;&gt;"OK",$M99,IF(ABS(SUMIFS($F:$F,$C:$C,TRIM($C99))-SUMIFS($G:$G,$C:$C,TRIM($C99)))&lt;0.005,"OK","ERROR - veprimi nuk balancohet")))</f>
        <v/>
      </c>
      <c r="K99" s="97" t="str">
        <f aca="false">IF($D99="","",IFERROR(VLOOKUP($D99,PLANI_LLOGARIVE!$A:$J,10,FALSE()),FALSE()))</f>
        <v/>
      </c>
      <c r="L99" s="97" t="str">
        <f aca="false">IF($D99="","",IFERROR(VLOOKUP($D99,PLANI_LLOGARIVE!$A:$G,7,FALSE()),"NUK EKZISTON"))</f>
        <v/>
      </c>
      <c r="M99" s="98" t="str">
        <f aca="false">IF($D99="","",IF(COUNTIF(PLANI_LLOGARIVE!$A:$A,$D99)=0,"ERROR - llogaria nuk ekziston",IF($K99=TRUE(),"OK","ERROR - llogari jo-postuese/Header")))</f>
        <v/>
      </c>
      <c r="N99" s="99" t="str">
        <f aca="false">IF(TRIM($C99)="","",IF(ABS(SUMIFS($F:$F,$C:$C,TRIM($C99))-SUMIFS($G:$G,$C:$C,TRIM($C99)))&lt;0.005,"OK","ERROR - debi/kredi"))</f>
        <v/>
      </c>
      <c r="O99" s="88"/>
      <c r="P99" s="88"/>
      <c r="Q99" s="88"/>
      <c r="R99" s="88"/>
      <c r="S99" s="100" t="str">
        <f aca="false">IF(D99="","",LEFT(D99&amp;"",2))</f>
        <v/>
      </c>
      <c r="T99" s="101" t="str">
        <f aca="false">IF(D99="","",LEFT(D99&amp;"",3))</f>
        <v/>
      </c>
    </row>
    <row r="100" customFormat="false" ht="14.25" hidden="false" customHeight="true" outlineLevel="0" collapsed="false">
      <c r="A100" s="89"/>
      <c r="B100" s="90"/>
      <c r="C100" s="90"/>
      <c r="D100" s="90"/>
      <c r="E100" s="91" t="str">
        <f aca="false">IFERROR(VLOOKUP(D100,PLANI_LLOGARIVE!$A:$B,2,FALSE()),"")</f>
        <v/>
      </c>
      <c r="F100" s="92"/>
      <c r="G100" s="93"/>
      <c r="H100" s="94"/>
      <c r="I100" s="95"/>
      <c r="J100" s="96" t="str">
        <f aca="false">IF(TRIM($C100)="","",IF($M100&lt;&gt;"OK",$M100,IF(ABS(SUMIFS($F:$F,$C:$C,TRIM($C100))-SUMIFS($G:$G,$C:$C,TRIM($C100)))&lt;0.005,"OK","ERROR - veprimi nuk balancohet")))</f>
        <v/>
      </c>
      <c r="K100" s="97" t="str">
        <f aca="false">IF($D100="","",IFERROR(VLOOKUP($D100,PLANI_LLOGARIVE!$A:$J,10,FALSE()),FALSE()))</f>
        <v/>
      </c>
      <c r="L100" s="97" t="str">
        <f aca="false">IF($D100="","",IFERROR(VLOOKUP($D100,PLANI_LLOGARIVE!$A:$G,7,FALSE()),"NUK EKZISTON"))</f>
        <v/>
      </c>
      <c r="M100" s="98" t="str">
        <f aca="false">IF($D100="","",IF(COUNTIF(PLANI_LLOGARIVE!$A:$A,$D100)=0,"ERROR - llogaria nuk ekziston",IF($K100=TRUE(),"OK","ERROR - llogari jo-postuese/Header")))</f>
        <v/>
      </c>
      <c r="N100" s="99" t="str">
        <f aca="false">IF(TRIM($C100)="","",IF(ABS(SUMIFS($F:$F,$C:$C,TRIM($C100))-SUMIFS($G:$G,$C:$C,TRIM($C100)))&lt;0.005,"OK","ERROR - debi/kredi"))</f>
        <v/>
      </c>
      <c r="O100" s="88"/>
      <c r="P100" s="88"/>
      <c r="Q100" s="88"/>
      <c r="R100" s="88"/>
      <c r="S100" s="100" t="str">
        <f aca="false">IF(D100="","",LEFT(D100&amp;"",2))</f>
        <v/>
      </c>
      <c r="T100" s="101" t="str">
        <f aca="false">IF(D100="","",LEFT(D100&amp;"",3))</f>
        <v/>
      </c>
    </row>
    <row r="101" customFormat="false" ht="14.25" hidden="false" customHeight="true" outlineLevel="0" collapsed="false">
      <c r="A101" s="89"/>
      <c r="B101" s="90"/>
      <c r="C101" s="90"/>
      <c r="D101" s="90"/>
      <c r="E101" s="91" t="str">
        <f aca="false">IFERROR(VLOOKUP(D101,PLANI_LLOGARIVE!$A:$B,2,FALSE()),"")</f>
        <v/>
      </c>
      <c r="F101" s="92"/>
      <c r="G101" s="93"/>
      <c r="H101" s="94"/>
      <c r="I101" s="95"/>
      <c r="J101" s="96" t="str">
        <f aca="false">IF(TRIM($C101)="","",IF($M101&lt;&gt;"OK",$M101,IF(ABS(SUMIFS($F:$F,$C:$C,TRIM($C101))-SUMIFS($G:$G,$C:$C,TRIM($C101)))&lt;0.005,"OK","ERROR - veprimi nuk balancohet")))</f>
        <v/>
      </c>
      <c r="K101" s="97" t="str">
        <f aca="false">IF($D101="","",IFERROR(VLOOKUP($D101,PLANI_LLOGARIVE!$A:$J,10,FALSE()),FALSE()))</f>
        <v/>
      </c>
      <c r="L101" s="97" t="str">
        <f aca="false">IF($D101="","",IFERROR(VLOOKUP($D101,PLANI_LLOGARIVE!$A:$G,7,FALSE()),"NUK EKZISTON"))</f>
        <v/>
      </c>
      <c r="M101" s="98" t="str">
        <f aca="false">IF($D101="","",IF(COUNTIF(PLANI_LLOGARIVE!$A:$A,$D101)=0,"ERROR - llogaria nuk ekziston",IF($K101=TRUE(),"OK","ERROR - llogari jo-postuese/Header")))</f>
        <v/>
      </c>
      <c r="N101" s="99" t="str">
        <f aca="false">IF(TRIM($C101)="","",IF(ABS(SUMIFS($F:$F,$C:$C,TRIM($C101))-SUMIFS($G:$G,$C:$C,TRIM($C101)))&lt;0.005,"OK","ERROR - debi/kredi"))</f>
        <v/>
      </c>
      <c r="O101" s="88"/>
      <c r="P101" s="88"/>
      <c r="Q101" s="88"/>
      <c r="R101" s="88"/>
      <c r="S101" s="100" t="str">
        <f aca="false">IF(D101="","",LEFT(D101&amp;"",2))</f>
        <v/>
      </c>
      <c r="T101" s="101" t="str">
        <f aca="false">IF(D101="","",LEFT(D101&amp;"",3))</f>
        <v/>
      </c>
    </row>
    <row r="102" customFormat="false" ht="14.25" hidden="false" customHeight="true" outlineLevel="0" collapsed="false">
      <c r="A102" s="89"/>
      <c r="B102" s="90"/>
      <c r="C102" s="90"/>
      <c r="D102" s="90"/>
      <c r="E102" s="91" t="str">
        <f aca="false">IFERROR(VLOOKUP(D102,PLANI_LLOGARIVE!$A:$B,2,FALSE()),"")</f>
        <v/>
      </c>
      <c r="F102" s="92"/>
      <c r="G102" s="93"/>
      <c r="H102" s="94"/>
      <c r="I102" s="95"/>
      <c r="J102" s="96" t="str">
        <f aca="false">IF(TRIM($C102)="","",IF($M102&lt;&gt;"OK",$M102,IF(ABS(SUMIFS($F:$F,$C:$C,TRIM($C102))-SUMIFS($G:$G,$C:$C,TRIM($C102)))&lt;0.005,"OK","ERROR - veprimi nuk balancohet")))</f>
        <v/>
      </c>
      <c r="K102" s="97" t="str">
        <f aca="false">IF($D102="","",IFERROR(VLOOKUP($D102,PLANI_LLOGARIVE!$A:$J,10,FALSE()),FALSE()))</f>
        <v/>
      </c>
      <c r="L102" s="97" t="str">
        <f aca="false">IF($D102="","",IFERROR(VLOOKUP($D102,PLANI_LLOGARIVE!$A:$G,7,FALSE()),"NUK EKZISTON"))</f>
        <v/>
      </c>
      <c r="M102" s="98" t="str">
        <f aca="false">IF($D102="","",IF(COUNTIF(PLANI_LLOGARIVE!$A:$A,$D102)=0,"ERROR - llogaria nuk ekziston",IF($K102=TRUE(),"OK","ERROR - llogari jo-postuese/Header")))</f>
        <v/>
      </c>
      <c r="N102" s="99" t="str">
        <f aca="false">IF(TRIM($C102)="","",IF(ABS(SUMIFS($F:$F,$C:$C,TRIM($C102))-SUMIFS($G:$G,$C:$C,TRIM($C102)))&lt;0.005,"OK","ERROR - debi/kredi"))</f>
        <v/>
      </c>
      <c r="O102" s="88"/>
      <c r="P102" s="88"/>
      <c r="Q102" s="88"/>
      <c r="R102" s="88"/>
      <c r="S102" s="100" t="str">
        <f aca="false">IF(D102="","",LEFT(D102&amp;"",2))</f>
        <v/>
      </c>
      <c r="T102" s="101" t="str">
        <f aca="false">IF(D102="","",LEFT(D102&amp;"",3))</f>
        <v/>
      </c>
    </row>
    <row r="103" customFormat="false" ht="14.25" hidden="false" customHeight="true" outlineLevel="0" collapsed="false">
      <c r="A103" s="89"/>
      <c r="B103" s="90"/>
      <c r="C103" s="90"/>
      <c r="D103" s="90"/>
      <c r="E103" s="91" t="str">
        <f aca="false">IFERROR(VLOOKUP(D103,PLANI_LLOGARIVE!$A:$B,2,FALSE()),"")</f>
        <v/>
      </c>
      <c r="F103" s="92"/>
      <c r="G103" s="93"/>
      <c r="H103" s="94"/>
      <c r="I103" s="95"/>
      <c r="J103" s="96" t="str">
        <f aca="false">IF(TRIM($C103)="","",IF($M103&lt;&gt;"OK",$M103,IF(ABS(SUMIFS($F:$F,$C:$C,TRIM($C103))-SUMIFS($G:$G,$C:$C,TRIM($C103)))&lt;0.005,"OK","ERROR - veprimi nuk balancohet")))</f>
        <v/>
      </c>
      <c r="K103" s="97" t="str">
        <f aca="false">IF($D103="","",IFERROR(VLOOKUP($D103,PLANI_LLOGARIVE!$A:$J,10,FALSE()),FALSE()))</f>
        <v/>
      </c>
      <c r="L103" s="97" t="str">
        <f aca="false">IF($D103="","",IFERROR(VLOOKUP($D103,PLANI_LLOGARIVE!$A:$G,7,FALSE()),"NUK EKZISTON"))</f>
        <v/>
      </c>
      <c r="M103" s="98" t="str">
        <f aca="false">IF($D103="","",IF(COUNTIF(PLANI_LLOGARIVE!$A:$A,$D103)=0,"ERROR - llogaria nuk ekziston",IF($K103=TRUE(),"OK","ERROR - llogari jo-postuese/Header")))</f>
        <v/>
      </c>
      <c r="N103" s="99" t="str">
        <f aca="false">IF(TRIM($C103)="","",IF(ABS(SUMIFS($F:$F,$C:$C,TRIM($C103))-SUMIFS($G:$G,$C:$C,TRIM($C103)))&lt;0.005,"OK","ERROR - debi/kredi"))</f>
        <v/>
      </c>
      <c r="O103" s="88"/>
      <c r="P103" s="88"/>
      <c r="Q103" s="88"/>
      <c r="R103" s="88"/>
      <c r="S103" s="100" t="str">
        <f aca="false">IF(D103="","",LEFT(D103&amp;"",2))</f>
        <v/>
      </c>
      <c r="T103" s="101" t="str">
        <f aca="false">IF(D103="","",LEFT(D103&amp;"",3))</f>
        <v/>
      </c>
    </row>
    <row r="104" customFormat="false" ht="14.25" hidden="false" customHeight="true" outlineLevel="0" collapsed="false">
      <c r="A104" s="89"/>
      <c r="B104" s="90"/>
      <c r="C104" s="90"/>
      <c r="D104" s="90"/>
      <c r="E104" s="91" t="str">
        <f aca="false">IFERROR(VLOOKUP(D104,PLANI_LLOGARIVE!$A:$B,2,FALSE()),"")</f>
        <v/>
      </c>
      <c r="F104" s="92"/>
      <c r="G104" s="93"/>
      <c r="H104" s="94"/>
      <c r="I104" s="95"/>
      <c r="J104" s="96" t="str">
        <f aca="false">IF(TRIM($C104)="","",IF($M104&lt;&gt;"OK",$M104,IF(ABS(SUMIFS($F:$F,$C:$C,TRIM($C104))-SUMIFS($G:$G,$C:$C,TRIM($C104)))&lt;0.005,"OK","ERROR - veprimi nuk balancohet")))</f>
        <v/>
      </c>
      <c r="K104" s="97" t="str">
        <f aca="false">IF($D104="","",IFERROR(VLOOKUP($D104,PLANI_LLOGARIVE!$A:$J,10,FALSE()),FALSE()))</f>
        <v/>
      </c>
      <c r="L104" s="97" t="str">
        <f aca="false">IF($D104="","",IFERROR(VLOOKUP($D104,PLANI_LLOGARIVE!$A:$G,7,FALSE()),"NUK EKZISTON"))</f>
        <v/>
      </c>
      <c r="M104" s="98" t="str">
        <f aca="false">IF($D104="","",IF(COUNTIF(PLANI_LLOGARIVE!$A:$A,$D104)=0,"ERROR - llogaria nuk ekziston",IF($K104=TRUE(),"OK","ERROR - llogari jo-postuese/Header")))</f>
        <v/>
      </c>
      <c r="N104" s="99" t="str">
        <f aca="false">IF(TRIM($C104)="","",IF(ABS(SUMIFS($F:$F,$C:$C,TRIM($C104))-SUMIFS($G:$G,$C:$C,TRIM($C104)))&lt;0.005,"OK","ERROR - debi/kredi"))</f>
        <v/>
      </c>
      <c r="O104" s="88"/>
      <c r="P104" s="88"/>
      <c r="Q104" s="88"/>
      <c r="R104" s="88"/>
      <c r="S104" s="100" t="str">
        <f aca="false">IF(D104="","",LEFT(D104&amp;"",2))</f>
        <v/>
      </c>
      <c r="T104" s="101" t="str">
        <f aca="false">IF(D104="","",LEFT(D104&amp;"",3))</f>
        <v/>
      </c>
    </row>
    <row r="105" customFormat="false" ht="14.25" hidden="false" customHeight="true" outlineLevel="0" collapsed="false">
      <c r="A105" s="89"/>
      <c r="B105" s="90"/>
      <c r="C105" s="90"/>
      <c r="D105" s="90"/>
      <c r="E105" s="91" t="str">
        <f aca="false">IFERROR(VLOOKUP(D105,PLANI_LLOGARIVE!$A:$B,2,FALSE()),"")</f>
        <v/>
      </c>
      <c r="F105" s="92"/>
      <c r="G105" s="93"/>
      <c r="H105" s="94"/>
      <c r="I105" s="95"/>
      <c r="J105" s="96" t="str">
        <f aca="false">IF(TRIM($C105)="","",IF($M105&lt;&gt;"OK",$M105,IF(ABS(SUMIFS($F:$F,$C:$C,TRIM($C105))-SUMIFS($G:$G,$C:$C,TRIM($C105)))&lt;0.005,"OK","ERROR - veprimi nuk balancohet")))</f>
        <v/>
      </c>
      <c r="K105" s="97" t="str">
        <f aca="false">IF($D105="","",IFERROR(VLOOKUP($D105,PLANI_LLOGARIVE!$A:$J,10,FALSE()),FALSE()))</f>
        <v/>
      </c>
      <c r="L105" s="97" t="str">
        <f aca="false">IF($D105="","",IFERROR(VLOOKUP($D105,PLANI_LLOGARIVE!$A:$G,7,FALSE()),"NUK EKZISTON"))</f>
        <v/>
      </c>
      <c r="M105" s="98" t="str">
        <f aca="false">IF($D105="","",IF(COUNTIF(PLANI_LLOGARIVE!$A:$A,$D105)=0,"ERROR - llogaria nuk ekziston",IF($K105=TRUE(),"OK","ERROR - llogari jo-postuese/Header")))</f>
        <v/>
      </c>
      <c r="N105" s="99" t="str">
        <f aca="false">IF(TRIM($C105)="","",IF(ABS(SUMIFS($F:$F,$C:$C,TRIM($C105))-SUMIFS($G:$G,$C:$C,TRIM($C105)))&lt;0.005,"OK","ERROR - debi/kredi"))</f>
        <v/>
      </c>
      <c r="O105" s="88"/>
      <c r="P105" s="88"/>
      <c r="Q105" s="88"/>
      <c r="R105" s="88"/>
      <c r="S105" s="100" t="str">
        <f aca="false">IF(D105="","",LEFT(D105&amp;"",2))</f>
        <v/>
      </c>
      <c r="T105" s="101" t="str">
        <f aca="false">IF(D105="","",LEFT(D105&amp;"",3))</f>
        <v/>
      </c>
    </row>
    <row r="106" customFormat="false" ht="14.25" hidden="false" customHeight="true" outlineLevel="0" collapsed="false">
      <c r="A106" s="89"/>
      <c r="B106" s="90"/>
      <c r="C106" s="90"/>
      <c r="D106" s="90"/>
      <c r="E106" s="91" t="str">
        <f aca="false">IFERROR(VLOOKUP(D106,PLANI_LLOGARIVE!$A:$B,2,FALSE()),"")</f>
        <v/>
      </c>
      <c r="F106" s="92"/>
      <c r="G106" s="93"/>
      <c r="H106" s="94"/>
      <c r="I106" s="95"/>
      <c r="J106" s="96" t="str">
        <f aca="false">IF(TRIM($C106)="","",IF($M106&lt;&gt;"OK",$M106,IF(ABS(SUMIFS($F:$F,$C:$C,TRIM($C106))-SUMIFS($G:$G,$C:$C,TRIM($C106)))&lt;0.005,"OK","ERROR - veprimi nuk balancohet")))</f>
        <v/>
      </c>
      <c r="K106" s="97" t="str">
        <f aca="false">IF($D106="","",IFERROR(VLOOKUP($D106,PLANI_LLOGARIVE!$A:$J,10,FALSE()),FALSE()))</f>
        <v/>
      </c>
      <c r="L106" s="97" t="str">
        <f aca="false">IF($D106="","",IFERROR(VLOOKUP($D106,PLANI_LLOGARIVE!$A:$G,7,FALSE()),"NUK EKZISTON"))</f>
        <v/>
      </c>
      <c r="M106" s="98" t="str">
        <f aca="false">IF($D106="","",IF(COUNTIF(PLANI_LLOGARIVE!$A:$A,$D106)=0,"ERROR - llogaria nuk ekziston",IF($K106=TRUE(),"OK","ERROR - llogari jo-postuese/Header")))</f>
        <v/>
      </c>
      <c r="N106" s="99" t="str">
        <f aca="false">IF(TRIM($C106)="","",IF(ABS(SUMIFS($F:$F,$C:$C,TRIM($C106))-SUMIFS($G:$G,$C:$C,TRIM($C106)))&lt;0.005,"OK","ERROR - debi/kredi"))</f>
        <v/>
      </c>
      <c r="O106" s="88"/>
      <c r="P106" s="88"/>
      <c r="Q106" s="88"/>
      <c r="R106" s="88"/>
      <c r="S106" s="100" t="str">
        <f aca="false">IF(D106="","",LEFT(D106&amp;"",2))</f>
        <v/>
      </c>
      <c r="T106" s="101" t="str">
        <f aca="false">IF(D106="","",LEFT(D106&amp;"",3))</f>
        <v/>
      </c>
    </row>
    <row r="107" customFormat="false" ht="14.25" hidden="false" customHeight="true" outlineLevel="0" collapsed="false">
      <c r="A107" s="89"/>
      <c r="B107" s="90"/>
      <c r="C107" s="90"/>
      <c r="D107" s="90"/>
      <c r="E107" s="91" t="str">
        <f aca="false">IFERROR(VLOOKUP(D107,PLANI_LLOGARIVE!$A:$B,2,FALSE()),"")</f>
        <v/>
      </c>
      <c r="F107" s="92"/>
      <c r="G107" s="93"/>
      <c r="H107" s="94"/>
      <c r="I107" s="95"/>
      <c r="J107" s="96" t="str">
        <f aca="false">IF(TRIM($C107)="","",IF($M107&lt;&gt;"OK",$M107,IF(ABS(SUMIFS($F:$F,$C:$C,TRIM($C107))-SUMIFS($G:$G,$C:$C,TRIM($C107)))&lt;0.005,"OK","ERROR - veprimi nuk balancohet")))</f>
        <v/>
      </c>
      <c r="K107" s="97" t="str">
        <f aca="false">IF($D107="","",IFERROR(VLOOKUP($D107,PLANI_LLOGARIVE!$A:$J,10,FALSE()),FALSE()))</f>
        <v/>
      </c>
      <c r="L107" s="97" t="str">
        <f aca="false">IF($D107="","",IFERROR(VLOOKUP($D107,PLANI_LLOGARIVE!$A:$G,7,FALSE()),"NUK EKZISTON"))</f>
        <v/>
      </c>
      <c r="M107" s="98" t="str">
        <f aca="false">IF($D107="","",IF(COUNTIF(PLANI_LLOGARIVE!$A:$A,$D107)=0,"ERROR - llogaria nuk ekziston",IF($K107=TRUE(),"OK","ERROR - llogari jo-postuese/Header")))</f>
        <v/>
      </c>
      <c r="N107" s="99" t="str">
        <f aca="false">IF(TRIM($C107)="","",IF(ABS(SUMIFS($F:$F,$C:$C,TRIM($C107))-SUMIFS($G:$G,$C:$C,TRIM($C107)))&lt;0.005,"OK","ERROR - debi/kredi"))</f>
        <v/>
      </c>
      <c r="O107" s="88"/>
      <c r="P107" s="88"/>
      <c r="Q107" s="88"/>
      <c r="R107" s="88"/>
      <c r="S107" s="100" t="str">
        <f aca="false">IF(D107="","",LEFT(D107&amp;"",2))</f>
        <v/>
      </c>
      <c r="T107" s="101" t="str">
        <f aca="false">IF(D107="","",LEFT(D107&amp;"",3))</f>
        <v/>
      </c>
    </row>
    <row r="108" customFormat="false" ht="14.25" hidden="false" customHeight="true" outlineLevel="0" collapsed="false">
      <c r="A108" s="89"/>
      <c r="B108" s="90"/>
      <c r="C108" s="90"/>
      <c r="D108" s="90"/>
      <c r="E108" s="91" t="str">
        <f aca="false">IFERROR(VLOOKUP(D108,PLANI_LLOGARIVE!$A:$B,2,FALSE()),"")</f>
        <v/>
      </c>
      <c r="F108" s="92"/>
      <c r="G108" s="93"/>
      <c r="H108" s="94"/>
      <c r="I108" s="95"/>
      <c r="J108" s="96" t="str">
        <f aca="false">IF(TRIM($C108)="","",IF($M108&lt;&gt;"OK",$M108,IF(ABS(SUMIFS($F:$F,$C:$C,TRIM($C108))-SUMIFS($G:$G,$C:$C,TRIM($C108)))&lt;0.005,"OK","ERROR - veprimi nuk balancohet")))</f>
        <v/>
      </c>
      <c r="K108" s="97" t="str">
        <f aca="false">IF($D108="","",IFERROR(VLOOKUP($D108,PLANI_LLOGARIVE!$A:$J,10,FALSE()),FALSE()))</f>
        <v/>
      </c>
      <c r="L108" s="97" t="str">
        <f aca="false">IF($D108="","",IFERROR(VLOOKUP($D108,PLANI_LLOGARIVE!$A:$G,7,FALSE()),"NUK EKZISTON"))</f>
        <v/>
      </c>
      <c r="M108" s="98" t="str">
        <f aca="false">IF($D108="","",IF(COUNTIF(PLANI_LLOGARIVE!$A:$A,$D108)=0,"ERROR - llogaria nuk ekziston",IF($K108=TRUE(),"OK","ERROR - llogari jo-postuese/Header")))</f>
        <v/>
      </c>
      <c r="N108" s="99" t="str">
        <f aca="false">IF(TRIM($C108)="","",IF(ABS(SUMIFS($F:$F,$C:$C,TRIM($C108))-SUMIFS($G:$G,$C:$C,TRIM($C108)))&lt;0.005,"OK","ERROR - debi/kredi"))</f>
        <v/>
      </c>
      <c r="O108" s="88"/>
      <c r="P108" s="88"/>
      <c r="Q108" s="88"/>
      <c r="R108" s="88"/>
      <c r="S108" s="100" t="str">
        <f aca="false">IF(D108="","",LEFT(D108&amp;"",2))</f>
        <v/>
      </c>
      <c r="T108" s="101" t="str">
        <f aca="false">IF(D108="","",LEFT(D108&amp;"",3))</f>
        <v/>
      </c>
    </row>
    <row r="109" customFormat="false" ht="14.25" hidden="false" customHeight="true" outlineLevel="0" collapsed="false">
      <c r="A109" s="89"/>
      <c r="B109" s="90"/>
      <c r="C109" s="90"/>
      <c r="D109" s="90"/>
      <c r="E109" s="91" t="str">
        <f aca="false">IFERROR(VLOOKUP(D109,PLANI_LLOGARIVE!$A:$B,2,FALSE()),"")</f>
        <v/>
      </c>
      <c r="F109" s="92"/>
      <c r="G109" s="93"/>
      <c r="H109" s="94"/>
      <c r="I109" s="95"/>
      <c r="J109" s="96" t="str">
        <f aca="false">IF(TRIM($C109)="","",IF($M109&lt;&gt;"OK",$M109,IF(ABS(SUMIFS($F:$F,$C:$C,TRIM($C109))-SUMIFS($G:$G,$C:$C,TRIM($C109)))&lt;0.005,"OK","ERROR - veprimi nuk balancohet")))</f>
        <v/>
      </c>
      <c r="K109" s="97" t="str">
        <f aca="false">IF($D109="","",IFERROR(VLOOKUP($D109,PLANI_LLOGARIVE!$A:$J,10,FALSE()),FALSE()))</f>
        <v/>
      </c>
      <c r="L109" s="97" t="str">
        <f aca="false">IF($D109="","",IFERROR(VLOOKUP($D109,PLANI_LLOGARIVE!$A:$G,7,FALSE()),"NUK EKZISTON"))</f>
        <v/>
      </c>
      <c r="M109" s="98" t="str">
        <f aca="false">IF($D109="","",IF(COUNTIF(PLANI_LLOGARIVE!$A:$A,$D109)=0,"ERROR - llogaria nuk ekziston",IF($K109=TRUE(),"OK","ERROR - llogari jo-postuese/Header")))</f>
        <v/>
      </c>
      <c r="N109" s="99" t="str">
        <f aca="false">IF(TRIM($C109)="","",IF(ABS(SUMIFS($F:$F,$C:$C,TRIM($C109))-SUMIFS($G:$G,$C:$C,TRIM($C109)))&lt;0.005,"OK","ERROR - debi/kredi"))</f>
        <v/>
      </c>
      <c r="O109" s="88"/>
      <c r="P109" s="88"/>
      <c r="Q109" s="88"/>
      <c r="R109" s="88"/>
      <c r="S109" s="100" t="str">
        <f aca="false">IF(D109="","",LEFT(D109&amp;"",2))</f>
        <v/>
      </c>
      <c r="T109" s="101" t="str">
        <f aca="false">IF(D109="","",LEFT(D109&amp;"",3))</f>
        <v/>
      </c>
    </row>
    <row r="110" customFormat="false" ht="14.25" hidden="false" customHeight="true" outlineLevel="0" collapsed="false">
      <c r="A110" s="89"/>
      <c r="B110" s="90"/>
      <c r="C110" s="90"/>
      <c r="D110" s="90"/>
      <c r="E110" s="91" t="str">
        <f aca="false">IFERROR(VLOOKUP(D110,PLANI_LLOGARIVE!$A:$B,2,FALSE()),"")</f>
        <v/>
      </c>
      <c r="F110" s="92"/>
      <c r="G110" s="93"/>
      <c r="H110" s="94"/>
      <c r="I110" s="95"/>
      <c r="J110" s="96" t="str">
        <f aca="false">IF(TRIM($C110)="","",IF($M110&lt;&gt;"OK",$M110,IF(ABS(SUMIFS($F:$F,$C:$C,TRIM($C110))-SUMIFS($G:$G,$C:$C,TRIM($C110)))&lt;0.005,"OK","ERROR - veprimi nuk balancohet")))</f>
        <v/>
      </c>
      <c r="K110" s="97" t="str">
        <f aca="false">IF($D110="","",IFERROR(VLOOKUP($D110,PLANI_LLOGARIVE!$A:$J,10,FALSE()),FALSE()))</f>
        <v/>
      </c>
      <c r="L110" s="97" t="str">
        <f aca="false">IF($D110="","",IFERROR(VLOOKUP($D110,PLANI_LLOGARIVE!$A:$G,7,FALSE()),"NUK EKZISTON"))</f>
        <v/>
      </c>
      <c r="M110" s="98" t="str">
        <f aca="false">IF($D110="","",IF(COUNTIF(PLANI_LLOGARIVE!$A:$A,$D110)=0,"ERROR - llogaria nuk ekziston",IF($K110=TRUE(),"OK","ERROR - llogari jo-postuese/Header")))</f>
        <v/>
      </c>
      <c r="N110" s="99" t="str">
        <f aca="false">IF(TRIM($C110)="","",IF(ABS(SUMIFS($F:$F,$C:$C,TRIM($C110))-SUMIFS($G:$G,$C:$C,TRIM($C110)))&lt;0.005,"OK","ERROR - debi/kredi"))</f>
        <v/>
      </c>
      <c r="O110" s="88"/>
      <c r="P110" s="88"/>
      <c r="Q110" s="88"/>
      <c r="R110" s="88"/>
      <c r="S110" s="100" t="str">
        <f aca="false">IF(D110="","",LEFT(D110&amp;"",2))</f>
        <v/>
      </c>
      <c r="T110" s="101" t="str">
        <f aca="false">IF(D110="","",LEFT(D110&amp;"",3))</f>
        <v/>
      </c>
    </row>
    <row r="111" customFormat="false" ht="14.25" hidden="false" customHeight="true" outlineLevel="0" collapsed="false">
      <c r="A111" s="89"/>
      <c r="B111" s="90"/>
      <c r="C111" s="90"/>
      <c r="D111" s="90"/>
      <c r="E111" s="91" t="str">
        <f aca="false">IFERROR(VLOOKUP(D111,PLANI_LLOGARIVE!$A:$B,2,FALSE()),"")</f>
        <v/>
      </c>
      <c r="F111" s="92"/>
      <c r="G111" s="93"/>
      <c r="H111" s="94"/>
      <c r="I111" s="95"/>
      <c r="J111" s="96" t="str">
        <f aca="false">IF(TRIM($C111)="","",IF($M111&lt;&gt;"OK",$M111,IF(ABS(SUMIFS($F:$F,$C:$C,TRIM($C111))-SUMIFS($G:$G,$C:$C,TRIM($C111)))&lt;0.005,"OK","ERROR - veprimi nuk balancohet")))</f>
        <v/>
      </c>
      <c r="K111" s="97" t="str">
        <f aca="false">IF($D111="","",IFERROR(VLOOKUP($D111,PLANI_LLOGARIVE!$A:$J,10,FALSE()),FALSE()))</f>
        <v/>
      </c>
      <c r="L111" s="97" t="str">
        <f aca="false">IF($D111="","",IFERROR(VLOOKUP($D111,PLANI_LLOGARIVE!$A:$G,7,FALSE()),"NUK EKZISTON"))</f>
        <v/>
      </c>
      <c r="M111" s="98" t="str">
        <f aca="false">IF($D111="","",IF(COUNTIF(PLANI_LLOGARIVE!$A:$A,$D111)=0,"ERROR - llogaria nuk ekziston",IF($K111=TRUE(),"OK","ERROR - llogari jo-postuese/Header")))</f>
        <v/>
      </c>
      <c r="N111" s="99" t="str">
        <f aca="false">IF(TRIM($C111)="","",IF(ABS(SUMIFS($F:$F,$C:$C,TRIM($C111))-SUMIFS($G:$G,$C:$C,TRIM($C111)))&lt;0.005,"OK","ERROR - debi/kredi"))</f>
        <v/>
      </c>
      <c r="O111" s="88"/>
      <c r="P111" s="88"/>
      <c r="Q111" s="88"/>
      <c r="R111" s="88"/>
      <c r="S111" s="100" t="str">
        <f aca="false">IF(D111="","",LEFT(D111&amp;"",2))</f>
        <v/>
      </c>
      <c r="T111" s="101" t="str">
        <f aca="false">IF(D111="","",LEFT(D111&amp;"",3))</f>
        <v/>
      </c>
    </row>
    <row r="112" customFormat="false" ht="14.25" hidden="false" customHeight="true" outlineLevel="0" collapsed="false">
      <c r="A112" s="89"/>
      <c r="B112" s="90"/>
      <c r="C112" s="90"/>
      <c r="D112" s="90"/>
      <c r="E112" s="91" t="str">
        <f aca="false">IFERROR(VLOOKUP(D112,PLANI_LLOGARIVE!$A:$B,2,FALSE()),"")</f>
        <v/>
      </c>
      <c r="F112" s="92"/>
      <c r="G112" s="93"/>
      <c r="H112" s="94"/>
      <c r="I112" s="95"/>
      <c r="J112" s="96" t="str">
        <f aca="false">IF(TRIM($C112)="","",IF($M112&lt;&gt;"OK",$M112,IF(ABS(SUMIFS($F:$F,$C:$C,TRIM($C112))-SUMIFS($G:$G,$C:$C,TRIM($C112)))&lt;0.005,"OK","ERROR - veprimi nuk balancohet")))</f>
        <v/>
      </c>
      <c r="K112" s="97" t="str">
        <f aca="false">IF($D112="","",IFERROR(VLOOKUP($D112,PLANI_LLOGARIVE!$A:$J,10,FALSE()),FALSE()))</f>
        <v/>
      </c>
      <c r="L112" s="97" t="str">
        <f aca="false">IF($D112="","",IFERROR(VLOOKUP($D112,PLANI_LLOGARIVE!$A:$G,7,FALSE()),"NUK EKZISTON"))</f>
        <v/>
      </c>
      <c r="M112" s="98" t="str">
        <f aca="false">IF($D112="","",IF(COUNTIF(PLANI_LLOGARIVE!$A:$A,$D112)=0,"ERROR - llogaria nuk ekziston",IF($K112=TRUE(),"OK","ERROR - llogari jo-postuese/Header")))</f>
        <v/>
      </c>
      <c r="N112" s="99" t="str">
        <f aca="false">IF(TRIM($C112)="","",IF(ABS(SUMIFS($F:$F,$C:$C,TRIM($C112))-SUMIFS($G:$G,$C:$C,TRIM($C112)))&lt;0.005,"OK","ERROR - debi/kredi"))</f>
        <v/>
      </c>
      <c r="O112" s="88"/>
      <c r="P112" s="88"/>
      <c r="Q112" s="88"/>
      <c r="R112" s="88"/>
      <c r="S112" s="100" t="str">
        <f aca="false">IF(D112="","",LEFT(D112&amp;"",2))</f>
        <v/>
      </c>
      <c r="T112" s="101" t="str">
        <f aca="false">IF(D112="","",LEFT(D112&amp;"",3))</f>
        <v/>
      </c>
    </row>
    <row r="113" customFormat="false" ht="14.25" hidden="false" customHeight="true" outlineLevel="0" collapsed="false">
      <c r="A113" s="89"/>
      <c r="B113" s="90"/>
      <c r="C113" s="90"/>
      <c r="D113" s="90"/>
      <c r="E113" s="91" t="str">
        <f aca="false">IFERROR(VLOOKUP(D113,PLANI_LLOGARIVE!$A:$B,2,FALSE()),"")</f>
        <v/>
      </c>
      <c r="F113" s="92"/>
      <c r="G113" s="93"/>
      <c r="H113" s="94"/>
      <c r="I113" s="95"/>
      <c r="J113" s="96" t="str">
        <f aca="false">IF(TRIM($C113)="","",IF($M113&lt;&gt;"OK",$M113,IF(ABS(SUMIFS($F:$F,$C:$C,TRIM($C113))-SUMIFS($G:$G,$C:$C,TRIM($C113)))&lt;0.005,"OK","ERROR - veprimi nuk balancohet")))</f>
        <v/>
      </c>
      <c r="K113" s="97" t="str">
        <f aca="false">IF($D113="","",IFERROR(VLOOKUP($D113,PLANI_LLOGARIVE!$A:$J,10,FALSE()),FALSE()))</f>
        <v/>
      </c>
      <c r="L113" s="97" t="str">
        <f aca="false">IF($D113="","",IFERROR(VLOOKUP($D113,PLANI_LLOGARIVE!$A:$G,7,FALSE()),"NUK EKZISTON"))</f>
        <v/>
      </c>
      <c r="M113" s="98" t="str">
        <f aca="false">IF($D113="","",IF(COUNTIF(PLANI_LLOGARIVE!$A:$A,$D113)=0,"ERROR - llogaria nuk ekziston",IF($K113=TRUE(),"OK","ERROR - llogari jo-postuese/Header")))</f>
        <v/>
      </c>
      <c r="N113" s="99" t="str">
        <f aca="false">IF(TRIM($C113)="","",IF(ABS(SUMIFS($F:$F,$C:$C,TRIM($C113))-SUMIFS($G:$G,$C:$C,TRIM($C113)))&lt;0.005,"OK","ERROR - debi/kredi"))</f>
        <v/>
      </c>
      <c r="O113" s="88"/>
      <c r="P113" s="88"/>
      <c r="Q113" s="88"/>
      <c r="R113" s="88"/>
      <c r="S113" s="100" t="str">
        <f aca="false">IF(D113="","",LEFT(D113&amp;"",2))</f>
        <v/>
      </c>
      <c r="T113" s="101" t="str">
        <f aca="false">IF(D113="","",LEFT(D113&amp;"",3))</f>
        <v/>
      </c>
    </row>
    <row r="114" customFormat="false" ht="14.25" hidden="false" customHeight="true" outlineLevel="0" collapsed="false">
      <c r="A114" s="89"/>
      <c r="B114" s="90"/>
      <c r="C114" s="90"/>
      <c r="D114" s="90"/>
      <c r="E114" s="91" t="str">
        <f aca="false">IFERROR(VLOOKUP(D114,PLANI_LLOGARIVE!$A:$B,2,FALSE()),"")</f>
        <v/>
      </c>
      <c r="F114" s="92"/>
      <c r="G114" s="93"/>
      <c r="H114" s="94"/>
      <c r="I114" s="95"/>
      <c r="J114" s="96" t="str">
        <f aca="false">IF(TRIM($C114)="","",IF($M114&lt;&gt;"OK",$M114,IF(ABS(SUMIFS($F:$F,$C:$C,TRIM($C114))-SUMIFS($G:$G,$C:$C,TRIM($C114)))&lt;0.005,"OK","ERROR - veprimi nuk balancohet")))</f>
        <v/>
      </c>
      <c r="K114" s="97" t="str">
        <f aca="false">IF($D114="","",IFERROR(VLOOKUP($D114,PLANI_LLOGARIVE!$A:$J,10,FALSE()),FALSE()))</f>
        <v/>
      </c>
      <c r="L114" s="97" t="str">
        <f aca="false">IF($D114="","",IFERROR(VLOOKUP($D114,PLANI_LLOGARIVE!$A:$G,7,FALSE()),"NUK EKZISTON"))</f>
        <v/>
      </c>
      <c r="M114" s="98" t="str">
        <f aca="false">IF($D114="","",IF(COUNTIF(PLANI_LLOGARIVE!$A:$A,$D114)=0,"ERROR - llogaria nuk ekziston",IF($K114=TRUE(),"OK","ERROR - llogari jo-postuese/Header")))</f>
        <v/>
      </c>
      <c r="N114" s="99" t="str">
        <f aca="false">IF(TRIM($C114)="","",IF(ABS(SUMIFS($F:$F,$C:$C,TRIM($C114))-SUMIFS($G:$G,$C:$C,TRIM($C114)))&lt;0.005,"OK","ERROR - debi/kredi"))</f>
        <v/>
      </c>
      <c r="O114" s="88"/>
      <c r="P114" s="88"/>
      <c r="Q114" s="88"/>
      <c r="R114" s="88"/>
      <c r="S114" s="100" t="str">
        <f aca="false">IF(D114="","",LEFT(D114&amp;"",2))</f>
        <v/>
      </c>
      <c r="T114" s="101" t="str">
        <f aca="false">IF(D114="","",LEFT(D114&amp;"",3))</f>
        <v/>
      </c>
    </row>
    <row r="115" customFormat="false" ht="14.25" hidden="false" customHeight="true" outlineLevel="0" collapsed="false">
      <c r="A115" s="89"/>
      <c r="B115" s="90"/>
      <c r="C115" s="90"/>
      <c r="D115" s="90"/>
      <c r="E115" s="91" t="str">
        <f aca="false">IFERROR(VLOOKUP(D115,PLANI_LLOGARIVE!$A:$B,2,FALSE()),"")</f>
        <v/>
      </c>
      <c r="F115" s="92"/>
      <c r="G115" s="93"/>
      <c r="H115" s="94"/>
      <c r="I115" s="95"/>
      <c r="J115" s="96" t="str">
        <f aca="false">IF(TRIM($C115)="","",IF($M115&lt;&gt;"OK",$M115,IF(ABS(SUMIFS($F:$F,$C:$C,TRIM($C115))-SUMIFS($G:$G,$C:$C,TRIM($C115)))&lt;0.005,"OK","ERROR - veprimi nuk balancohet")))</f>
        <v/>
      </c>
      <c r="K115" s="97" t="str">
        <f aca="false">IF($D115="","",IFERROR(VLOOKUP($D115,PLANI_LLOGARIVE!$A:$J,10,FALSE()),FALSE()))</f>
        <v/>
      </c>
      <c r="L115" s="97" t="str">
        <f aca="false">IF($D115="","",IFERROR(VLOOKUP($D115,PLANI_LLOGARIVE!$A:$G,7,FALSE()),"NUK EKZISTON"))</f>
        <v/>
      </c>
      <c r="M115" s="98" t="str">
        <f aca="false">IF($D115="","",IF(COUNTIF(PLANI_LLOGARIVE!$A:$A,$D115)=0,"ERROR - llogaria nuk ekziston",IF($K115=TRUE(),"OK","ERROR - llogari jo-postuese/Header")))</f>
        <v/>
      </c>
      <c r="N115" s="99" t="str">
        <f aca="false">IF(TRIM($C115)="","",IF(ABS(SUMIFS($F:$F,$C:$C,TRIM($C115))-SUMIFS($G:$G,$C:$C,TRIM($C115)))&lt;0.005,"OK","ERROR - debi/kredi"))</f>
        <v/>
      </c>
      <c r="O115" s="88"/>
      <c r="P115" s="88"/>
      <c r="Q115" s="88"/>
      <c r="R115" s="88"/>
      <c r="S115" s="100" t="str">
        <f aca="false">IF(D115="","",LEFT(D115&amp;"",2))</f>
        <v/>
      </c>
      <c r="T115" s="101" t="str">
        <f aca="false">IF(D115="","",LEFT(D115&amp;"",3))</f>
        <v/>
      </c>
    </row>
    <row r="116" customFormat="false" ht="14.25" hidden="false" customHeight="true" outlineLevel="0" collapsed="false">
      <c r="A116" s="89"/>
      <c r="B116" s="90"/>
      <c r="C116" s="90"/>
      <c r="D116" s="90"/>
      <c r="E116" s="91" t="str">
        <f aca="false">IFERROR(VLOOKUP(D116,PLANI_LLOGARIVE!$A:$B,2,FALSE()),"")</f>
        <v/>
      </c>
      <c r="F116" s="92"/>
      <c r="G116" s="93"/>
      <c r="H116" s="94"/>
      <c r="I116" s="95"/>
      <c r="J116" s="96" t="str">
        <f aca="false">IF(TRIM($C116)="","",IF($M116&lt;&gt;"OK",$M116,IF(ABS(SUMIFS($F:$F,$C:$C,TRIM($C116))-SUMIFS($G:$G,$C:$C,TRIM($C116)))&lt;0.005,"OK","ERROR - veprimi nuk balancohet")))</f>
        <v/>
      </c>
      <c r="K116" s="97" t="str">
        <f aca="false">IF($D116="","",IFERROR(VLOOKUP($D116,PLANI_LLOGARIVE!$A:$J,10,FALSE()),FALSE()))</f>
        <v/>
      </c>
      <c r="L116" s="97" t="str">
        <f aca="false">IF($D116="","",IFERROR(VLOOKUP($D116,PLANI_LLOGARIVE!$A:$G,7,FALSE()),"NUK EKZISTON"))</f>
        <v/>
      </c>
      <c r="M116" s="98" t="str">
        <f aca="false">IF($D116="","",IF(COUNTIF(PLANI_LLOGARIVE!$A:$A,$D116)=0,"ERROR - llogaria nuk ekziston",IF($K116=TRUE(),"OK","ERROR - llogari jo-postuese/Header")))</f>
        <v/>
      </c>
      <c r="N116" s="99" t="str">
        <f aca="false">IF(TRIM($C116)="","",IF(ABS(SUMIFS($F:$F,$C:$C,TRIM($C116))-SUMIFS($G:$G,$C:$C,TRIM($C116)))&lt;0.005,"OK","ERROR - debi/kredi"))</f>
        <v/>
      </c>
      <c r="O116" s="88"/>
      <c r="P116" s="88"/>
      <c r="Q116" s="88"/>
      <c r="R116" s="88"/>
      <c r="S116" s="100" t="str">
        <f aca="false">IF(D116="","",LEFT(D116&amp;"",2))</f>
        <v/>
      </c>
      <c r="T116" s="101" t="str">
        <f aca="false">IF(D116="","",LEFT(D116&amp;"",3))</f>
        <v/>
      </c>
    </row>
    <row r="117" customFormat="false" ht="14.25" hidden="false" customHeight="true" outlineLevel="0" collapsed="false">
      <c r="A117" s="89"/>
      <c r="B117" s="90"/>
      <c r="C117" s="90"/>
      <c r="D117" s="90"/>
      <c r="E117" s="91" t="str">
        <f aca="false">IFERROR(VLOOKUP(D117,PLANI_LLOGARIVE!$A:$B,2,FALSE()),"")</f>
        <v/>
      </c>
      <c r="F117" s="92"/>
      <c r="G117" s="93"/>
      <c r="H117" s="94"/>
      <c r="I117" s="95"/>
      <c r="J117" s="96" t="str">
        <f aca="false">IF(TRIM($C117)="","",IF($M117&lt;&gt;"OK",$M117,IF(ABS(SUMIFS($F:$F,$C:$C,TRIM($C117))-SUMIFS($G:$G,$C:$C,TRIM($C117)))&lt;0.005,"OK","ERROR - veprimi nuk balancohet")))</f>
        <v/>
      </c>
      <c r="K117" s="97" t="str">
        <f aca="false">IF($D117="","",IFERROR(VLOOKUP($D117,PLANI_LLOGARIVE!$A:$J,10,FALSE()),FALSE()))</f>
        <v/>
      </c>
      <c r="L117" s="97" t="str">
        <f aca="false">IF($D117="","",IFERROR(VLOOKUP($D117,PLANI_LLOGARIVE!$A:$G,7,FALSE()),"NUK EKZISTON"))</f>
        <v/>
      </c>
      <c r="M117" s="98" t="str">
        <f aca="false">IF($D117="","",IF(COUNTIF(PLANI_LLOGARIVE!$A:$A,$D117)=0,"ERROR - llogaria nuk ekziston",IF($K117=TRUE(),"OK","ERROR - llogari jo-postuese/Header")))</f>
        <v/>
      </c>
      <c r="N117" s="99" t="str">
        <f aca="false">IF(TRIM($C117)="","",IF(ABS(SUMIFS($F:$F,$C:$C,TRIM($C117))-SUMIFS($G:$G,$C:$C,TRIM($C117)))&lt;0.005,"OK","ERROR - debi/kredi"))</f>
        <v/>
      </c>
      <c r="O117" s="88"/>
      <c r="P117" s="88"/>
      <c r="Q117" s="88"/>
      <c r="R117" s="88"/>
      <c r="S117" s="100" t="str">
        <f aca="false">IF(D117="","",LEFT(D117&amp;"",2))</f>
        <v/>
      </c>
      <c r="T117" s="101" t="str">
        <f aca="false">IF(D117="","",LEFT(D117&amp;"",3))</f>
        <v/>
      </c>
    </row>
    <row r="118" customFormat="false" ht="14.25" hidden="false" customHeight="true" outlineLevel="0" collapsed="false">
      <c r="A118" s="89"/>
      <c r="B118" s="90"/>
      <c r="C118" s="90"/>
      <c r="D118" s="90"/>
      <c r="E118" s="91" t="str">
        <f aca="false">IFERROR(VLOOKUP(D118,PLANI_LLOGARIVE!$A:$B,2,FALSE()),"")</f>
        <v/>
      </c>
      <c r="F118" s="92"/>
      <c r="G118" s="93"/>
      <c r="H118" s="94"/>
      <c r="I118" s="95"/>
      <c r="J118" s="96" t="str">
        <f aca="false">IF(TRIM($C118)="","",IF($M118&lt;&gt;"OK",$M118,IF(ABS(SUMIFS($F:$F,$C:$C,TRIM($C118))-SUMIFS($G:$G,$C:$C,TRIM($C118)))&lt;0.005,"OK","ERROR - veprimi nuk balancohet")))</f>
        <v/>
      </c>
      <c r="K118" s="97" t="str">
        <f aca="false">IF($D118="","",IFERROR(VLOOKUP($D118,PLANI_LLOGARIVE!$A:$J,10,FALSE()),FALSE()))</f>
        <v/>
      </c>
      <c r="L118" s="97" t="str">
        <f aca="false">IF($D118="","",IFERROR(VLOOKUP($D118,PLANI_LLOGARIVE!$A:$G,7,FALSE()),"NUK EKZISTON"))</f>
        <v/>
      </c>
      <c r="M118" s="98" t="str">
        <f aca="false">IF($D118="","",IF(COUNTIF(PLANI_LLOGARIVE!$A:$A,$D118)=0,"ERROR - llogaria nuk ekziston",IF($K118=TRUE(),"OK","ERROR - llogari jo-postuese/Header")))</f>
        <v/>
      </c>
      <c r="N118" s="99" t="str">
        <f aca="false">IF(TRIM($C118)="","",IF(ABS(SUMIFS($F:$F,$C:$C,TRIM($C118))-SUMIFS($G:$G,$C:$C,TRIM($C118)))&lt;0.005,"OK","ERROR - debi/kredi"))</f>
        <v/>
      </c>
      <c r="O118" s="88"/>
      <c r="P118" s="88"/>
      <c r="Q118" s="88"/>
      <c r="R118" s="88"/>
      <c r="S118" s="100" t="str">
        <f aca="false">IF(D118="","",LEFT(D118&amp;"",2))</f>
        <v/>
      </c>
      <c r="T118" s="101" t="str">
        <f aca="false">IF(D118="","",LEFT(D118&amp;"",3))</f>
        <v/>
      </c>
    </row>
    <row r="119" customFormat="false" ht="14.25" hidden="false" customHeight="true" outlineLevel="0" collapsed="false">
      <c r="A119" s="89"/>
      <c r="B119" s="90"/>
      <c r="C119" s="90"/>
      <c r="D119" s="90"/>
      <c r="E119" s="91" t="str">
        <f aca="false">IFERROR(VLOOKUP(D119,PLANI_LLOGARIVE!$A:$B,2,FALSE()),"")</f>
        <v/>
      </c>
      <c r="F119" s="92"/>
      <c r="G119" s="93"/>
      <c r="H119" s="94"/>
      <c r="I119" s="95"/>
      <c r="J119" s="96" t="str">
        <f aca="false">IF(TRIM($C119)="","",IF($M119&lt;&gt;"OK",$M119,IF(ABS(SUMIFS($F:$F,$C:$C,TRIM($C119))-SUMIFS($G:$G,$C:$C,TRIM($C119)))&lt;0.005,"OK","ERROR - veprimi nuk balancohet")))</f>
        <v/>
      </c>
      <c r="K119" s="97" t="str">
        <f aca="false">IF($D119="","",IFERROR(VLOOKUP($D119,PLANI_LLOGARIVE!$A:$J,10,FALSE()),FALSE()))</f>
        <v/>
      </c>
      <c r="L119" s="97" t="str">
        <f aca="false">IF($D119="","",IFERROR(VLOOKUP($D119,PLANI_LLOGARIVE!$A:$G,7,FALSE()),"NUK EKZISTON"))</f>
        <v/>
      </c>
      <c r="M119" s="98" t="str">
        <f aca="false">IF($D119="","",IF(COUNTIF(PLANI_LLOGARIVE!$A:$A,$D119)=0,"ERROR - llogaria nuk ekziston",IF($K119=TRUE(),"OK","ERROR - llogari jo-postuese/Header")))</f>
        <v/>
      </c>
      <c r="N119" s="99" t="str">
        <f aca="false">IF(TRIM($C119)="","",IF(ABS(SUMIFS($F:$F,$C:$C,TRIM($C119))-SUMIFS($G:$G,$C:$C,TRIM($C119)))&lt;0.005,"OK","ERROR - debi/kredi"))</f>
        <v/>
      </c>
      <c r="O119" s="88"/>
      <c r="P119" s="88"/>
      <c r="Q119" s="88"/>
      <c r="R119" s="88"/>
      <c r="S119" s="100" t="str">
        <f aca="false">IF(D119="","",LEFT(D119&amp;"",2))</f>
        <v/>
      </c>
      <c r="T119" s="101" t="str">
        <f aca="false">IF(D119="","",LEFT(D119&amp;"",3))</f>
        <v/>
      </c>
    </row>
    <row r="120" customFormat="false" ht="14.25" hidden="false" customHeight="true" outlineLevel="0" collapsed="false">
      <c r="A120" s="89"/>
      <c r="B120" s="90"/>
      <c r="C120" s="90"/>
      <c r="D120" s="90"/>
      <c r="E120" s="91" t="str">
        <f aca="false">IFERROR(VLOOKUP(D120,PLANI_LLOGARIVE!$A:$B,2,FALSE()),"")</f>
        <v/>
      </c>
      <c r="F120" s="92"/>
      <c r="G120" s="93"/>
      <c r="H120" s="94"/>
      <c r="I120" s="95"/>
      <c r="J120" s="96" t="str">
        <f aca="false">IF(TRIM($C120)="","",IF($M120&lt;&gt;"OK",$M120,IF(ABS(SUMIFS($F:$F,$C:$C,TRIM($C120))-SUMIFS($G:$G,$C:$C,TRIM($C120)))&lt;0.005,"OK","ERROR - veprimi nuk balancohet")))</f>
        <v/>
      </c>
      <c r="K120" s="97" t="str">
        <f aca="false">IF($D120="","",IFERROR(VLOOKUP($D120,PLANI_LLOGARIVE!$A:$J,10,FALSE()),FALSE()))</f>
        <v/>
      </c>
      <c r="L120" s="97" t="str">
        <f aca="false">IF($D120="","",IFERROR(VLOOKUP($D120,PLANI_LLOGARIVE!$A:$G,7,FALSE()),"NUK EKZISTON"))</f>
        <v/>
      </c>
      <c r="M120" s="98" t="str">
        <f aca="false">IF($D120="","",IF(COUNTIF(PLANI_LLOGARIVE!$A:$A,$D120)=0,"ERROR - llogaria nuk ekziston",IF($K120=TRUE(),"OK","ERROR - llogari jo-postuese/Header")))</f>
        <v/>
      </c>
      <c r="N120" s="99" t="str">
        <f aca="false">IF(TRIM($C120)="","",IF(ABS(SUMIFS($F:$F,$C:$C,TRIM($C120))-SUMIFS($G:$G,$C:$C,TRIM($C120)))&lt;0.005,"OK","ERROR - debi/kredi"))</f>
        <v/>
      </c>
      <c r="O120" s="88"/>
      <c r="P120" s="88"/>
      <c r="Q120" s="88"/>
      <c r="R120" s="88"/>
      <c r="S120" s="100" t="str">
        <f aca="false">IF(D120="","",LEFT(D120&amp;"",2))</f>
        <v/>
      </c>
      <c r="T120" s="101" t="str">
        <f aca="false">IF(D120="","",LEFT(D120&amp;"",3))</f>
        <v/>
      </c>
    </row>
    <row r="121" customFormat="false" ht="14.25" hidden="false" customHeight="true" outlineLevel="0" collapsed="false">
      <c r="A121" s="89"/>
      <c r="B121" s="90"/>
      <c r="C121" s="90"/>
      <c r="D121" s="90"/>
      <c r="E121" s="91" t="str">
        <f aca="false">IFERROR(VLOOKUP(D121,PLANI_LLOGARIVE!$A:$B,2,FALSE()),"")</f>
        <v/>
      </c>
      <c r="F121" s="92"/>
      <c r="G121" s="93"/>
      <c r="H121" s="94"/>
      <c r="I121" s="95"/>
      <c r="J121" s="96" t="str">
        <f aca="false">IF(TRIM($C121)="","",IF($M121&lt;&gt;"OK",$M121,IF(ABS(SUMIFS($F:$F,$C:$C,TRIM($C121))-SUMIFS($G:$G,$C:$C,TRIM($C121)))&lt;0.005,"OK","ERROR - veprimi nuk balancohet")))</f>
        <v/>
      </c>
      <c r="K121" s="97" t="str">
        <f aca="false">IF($D121="","",IFERROR(VLOOKUP($D121,PLANI_LLOGARIVE!$A:$J,10,FALSE()),FALSE()))</f>
        <v/>
      </c>
      <c r="L121" s="97" t="str">
        <f aca="false">IF($D121="","",IFERROR(VLOOKUP($D121,PLANI_LLOGARIVE!$A:$G,7,FALSE()),"NUK EKZISTON"))</f>
        <v/>
      </c>
      <c r="M121" s="98" t="str">
        <f aca="false">IF($D121="","",IF(COUNTIF(PLANI_LLOGARIVE!$A:$A,$D121)=0,"ERROR - llogaria nuk ekziston",IF($K121=TRUE(),"OK","ERROR - llogari jo-postuese/Header")))</f>
        <v/>
      </c>
      <c r="N121" s="99" t="str">
        <f aca="false">IF(TRIM($C121)="","",IF(ABS(SUMIFS($F:$F,$C:$C,TRIM($C121))-SUMIFS($G:$G,$C:$C,TRIM($C121)))&lt;0.005,"OK","ERROR - debi/kredi"))</f>
        <v/>
      </c>
      <c r="O121" s="88"/>
      <c r="P121" s="88"/>
      <c r="Q121" s="88"/>
      <c r="R121" s="88"/>
      <c r="S121" s="100" t="str">
        <f aca="false">IF(D121="","",LEFT(D121&amp;"",2))</f>
        <v/>
      </c>
      <c r="T121" s="101" t="str">
        <f aca="false">IF(D121="","",LEFT(D121&amp;"",3))</f>
        <v/>
      </c>
    </row>
    <row r="122" customFormat="false" ht="14.25" hidden="false" customHeight="true" outlineLevel="0" collapsed="false">
      <c r="A122" s="89"/>
      <c r="B122" s="90"/>
      <c r="C122" s="90"/>
      <c r="D122" s="90"/>
      <c r="E122" s="91" t="str">
        <f aca="false">IFERROR(VLOOKUP(D122,PLANI_LLOGARIVE!$A:$B,2,FALSE()),"")</f>
        <v/>
      </c>
      <c r="F122" s="92"/>
      <c r="G122" s="93"/>
      <c r="H122" s="94"/>
      <c r="I122" s="95"/>
      <c r="J122" s="96" t="str">
        <f aca="false">IF(TRIM($C122)="","",IF($M122&lt;&gt;"OK",$M122,IF(ABS(SUMIFS($F:$F,$C:$C,TRIM($C122))-SUMIFS($G:$G,$C:$C,TRIM($C122)))&lt;0.005,"OK","ERROR - veprimi nuk balancohet")))</f>
        <v/>
      </c>
      <c r="K122" s="97" t="str">
        <f aca="false">IF($D122="","",IFERROR(VLOOKUP($D122,PLANI_LLOGARIVE!$A:$J,10,FALSE()),FALSE()))</f>
        <v/>
      </c>
      <c r="L122" s="97" t="str">
        <f aca="false">IF($D122="","",IFERROR(VLOOKUP($D122,PLANI_LLOGARIVE!$A:$G,7,FALSE()),"NUK EKZISTON"))</f>
        <v/>
      </c>
      <c r="M122" s="98" t="str">
        <f aca="false">IF($D122="","",IF(COUNTIF(PLANI_LLOGARIVE!$A:$A,$D122)=0,"ERROR - llogaria nuk ekziston",IF($K122=TRUE(),"OK","ERROR - llogari jo-postuese/Header")))</f>
        <v/>
      </c>
      <c r="N122" s="99" t="str">
        <f aca="false">IF(TRIM($C122)="","",IF(ABS(SUMIFS($F:$F,$C:$C,TRIM($C122))-SUMIFS($G:$G,$C:$C,TRIM($C122)))&lt;0.005,"OK","ERROR - debi/kredi"))</f>
        <v/>
      </c>
      <c r="O122" s="88"/>
      <c r="P122" s="88"/>
      <c r="Q122" s="88"/>
      <c r="R122" s="88"/>
      <c r="S122" s="100" t="str">
        <f aca="false">IF(D122="","",LEFT(D122&amp;"",2))</f>
        <v/>
      </c>
      <c r="T122" s="101" t="str">
        <f aca="false">IF(D122="","",LEFT(D122&amp;"",3))</f>
        <v/>
      </c>
    </row>
    <row r="123" customFormat="false" ht="14.25" hidden="false" customHeight="true" outlineLevel="0" collapsed="false">
      <c r="A123" s="89"/>
      <c r="B123" s="90"/>
      <c r="C123" s="90"/>
      <c r="D123" s="90"/>
      <c r="E123" s="91" t="str">
        <f aca="false">IFERROR(VLOOKUP(D123,PLANI_LLOGARIVE!$A:$B,2,FALSE()),"")</f>
        <v/>
      </c>
      <c r="F123" s="92"/>
      <c r="G123" s="93"/>
      <c r="H123" s="94"/>
      <c r="I123" s="95"/>
      <c r="J123" s="96" t="str">
        <f aca="false">IF(TRIM($C123)="","",IF($M123&lt;&gt;"OK",$M123,IF(ABS(SUMIFS($F:$F,$C:$C,TRIM($C123))-SUMIFS($G:$G,$C:$C,TRIM($C123)))&lt;0.005,"OK","ERROR - veprimi nuk balancohet")))</f>
        <v/>
      </c>
      <c r="K123" s="97" t="str">
        <f aca="false">IF($D123="","",IFERROR(VLOOKUP($D123,PLANI_LLOGARIVE!$A:$J,10,FALSE()),FALSE()))</f>
        <v/>
      </c>
      <c r="L123" s="97" t="str">
        <f aca="false">IF($D123="","",IFERROR(VLOOKUP($D123,PLANI_LLOGARIVE!$A:$G,7,FALSE()),"NUK EKZISTON"))</f>
        <v/>
      </c>
      <c r="M123" s="98" t="str">
        <f aca="false">IF($D123="","",IF(COUNTIF(PLANI_LLOGARIVE!$A:$A,$D123)=0,"ERROR - llogaria nuk ekziston",IF($K123=TRUE(),"OK","ERROR - llogari jo-postuese/Header")))</f>
        <v/>
      </c>
      <c r="N123" s="99" t="str">
        <f aca="false">IF(TRIM($C123)="","",IF(ABS(SUMIFS($F:$F,$C:$C,TRIM($C123))-SUMIFS($G:$G,$C:$C,TRIM($C123)))&lt;0.005,"OK","ERROR - debi/kredi"))</f>
        <v/>
      </c>
      <c r="O123" s="88"/>
      <c r="P123" s="88"/>
      <c r="Q123" s="88"/>
      <c r="R123" s="88"/>
      <c r="S123" s="100" t="str">
        <f aca="false">IF(D123="","",LEFT(D123&amp;"",2))</f>
        <v/>
      </c>
      <c r="T123" s="101" t="str">
        <f aca="false">IF(D123="","",LEFT(D123&amp;"",3))</f>
        <v/>
      </c>
    </row>
    <row r="124" customFormat="false" ht="14.25" hidden="false" customHeight="true" outlineLevel="0" collapsed="false">
      <c r="A124" s="89"/>
      <c r="B124" s="90"/>
      <c r="C124" s="90"/>
      <c r="D124" s="90"/>
      <c r="E124" s="91" t="str">
        <f aca="false">IFERROR(VLOOKUP(D124,PLANI_LLOGARIVE!$A:$B,2,FALSE()),"")</f>
        <v/>
      </c>
      <c r="F124" s="92"/>
      <c r="G124" s="93"/>
      <c r="H124" s="94"/>
      <c r="I124" s="95"/>
      <c r="J124" s="96" t="str">
        <f aca="false">IF(TRIM($C124)="","",IF($M124&lt;&gt;"OK",$M124,IF(ABS(SUMIFS($F:$F,$C:$C,TRIM($C124))-SUMIFS($G:$G,$C:$C,TRIM($C124)))&lt;0.005,"OK","ERROR - veprimi nuk balancohet")))</f>
        <v/>
      </c>
      <c r="K124" s="97" t="str">
        <f aca="false">IF($D124="","",IFERROR(VLOOKUP($D124,PLANI_LLOGARIVE!$A:$J,10,FALSE()),FALSE()))</f>
        <v/>
      </c>
      <c r="L124" s="97" t="str">
        <f aca="false">IF($D124="","",IFERROR(VLOOKUP($D124,PLANI_LLOGARIVE!$A:$G,7,FALSE()),"NUK EKZISTON"))</f>
        <v/>
      </c>
      <c r="M124" s="98" t="str">
        <f aca="false">IF($D124="","",IF(COUNTIF(PLANI_LLOGARIVE!$A:$A,$D124)=0,"ERROR - llogaria nuk ekziston",IF($K124=TRUE(),"OK","ERROR - llogari jo-postuese/Header")))</f>
        <v/>
      </c>
      <c r="N124" s="99" t="str">
        <f aca="false">IF(TRIM($C124)="","",IF(ABS(SUMIFS($F:$F,$C:$C,TRIM($C124))-SUMIFS($G:$G,$C:$C,TRIM($C124)))&lt;0.005,"OK","ERROR - debi/kredi"))</f>
        <v/>
      </c>
      <c r="O124" s="88"/>
      <c r="P124" s="88"/>
      <c r="Q124" s="88"/>
      <c r="R124" s="88"/>
      <c r="S124" s="100" t="str">
        <f aca="false">IF(D124="","",LEFT(D124&amp;"",2))</f>
        <v/>
      </c>
      <c r="T124" s="101" t="str">
        <f aca="false">IF(D124="","",LEFT(D124&amp;"",3))</f>
        <v/>
      </c>
    </row>
    <row r="125" customFormat="false" ht="14.25" hidden="false" customHeight="true" outlineLevel="0" collapsed="false">
      <c r="A125" s="89"/>
      <c r="B125" s="90"/>
      <c r="C125" s="90"/>
      <c r="D125" s="90"/>
      <c r="E125" s="91" t="str">
        <f aca="false">IFERROR(VLOOKUP(D125,PLANI_LLOGARIVE!$A:$B,2,FALSE()),"")</f>
        <v/>
      </c>
      <c r="F125" s="92"/>
      <c r="G125" s="93"/>
      <c r="H125" s="94"/>
      <c r="I125" s="95"/>
      <c r="J125" s="96" t="str">
        <f aca="false">IF(TRIM($C125)="","",IF($M125&lt;&gt;"OK",$M125,IF(ABS(SUMIFS($F:$F,$C:$C,TRIM($C125))-SUMIFS($G:$G,$C:$C,TRIM($C125)))&lt;0.005,"OK","ERROR - veprimi nuk balancohet")))</f>
        <v/>
      </c>
      <c r="K125" s="97" t="str">
        <f aca="false">IF($D125="","",IFERROR(VLOOKUP($D125,PLANI_LLOGARIVE!$A:$J,10,FALSE()),FALSE()))</f>
        <v/>
      </c>
      <c r="L125" s="97" t="str">
        <f aca="false">IF($D125="","",IFERROR(VLOOKUP($D125,PLANI_LLOGARIVE!$A:$G,7,FALSE()),"NUK EKZISTON"))</f>
        <v/>
      </c>
      <c r="M125" s="98" t="str">
        <f aca="false">IF($D125="","",IF(COUNTIF(PLANI_LLOGARIVE!$A:$A,$D125)=0,"ERROR - llogaria nuk ekziston",IF($K125=TRUE(),"OK","ERROR - llogari jo-postuese/Header")))</f>
        <v/>
      </c>
      <c r="N125" s="99" t="str">
        <f aca="false">IF(TRIM($C125)="","",IF(ABS(SUMIFS($F:$F,$C:$C,TRIM($C125))-SUMIFS($G:$G,$C:$C,TRIM($C125)))&lt;0.005,"OK","ERROR - debi/kredi"))</f>
        <v/>
      </c>
      <c r="O125" s="88"/>
      <c r="P125" s="88"/>
      <c r="Q125" s="88"/>
      <c r="R125" s="88"/>
      <c r="S125" s="100" t="str">
        <f aca="false">IF(D125="","",LEFT(D125&amp;"",2))</f>
        <v/>
      </c>
      <c r="T125" s="101" t="str">
        <f aca="false">IF(D125="","",LEFT(D125&amp;"",3))</f>
        <v/>
      </c>
    </row>
    <row r="126" customFormat="false" ht="14.25" hidden="false" customHeight="true" outlineLevel="0" collapsed="false">
      <c r="A126" s="89"/>
      <c r="B126" s="90"/>
      <c r="C126" s="90"/>
      <c r="D126" s="90"/>
      <c r="E126" s="91" t="str">
        <f aca="false">IFERROR(VLOOKUP(D126,PLANI_LLOGARIVE!$A:$B,2,FALSE()),"")</f>
        <v/>
      </c>
      <c r="F126" s="92"/>
      <c r="G126" s="93"/>
      <c r="H126" s="94"/>
      <c r="I126" s="95"/>
      <c r="J126" s="96" t="str">
        <f aca="false">IF(TRIM($C126)="","",IF($M126&lt;&gt;"OK",$M126,IF(ABS(SUMIFS($F:$F,$C:$C,TRIM($C126))-SUMIFS($G:$G,$C:$C,TRIM($C126)))&lt;0.005,"OK","ERROR - veprimi nuk balancohet")))</f>
        <v/>
      </c>
      <c r="K126" s="97" t="str">
        <f aca="false">IF($D126="","",IFERROR(VLOOKUP($D126,PLANI_LLOGARIVE!$A:$J,10,FALSE()),FALSE()))</f>
        <v/>
      </c>
      <c r="L126" s="97" t="str">
        <f aca="false">IF($D126="","",IFERROR(VLOOKUP($D126,PLANI_LLOGARIVE!$A:$G,7,FALSE()),"NUK EKZISTON"))</f>
        <v/>
      </c>
      <c r="M126" s="98" t="str">
        <f aca="false">IF($D126="","",IF(COUNTIF(PLANI_LLOGARIVE!$A:$A,$D126)=0,"ERROR - llogaria nuk ekziston",IF($K126=TRUE(),"OK","ERROR - llogari jo-postuese/Header")))</f>
        <v/>
      </c>
      <c r="N126" s="99" t="str">
        <f aca="false">IF(TRIM($C126)="","",IF(ABS(SUMIFS($F:$F,$C:$C,TRIM($C126))-SUMIFS($G:$G,$C:$C,TRIM($C126)))&lt;0.005,"OK","ERROR - debi/kredi"))</f>
        <v/>
      </c>
      <c r="O126" s="88"/>
      <c r="P126" s="88"/>
      <c r="Q126" s="88"/>
      <c r="R126" s="88"/>
      <c r="S126" s="100" t="str">
        <f aca="false">IF(D126="","",LEFT(D126&amp;"",2))</f>
        <v/>
      </c>
      <c r="T126" s="101" t="str">
        <f aca="false">IF(D126="","",LEFT(D126&amp;"",3))</f>
        <v/>
      </c>
    </row>
    <row r="127" customFormat="false" ht="14.25" hidden="false" customHeight="true" outlineLevel="0" collapsed="false">
      <c r="A127" s="89"/>
      <c r="B127" s="90"/>
      <c r="C127" s="90"/>
      <c r="D127" s="90"/>
      <c r="E127" s="91" t="str">
        <f aca="false">IFERROR(VLOOKUP(D127,PLANI_LLOGARIVE!$A:$B,2,FALSE()),"")</f>
        <v/>
      </c>
      <c r="F127" s="92"/>
      <c r="G127" s="93"/>
      <c r="H127" s="94"/>
      <c r="I127" s="95"/>
      <c r="J127" s="96" t="str">
        <f aca="false">IF(TRIM($C127)="","",IF($M127&lt;&gt;"OK",$M127,IF(ABS(SUMIFS($F:$F,$C:$C,TRIM($C127))-SUMIFS($G:$G,$C:$C,TRIM($C127)))&lt;0.005,"OK","ERROR - veprimi nuk balancohet")))</f>
        <v/>
      </c>
      <c r="K127" s="97" t="str">
        <f aca="false">IF($D127="","",IFERROR(VLOOKUP($D127,PLANI_LLOGARIVE!$A:$J,10,FALSE()),FALSE()))</f>
        <v/>
      </c>
      <c r="L127" s="97" t="str">
        <f aca="false">IF($D127="","",IFERROR(VLOOKUP($D127,PLANI_LLOGARIVE!$A:$G,7,FALSE()),"NUK EKZISTON"))</f>
        <v/>
      </c>
      <c r="M127" s="98" t="str">
        <f aca="false">IF($D127="","",IF(COUNTIF(PLANI_LLOGARIVE!$A:$A,$D127)=0,"ERROR - llogaria nuk ekziston",IF($K127=TRUE(),"OK","ERROR - llogari jo-postuese/Header")))</f>
        <v/>
      </c>
      <c r="N127" s="99" t="str">
        <f aca="false">IF(TRIM($C127)="","",IF(ABS(SUMIFS($F:$F,$C:$C,TRIM($C127))-SUMIFS($G:$G,$C:$C,TRIM($C127)))&lt;0.005,"OK","ERROR - debi/kredi"))</f>
        <v/>
      </c>
      <c r="O127" s="88"/>
      <c r="P127" s="88"/>
      <c r="Q127" s="88"/>
      <c r="R127" s="88"/>
      <c r="S127" s="100" t="str">
        <f aca="false">IF(D127="","",LEFT(D127&amp;"",2))</f>
        <v/>
      </c>
      <c r="T127" s="101" t="str">
        <f aca="false">IF(D127="","",LEFT(D127&amp;"",3))</f>
        <v/>
      </c>
    </row>
    <row r="128" customFormat="false" ht="14.25" hidden="false" customHeight="true" outlineLevel="0" collapsed="false">
      <c r="A128" s="89"/>
      <c r="B128" s="90"/>
      <c r="C128" s="90"/>
      <c r="D128" s="90"/>
      <c r="E128" s="91" t="str">
        <f aca="false">IFERROR(VLOOKUP(D128,PLANI_LLOGARIVE!$A:$B,2,FALSE()),"")</f>
        <v/>
      </c>
      <c r="F128" s="92"/>
      <c r="G128" s="93"/>
      <c r="H128" s="94"/>
      <c r="I128" s="95"/>
      <c r="J128" s="96" t="str">
        <f aca="false">IF(TRIM($C128)="","",IF($M128&lt;&gt;"OK",$M128,IF(ABS(SUMIFS($F:$F,$C:$C,TRIM($C128))-SUMIFS($G:$G,$C:$C,TRIM($C128)))&lt;0.005,"OK","ERROR - veprimi nuk balancohet")))</f>
        <v/>
      </c>
      <c r="K128" s="97" t="str">
        <f aca="false">IF($D128="","",IFERROR(VLOOKUP($D128,PLANI_LLOGARIVE!$A:$J,10,FALSE()),FALSE()))</f>
        <v/>
      </c>
      <c r="L128" s="97" t="str">
        <f aca="false">IF($D128="","",IFERROR(VLOOKUP($D128,PLANI_LLOGARIVE!$A:$G,7,FALSE()),"NUK EKZISTON"))</f>
        <v/>
      </c>
      <c r="M128" s="98" t="str">
        <f aca="false">IF($D128="","",IF(COUNTIF(PLANI_LLOGARIVE!$A:$A,$D128)=0,"ERROR - llogaria nuk ekziston",IF($K128=TRUE(),"OK","ERROR - llogari jo-postuese/Header")))</f>
        <v/>
      </c>
      <c r="N128" s="99" t="str">
        <f aca="false">IF(TRIM($C128)="","",IF(ABS(SUMIFS($F:$F,$C:$C,TRIM($C128))-SUMIFS($G:$G,$C:$C,TRIM($C128)))&lt;0.005,"OK","ERROR - debi/kredi"))</f>
        <v/>
      </c>
      <c r="O128" s="88"/>
      <c r="P128" s="88"/>
      <c r="Q128" s="88"/>
      <c r="R128" s="88"/>
      <c r="S128" s="100" t="str">
        <f aca="false">IF(D128="","",LEFT(D128&amp;"",2))</f>
        <v/>
      </c>
      <c r="T128" s="101" t="str">
        <f aca="false">IF(D128="","",LEFT(D128&amp;"",3))</f>
        <v/>
      </c>
    </row>
    <row r="129" customFormat="false" ht="14.25" hidden="false" customHeight="true" outlineLevel="0" collapsed="false">
      <c r="A129" s="89"/>
      <c r="B129" s="90"/>
      <c r="C129" s="90"/>
      <c r="D129" s="90"/>
      <c r="E129" s="91" t="str">
        <f aca="false">IFERROR(VLOOKUP(D129,PLANI_LLOGARIVE!$A:$B,2,FALSE()),"")</f>
        <v/>
      </c>
      <c r="F129" s="92"/>
      <c r="G129" s="93"/>
      <c r="H129" s="94"/>
      <c r="I129" s="95"/>
      <c r="J129" s="96" t="str">
        <f aca="false">IF(TRIM($C129)="","",IF($M129&lt;&gt;"OK",$M129,IF(ABS(SUMIFS($F:$F,$C:$C,TRIM($C129))-SUMIFS($G:$G,$C:$C,TRIM($C129)))&lt;0.005,"OK","ERROR - veprimi nuk balancohet")))</f>
        <v/>
      </c>
      <c r="K129" s="97" t="str">
        <f aca="false">IF($D129="","",IFERROR(VLOOKUP($D129,PLANI_LLOGARIVE!$A:$J,10,FALSE()),FALSE()))</f>
        <v/>
      </c>
      <c r="L129" s="97" t="str">
        <f aca="false">IF($D129="","",IFERROR(VLOOKUP($D129,PLANI_LLOGARIVE!$A:$G,7,FALSE()),"NUK EKZISTON"))</f>
        <v/>
      </c>
      <c r="M129" s="98" t="str">
        <f aca="false">IF($D129="","",IF(COUNTIF(PLANI_LLOGARIVE!$A:$A,$D129)=0,"ERROR - llogaria nuk ekziston",IF($K129=TRUE(),"OK","ERROR - llogari jo-postuese/Header")))</f>
        <v/>
      </c>
      <c r="N129" s="99" t="str">
        <f aca="false">IF(TRIM($C129)="","",IF(ABS(SUMIFS($F:$F,$C:$C,TRIM($C129))-SUMIFS($G:$G,$C:$C,TRIM($C129)))&lt;0.005,"OK","ERROR - debi/kredi"))</f>
        <v/>
      </c>
      <c r="O129" s="88"/>
      <c r="P129" s="88"/>
      <c r="Q129" s="88"/>
      <c r="R129" s="88"/>
      <c r="S129" s="100" t="str">
        <f aca="false">IF(D129="","",LEFT(D129&amp;"",2))</f>
        <v/>
      </c>
      <c r="T129" s="101" t="str">
        <f aca="false">IF(D129="","",LEFT(D129&amp;"",3))</f>
        <v/>
      </c>
    </row>
    <row r="130" customFormat="false" ht="14.25" hidden="false" customHeight="true" outlineLevel="0" collapsed="false">
      <c r="A130" s="89"/>
      <c r="B130" s="90"/>
      <c r="C130" s="90"/>
      <c r="D130" s="90"/>
      <c r="E130" s="91" t="str">
        <f aca="false">IFERROR(VLOOKUP(D130,PLANI_LLOGARIVE!$A:$B,2,FALSE()),"")</f>
        <v/>
      </c>
      <c r="F130" s="92"/>
      <c r="G130" s="93"/>
      <c r="H130" s="94"/>
      <c r="I130" s="95"/>
      <c r="J130" s="96" t="str">
        <f aca="false">IF(TRIM($C130)="","",IF($M130&lt;&gt;"OK",$M130,IF(ABS(SUMIFS($F:$F,$C:$C,TRIM($C130))-SUMIFS($G:$G,$C:$C,TRIM($C130)))&lt;0.005,"OK","ERROR - veprimi nuk balancohet")))</f>
        <v/>
      </c>
      <c r="K130" s="97" t="str">
        <f aca="false">IF($D130="","",IFERROR(VLOOKUP($D130,PLANI_LLOGARIVE!$A:$J,10,FALSE()),FALSE()))</f>
        <v/>
      </c>
      <c r="L130" s="97" t="str">
        <f aca="false">IF($D130="","",IFERROR(VLOOKUP($D130,PLANI_LLOGARIVE!$A:$G,7,FALSE()),"NUK EKZISTON"))</f>
        <v/>
      </c>
      <c r="M130" s="98" t="str">
        <f aca="false">IF($D130="","",IF(COUNTIF(PLANI_LLOGARIVE!$A:$A,$D130)=0,"ERROR - llogaria nuk ekziston",IF($K130=TRUE(),"OK","ERROR - llogari jo-postuese/Header")))</f>
        <v/>
      </c>
      <c r="N130" s="99" t="str">
        <f aca="false">IF(TRIM($C130)="","",IF(ABS(SUMIFS($F:$F,$C:$C,TRIM($C130))-SUMIFS($G:$G,$C:$C,TRIM($C130)))&lt;0.005,"OK","ERROR - debi/kredi"))</f>
        <v/>
      </c>
      <c r="O130" s="88"/>
      <c r="P130" s="88"/>
      <c r="Q130" s="88"/>
      <c r="R130" s="88"/>
      <c r="S130" s="100" t="str">
        <f aca="false">IF(D130="","",LEFT(D130&amp;"",2))</f>
        <v/>
      </c>
      <c r="T130" s="101" t="str">
        <f aca="false">IF(D130="","",LEFT(D130&amp;"",3))</f>
        <v/>
      </c>
    </row>
    <row r="131" customFormat="false" ht="14.25" hidden="false" customHeight="true" outlineLevel="0" collapsed="false">
      <c r="A131" s="89"/>
      <c r="B131" s="90"/>
      <c r="C131" s="90"/>
      <c r="D131" s="90"/>
      <c r="E131" s="91" t="str">
        <f aca="false">IFERROR(VLOOKUP(D131,PLANI_LLOGARIVE!$A:$B,2,FALSE()),"")</f>
        <v/>
      </c>
      <c r="F131" s="92"/>
      <c r="G131" s="93"/>
      <c r="H131" s="94"/>
      <c r="I131" s="95"/>
      <c r="J131" s="96" t="str">
        <f aca="false">IF(TRIM($C131)="","",IF($M131&lt;&gt;"OK",$M131,IF(ABS(SUMIFS($F:$F,$C:$C,TRIM($C131))-SUMIFS($G:$G,$C:$C,TRIM($C131)))&lt;0.005,"OK","ERROR - veprimi nuk balancohet")))</f>
        <v/>
      </c>
      <c r="K131" s="97" t="str">
        <f aca="false">IF($D131="","",IFERROR(VLOOKUP($D131,PLANI_LLOGARIVE!$A:$J,10,FALSE()),FALSE()))</f>
        <v/>
      </c>
      <c r="L131" s="97" t="str">
        <f aca="false">IF($D131="","",IFERROR(VLOOKUP($D131,PLANI_LLOGARIVE!$A:$G,7,FALSE()),"NUK EKZISTON"))</f>
        <v/>
      </c>
      <c r="M131" s="98" t="str">
        <f aca="false">IF($D131="","",IF(COUNTIF(PLANI_LLOGARIVE!$A:$A,$D131)=0,"ERROR - llogaria nuk ekziston",IF($K131=TRUE(),"OK","ERROR - llogari jo-postuese/Header")))</f>
        <v/>
      </c>
      <c r="N131" s="99" t="str">
        <f aca="false">IF(TRIM($C131)="","",IF(ABS(SUMIFS($F:$F,$C:$C,TRIM($C131))-SUMIFS($G:$G,$C:$C,TRIM($C131)))&lt;0.005,"OK","ERROR - debi/kredi"))</f>
        <v/>
      </c>
      <c r="O131" s="88"/>
      <c r="P131" s="88"/>
      <c r="Q131" s="88"/>
      <c r="R131" s="88"/>
      <c r="S131" s="100" t="str">
        <f aca="false">IF(D131="","",LEFT(D131&amp;"",2))</f>
        <v/>
      </c>
      <c r="T131" s="101" t="str">
        <f aca="false">IF(D131="","",LEFT(D131&amp;"",3))</f>
        <v/>
      </c>
    </row>
    <row r="132" customFormat="false" ht="14.25" hidden="false" customHeight="true" outlineLevel="0" collapsed="false">
      <c r="A132" s="89"/>
      <c r="B132" s="90"/>
      <c r="C132" s="90"/>
      <c r="D132" s="90"/>
      <c r="E132" s="91" t="str">
        <f aca="false">IFERROR(VLOOKUP(D132,PLANI_LLOGARIVE!$A:$B,2,FALSE()),"")</f>
        <v/>
      </c>
      <c r="F132" s="92"/>
      <c r="G132" s="93"/>
      <c r="H132" s="94"/>
      <c r="I132" s="95"/>
      <c r="J132" s="96" t="str">
        <f aca="false">IF(TRIM($C132)="","",IF($M132&lt;&gt;"OK",$M132,IF(ABS(SUMIFS($F:$F,$C:$C,TRIM($C132))-SUMIFS($G:$G,$C:$C,TRIM($C132)))&lt;0.005,"OK","ERROR - veprimi nuk balancohet")))</f>
        <v/>
      </c>
      <c r="K132" s="97" t="str">
        <f aca="false">IF($D132="","",IFERROR(VLOOKUP($D132,PLANI_LLOGARIVE!$A:$J,10,FALSE()),FALSE()))</f>
        <v/>
      </c>
      <c r="L132" s="97" t="str">
        <f aca="false">IF($D132="","",IFERROR(VLOOKUP($D132,PLANI_LLOGARIVE!$A:$G,7,FALSE()),"NUK EKZISTON"))</f>
        <v/>
      </c>
      <c r="M132" s="98" t="str">
        <f aca="false">IF($D132="","",IF(COUNTIF(PLANI_LLOGARIVE!$A:$A,$D132)=0,"ERROR - llogaria nuk ekziston",IF($K132=TRUE(),"OK","ERROR - llogari jo-postuese/Header")))</f>
        <v/>
      </c>
      <c r="N132" s="99" t="str">
        <f aca="false">IF(TRIM($C132)="","",IF(ABS(SUMIFS($F:$F,$C:$C,TRIM($C132))-SUMIFS($G:$G,$C:$C,TRIM($C132)))&lt;0.005,"OK","ERROR - debi/kredi"))</f>
        <v/>
      </c>
      <c r="O132" s="88"/>
      <c r="P132" s="88"/>
      <c r="Q132" s="88"/>
      <c r="R132" s="88"/>
      <c r="S132" s="100" t="str">
        <f aca="false">IF(D132="","",LEFT(D132&amp;"",2))</f>
        <v/>
      </c>
      <c r="T132" s="101" t="str">
        <f aca="false">IF(D132="","",LEFT(D132&amp;"",3))</f>
        <v/>
      </c>
    </row>
    <row r="133" customFormat="false" ht="14.25" hidden="false" customHeight="true" outlineLevel="0" collapsed="false">
      <c r="A133" s="89"/>
      <c r="B133" s="90"/>
      <c r="C133" s="90"/>
      <c r="D133" s="90"/>
      <c r="E133" s="91" t="str">
        <f aca="false">IFERROR(VLOOKUP(D133,PLANI_LLOGARIVE!$A:$B,2,FALSE()),"")</f>
        <v/>
      </c>
      <c r="F133" s="92"/>
      <c r="G133" s="93"/>
      <c r="H133" s="94"/>
      <c r="I133" s="95"/>
      <c r="J133" s="96" t="str">
        <f aca="false">IF(TRIM($C133)="","",IF($M133&lt;&gt;"OK",$M133,IF(ABS(SUMIFS($F:$F,$C:$C,TRIM($C133))-SUMIFS($G:$G,$C:$C,TRIM($C133)))&lt;0.005,"OK","ERROR - veprimi nuk balancohet")))</f>
        <v/>
      </c>
      <c r="K133" s="97" t="str">
        <f aca="false">IF($D133="","",IFERROR(VLOOKUP($D133,PLANI_LLOGARIVE!$A:$J,10,FALSE()),FALSE()))</f>
        <v/>
      </c>
      <c r="L133" s="97" t="str">
        <f aca="false">IF($D133="","",IFERROR(VLOOKUP($D133,PLANI_LLOGARIVE!$A:$G,7,FALSE()),"NUK EKZISTON"))</f>
        <v/>
      </c>
      <c r="M133" s="98" t="str">
        <f aca="false">IF($D133="","",IF(COUNTIF(PLANI_LLOGARIVE!$A:$A,$D133)=0,"ERROR - llogaria nuk ekziston",IF($K133=TRUE(),"OK","ERROR - llogari jo-postuese/Header")))</f>
        <v/>
      </c>
      <c r="N133" s="99" t="str">
        <f aca="false">IF(TRIM($C133)="","",IF(ABS(SUMIFS($F:$F,$C:$C,TRIM($C133))-SUMIFS($G:$G,$C:$C,TRIM($C133)))&lt;0.005,"OK","ERROR - debi/kredi"))</f>
        <v/>
      </c>
      <c r="O133" s="88"/>
      <c r="P133" s="88"/>
      <c r="Q133" s="88"/>
      <c r="R133" s="88"/>
      <c r="S133" s="100" t="str">
        <f aca="false">IF(D133="","",LEFT(D133&amp;"",2))</f>
        <v/>
      </c>
      <c r="T133" s="101" t="str">
        <f aca="false">IF(D133="","",LEFT(D133&amp;"",3))</f>
        <v/>
      </c>
    </row>
    <row r="134" customFormat="false" ht="14.25" hidden="false" customHeight="true" outlineLevel="0" collapsed="false">
      <c r="A134" s="89"/>
      <c r="B134" s="90"/>
      <c r="C134" s="90"/>
      <c r="D134" s="90"/>
      <c r="E134" s="91" t="str">
        <f aca="false">IFERROR(VLOOKUP(D134,PLANI_LLOGARIVE!$A:$B,2,FALSE()),"")</f>
        <v/>
      </c>
      <c r="F134" s="92"/>
      <c r="G134" s="93"/>
      <c r="H134" s="94"/>
      <c r="I134" s="95"/>
      <c r="J134" s="96" t="str">
        <f aca="false">IF(TRIM($C134)="","",IF($M134&lt;&gt;"OK",$M134,IF(ABS(SUMIFS($F:$F,$C:$C,TRIM($C134))-SUMIFS($G:$G,$C:$C,TRIM($C134)))&lt;0.005,"OK","ERROR - veprimi nuk balancohet")))</f>
        <v/>
      </c>
      <c r="K134" s="97" t="str">
        <f aca="false">IF($D134="","",IFERROR(VLOOKUP($D134,PLANI_LLOGARIVE!$A:$J,10,FALSE()),FALSE()))</f>
        <v/>
      </c>
      <c r="L134" s="97" t="str">
        <f aca="false">IF($D134="","",IFERROR(VLOOKUP($D134,PLANI_LLOGARIVE!$A:$G,7,FALSE()),"NUK EKZISTON"))</f>
        <v/>
      </c>
      <c r="M134" s="98" t="str">
        <f aca="false">IF($D134="","",IF(COUNTIF(PLANI_LLOGARIVE!$A:$A,$D134)=0,"ERROR - llogaria nuk ekziston",IF($K134=TRUE(),"OK","ERROR - llogari jo-postuese/Header")))</f>
        <v/>
      </c>
      <c r="N134" s="99" t="str">
        <f aca="false">IF(TRIM($C134)="","",IF(ABS(SUMIFS($F:$F,$C:$C,TRIM($C134))-SUMIFS($G:$G,$C:$C,TRIM($C134)))&lt;0.005,"OK","ERROR - debi/kredi"))</f>
        <v/>
      </c>
      <c r="O134" s="88"/>
      <c r="P134" s="88"/>
      <c r="Q134" s="88"/>
      <c r="R134" s="88"/>
      <c r="S134" s="100" t="str">
        <f aca="false">IF(D134="","",LEFT(D134&amp;"",2))</f>
        <v/>
      </c>
      <c r="T134" s="101" t="str">
        <f aca="false">IF(D134="","",LEFT(D134&amp;"",3))</f>
        <v/>
      </c>
    </row>
    <row r="135" customFormat="false" ht="14.25" hidden="false" customHeight="true" outlineLevel="0" collapsed="false">
      <c r="A135" s="89"/>
      <c r="B135" s="90"/>
      <c r="C135" s="90"/>
      <c r="D135" s="90"/>
      <c r="E135" s="91" t="str">
        <f aca="false">IFERROR(VLOOKUP(D135,PLANI_LLOGARIVE!$A:$B,2,FALSE()),"")</f>
        <v/>
      </c>
      <c r="F135" s="92"/>
      <c r="G135" s="93"/>
      <c r="H135" s="94"/>
      <c r="I135" s="95"/>
      <c r="J135" s="96" t="str">
        <f aca="false">IF(TRIM($C135)="","",IF($M135&lt;&gt;"OK",$M135,IF(ABS(SUMIFS($F:$F,$C:$C,TRIM($C135))-SUMIFS($G:$G,$C:$C,TRIM($C135)))&lt;0.005,"OK","ERROR - veprimi nuk balancohet")))</f>
        <v/>
      </c>
      <c r="K135" s="97" t="str">
        <f aca="false">IF($D135="","",IFERROR(VLOOKUP($D135,PLANI_LLOGARIVE!$A:$J,10,FALSE()),FALSE()))</f>
        <v/>
      </c>
      <c r="L135" s="97" t="str">
        <f aca="false">IF($D135="","",IFERROR(VLOOKUP($D135,PLANI_LLOGARIVE!$A:$G,7,FALSE()),"NUK EKZISTON"))</f>
        <v/>
      </c>
      <c r="M135" s="98" t="str">
        <f aca="false">IF($D135="","",IF(COUNTIF(PLANI_LLOGARIVE!$A:$A,$D135)=0,"ERROR - llogaria nuk ekziston",IF($K135=TRUE(),"OK","ERROR - llogari jo-postuese/Header")))</f>
        <v/>
      </c>
      <c r="N135" s="99" t="str">
        <f aca="false">IF(TRIM($C135)="","",IF(ABS(SUMIFS($F:$F,$C:$C,TRIM($C135))-SUMIFS($G:$G,$C:$C,TRIM($C135)))&lt;0.005,"OK","ERROR - debi/kredi"))</f>
        <v/>
      </c>
      <c r="O135" s="88"/>
      <c r="P135" s="88"/>
      <c r="Q135" s="88"/>
      <c r="R135" s="88"/>
      <c r="S135" s="100" t="str">
        <f aca="false">IF(D135="","",LEFT(D135&amp;"",2))</f>
        <v/>
      </c>
      <c r="T135" s="101" t="str">
        <f aca="false">IF(D135="","",LEFT(D135&amp;"",3))</f>
        <v/>
      </c>
    </row>
    <row r="136" customFormat="false" ht="14.25" hidden="false" customHeight="true" outlineLevel="0" collapsed="false">
      <c r="A136" s="89"/>
      <c r="B136" s="90"/>
      <c r="C136" s="90"/>
      <c r="D136" s="90"/>
      <c r="E136" s="91" t="str">
        <f aca="false">IFERROR(VLOOKUP(D136,PLANI_LLOGARIVE!$A:$B,2,FALSE()),"")</f>
        <v/>
      </c>
      <c r="F136" s="92"/>
      <c r="G136" s="93"/>
      <c r="H136" s="94"/>
      <c r="I136" s="95"/>
      <c r="J136" s="96" t="str">
        <f aca="false">IF(TRIM($C136)="","",IF($M136&lt;&gt;"OK",$M136,IF(ABS(SUMIFS($F:$F,$C:$C,TRIM($C136))-SUMIFS($G:$G,$C:$C,TRIM($C136)))&lt;0.005,"OK","ERROR - veprimi nuk balancohet")))</f>
        <v/>
      </c>
      <c r="K136" s="97" t="str">
        <f aca="false">IF($D136="","",IFERROR(VLOOKUP($D136,PLANI_LLOGARIVE!$A:$J,10,FALSE()),FALSE()))</f>
        <v/>
      </c>
      <c r="L136" s="97" t="str">
        <f aca="false">IF($D136="","",IFERROR(VLOOKUP($D136,PLANI_LLOGARIVE!$A:$G,7,FALSE()),"NUK EKZISTON"))</f>
        <v/>
      </c>
      <c r="M136" s="98" t="str">
        <f aca="false">IF($D136="","",IF(COUNTIF(PLANI_LLOGARIVE!$A:$A,$D136)=0,"ERROR - llogaria nuk ekziston",IF($K136=TRUE(),"OK","ERROR - llogari jo-postuese/Header")))</f>
        <v/>
      </c>
      <c r="N136" s="99" t="str">
        <f aca="false">IF(TRIM($C136)="","",IF(ABS(SUMIFS($F:$F,$C:$C,TRIM($C136))-SUMIFS($G:$G,$C:$C,TRIM($C136)))&lt;0.005,"OK","ERROR - debi/kredi"))</f>
        <v/>
      </c>
      <c r="O136" s="88"/>
      <c r="P136" s="88"/>
      <c r="Q136" s="88"/>
      <c r="R136" s="88"/>
      <c r="S136" s="100" t="str">
        <f aca="false">IF(D136="","",LEFT(D136&amp;"",2))</f>
        <v/>
      </c>
      <c r="T136" s="101" t="str">
        <f aca="false">IF(D136="","",LEFT(D136&amp;"",3))</f>
        <v/>
      </c>
    </row>
    <row r="137" customFormat="false" ht="14.25" hidden="false" customHeight="true" outlineLevel="0" collapsed="false">
      <c r="A137" s="89"/>
      <c r="B137" s="90"/>
      <c r="C137" s="90"/>
      <c r="D137" s="90"/>
      <c r="E137" s="91" t="str">
        <f aca="false">IFERROR(VLOOKUP(D137,PLANI_LLOGARIVE!$A:$B,2,FALSE()),"")</f>
        <v/>
      </c>
      <c r="F137" s="92"/>
      <c r="G137" s="93"/>
      <c r="H137" s="94"/>
      <c r="I137" s="95"/>
      <c r="J137" s="96" t="str">
        <f aca="false">IF(TRIM($C137)="","",IF($M137&lt;&gt;"OK",$M137,IF(ABS(SUMIFS($F:$F,$C:$C,TRIM($C137))-SUMIFS($G:$G,$C:$C,TRIM($C137)))&lt;0.005,"OK","ERROR - veprimi nuk balancohet")))</f>
        <v/>
      </c>
      <c r="K137" s="97" t="str">
        <f aca="false">IF($D137="","",IFERROR(VLOOKUP($D137,PLANI_LLOGARIVE!$A:$J,10,FALSE()),FALSE()))</f>
        <v/>
      </c>
      <c r="L137" s="97" t="str">
        <f aca="false">IF($D137="","",IFERROR(VLOOKUP($D137,PLANI_LLOGARIVE!$A:$G,7,FALSE()),"NUK EKZISTON"))</f>
        <v/>
      </c>
      <c r="M137" s="98" t="str">
        <f aca="false">IF($D137="","",IF(COUNTIF(PLANI_LLOGARIVE!$A:$A,$D137)=0,"ERROR - llogaria nuk ekziston",IF($K137=TRUE(),"OK","ERROR - llogari jo-postuese/Header")))</f>
        <v/>
      </c>
      <c r="N137" s="99" t="str">
        <f aca="false">IF(TRIM($C137)="","",IF(ABS(SUMIFS($F:$F,$C:$C,TRIM($C137))-SUMIFS($G:$G,$C:$C,TRIM($C137)))&lt;0.005,"OK","ERROR - debi/kredi"))</f>
        <v/>
      </c>
      <c r="O137" s="88"/>
      <c r="P137" s="88"/>
      <c r="Q137" s="88"/>
      <c r="R137" s="88"/>
      <c r="S137" s="100" t="str">
        <f aca="false">IF(D137="","",LEFT(D137&amp;"",2))</f>
        <v/>
      </c>
      <c r="T137" s="101" t="str">
        <f aca="false">IF(D137="","",LEFT(D137&amp;"",3))</f>
        <v/>
      </c>
    </row>
    <row r="138" customFormat="false" ht="14.25" hidden="false" customHeight="true" outlineLevel="0" collapsed="false">
      <c r="A138" s="89"/>
      <c r="B138" s="90"/>
      <c r="C138" s="90"/>
      <c r="D138" s="90"/>
      <c r="E138" s="91" t="str">
        <f aca="false">IFERROR(VLOOKUP(D138,PLANI_LLOGARIVE!$A:$B,2,FALSE()),"")</f>
        <v/>
      </c>
      <c r="F138" s="92"/>
      <c r="G138" s="93"/>
      <c r="H138" s="94"/>
      <c r="I138" s="95"/>
      <c r="J138" s="96" t="str">
        <f aca="false">IF(TRIM($C138)="","",IF($M138&lt;&gt;"OK",$M138,IF(ABS(SUMIFS($F:$F,$C:$C,TRIM($C138))-SUMIFS($G:$G,$C:$C,TRIM($C138)))&lt;0.005,"OK","ERROR - veprimi nuk balancohet")))</f>
        <v/>
      </c>
      <c r="K138" s="97" t="str">
        <f aca="false">IF($D138="","",IFERROR(VLOOKUP($D138,PLANI_LLOGARIVE!$A:$J,10,FALSE()),FALSE()))</f>
        <v/>
      </c>
      <c r="L138" s="97" t="str">
        <f aca="false">IF($D138="","",IFERROR(VLOOKUP($D138,PLANI_LLOGARIVE!$A:$G,7,FALSE()),"NUK EKZISTON"))</f>
        <v/>
      </c>
      <c r="M138" s="98" t="str">
        <f aca="false">IF($D138="","",IF(COUNTIF(PLANI_LLOGARIVE!$A:$A,$D138)=0,"ERROR - llogaria nuk ekziston",IF($K138=TRUE(),"OK","ERROR - llogari jo-postuese/Header")))</f>
        <v/>
      </c>
      <c r="N138" s="99" t="str">
        <f aca="false">IF(TRIM($C138)="","",IF(ABS(SUMIFS($F:$F,$C:$C,TRIM($C138))-SUMIFS($G:$G,$C:$C,TRIM($C138)))&lt;0.005,"OK","ERROR - debi/kredi"))</f>
        <v/>
      </c>
      <c r="O138" s="88"/>
      <c r="P138" s="88"/>
      <c r="Q138" s="88"/>
      <c r="R138" s="88"/>
      <c r="S138" s="100" t="str">
        <f aca="false">IF(D138="","",LEFT(D138&amp;"",2))</f>
        <v/>
      </c>
      <c r="T138" s="101" t="str">
        <f aca="false">IF(D138="","",LEFT(D138&amp;"",3))</f>
        <v/>
      </c>
    </row>
    <row r="139" customFormat="false" ht="14.25" hidden="false" customHeight="true" outlineLevel="0" collapsed="false">
      <c r="A139" s="89"/>
      <c r="B139" s="90"/>
      <c r="C139" s="90"/>
      <c r="D139" s="90"/>
      <c r="E139" s="91" t="str">
        <f aca="false">IFERROR(VLOOKUP(D139,PLANI_LLOGARIVE!$A:$B,2,FALSE()),"")</f>
        <v/>
      </c>
      <c r="F139" s="92"/>
      <c r="G139" s="93"/>
      <c r="H139" s="94"/>
      <c r="I139" s="95"/>
      <c r="J139" s="96" t="str">
        <f aca="false">IF(TRIM($C139)="","",IF($M139&lt;&gt;"OK",$M139,IF(ABS(SUMIFS($F:$F,$C:$C,TRIM($C139))-SUMIFS($G:$G,$C:$C,TRIM($C139)))&lt;0.005,"OK","ERROR - veprimi nuk balancohet")))</f>
        <v/>
      </c>
      <c r="K139" s="97" t="str">
        <f aca="false">IF($D139="","",IFERROR(VLOOKUP($D139,PLANI_LLOGARIVE!$A:$J,10,FALSE()),FALSE()))</f>
        <v/>
      </c>
      <c r="L139" s="97" t="str">
        <f aca="false">IF($D139="","",IFERROR(VLOOKUP($D139,PLANI_LLOGARIVE!$A:$G,7,FALSE()),"NUK EKZISTON"))</f>
        <v/>
      </c>
      <c r="M139" s="98" t="str">
        <f aca="false">IF($D139="","",IF(COUNTIF(PLANI_LLOGARIVE!$A:$A,$D139)=0,"ERROR - llogaria nuk ekziston",IF($K139=TRUE(),"OK","ERROR - llogari jo-postuese/Header")))</f>
        <v/>
      </c>
      <c r="N139" s="99" t="str">
        <f aca="false">IF(TRIM($C139)="","",IF(ABS(SUMIFS($F:$F,$C:$C,TRIM($C139))-SUMIFS($G:$G,$C:$C,TRIM($C139)))&lt;0.005,"OK","ERROR - debi/kredi"))</f>
        <v/>
      </c>
      <c r="O139" s="88"/>
      <c r="P139" s="88"/>
      <c r="Q139" s="88"/>
      <c r="R139" s="88"/>
      <c r="S139" s="100" t="str">
        <f aca="false">IF(D139="","",LEFT(D139&amp;"",2))</f>
        <v/>
      </c>
      <c r="T139" s="101" t="str">
        <f aca="false">IF(D139="","",LEFT(D139&amp;"",3))</f>
        <v/>
      </c>
    </row>
    <row r="140" customFormat="false" ht="14.25" hidden="false" customHeight="true" outlineLevel="0" collapsed="false">
      <c r="A140" s="89"/>
      <c r="B140" s="90"/>
      <c r="C140" s="90"/>
      <c r="D140" s="90"/>
      <c r="E140" s="91" t="str">
        <f aca="false">IFERROR(VLOOKUP(D140,PLANI_LLOGARIVE!$A:$B,2,FALSE()),"")</f>
        <v/>
      </c>
      <c r="F140" s="92"/>
      <c r="G140" s="93"/>
      <c r="H140" s="94"/>
      <c r="I140" s="95"/>
      <c r="J140" s="96" t="str">
        <f aca="false">IF(TRIM($C140)="","",IF($M140&lt;&gt;"OK",$M140,IF(ABS(SUMIFS($F:$F,$C:$C,TRIM($C140))-SUMIFS($G:$G,$C:$C,TRIM($C140)))&lt;0.005,"OK","ERROR - veprimi nuk balancohet")))</f>
        <v/>
      </c>
      <c r="K140" s="97" t="str">
        <f aca="false">IF($D140="","",IFERROR(VLOOKUP($D140,PLANI_LLOGARIVE!$A:$J,10,FALSE()),FALSE()))</f>
        <v/>
      </c>
      <c r="L140" s="97" t="str">
        <f aca="false">IF($D140="","",IFERROR(VLOOKUP($D140,PLANI_LLOGARIVE!$A:$G,7,FALSE()),"NUK EKZISTON"))</f>
        <v/>
      </c>
      <c r="M140" s="98" t="str">
        <f aca="false">IF($D140="","",IF(COUNTIF(PLANI_LLOGARIVE!$A:$A,$D140)=0,"ERROR - llogaria nuk ekziston",IF($K140=TRUE(),"OK","ERROR - llogari jo-postuese/Header")))</f>
        <v/>
      </c>
      <c r="N140" s="99" t="str">
        <f aca="false">IF(TRIM($C140)="","",IF(ABS(SUMIFS($F:$F,$C:$C,TRIM($C140))-SUMIFS($G:$G,$C:$C,TRIM($C140)))&lt;0.005,"OK","ERROR - debi/kredi"))</f>
        <v/>
      </c>
      <c r="O140" s="88"/>
      <c r="P140" s="88"/>
      <c r="Q140" s="88"/>
      <c r="R140" s="88"/>
      <c r="S140" s="100" t="str">
        <f aca="false">IF(D140="","",LEFT(D140&amp;"",2))</f>
        <v/>
      </c>
      <c r="T140" s="101" t="str">
        <f aca="false">IF(D140="","",LEFT(D140&amp;"",3))</f>
        <v/>
      </c>
    </row>
    <row r="141" customFormat="false" ht="14.25" hidden="false" customHeight="true" outlineLevel="0" collapsed="false">
      <c r="A141" s="89"/>
      <c r="B141" s="90"/>
      <c r="C141" s="90"/>
      <c r="D141" s="90"/>
      <c r="E141" s="91" t="str">
        <f aca="false">IFERROR(VLOOKUP(D141,PLANI_LLOGARIVE!$A:$B,2,FALSE()),"")</f>
        <v/>
      </c>
      <c r="F141" s="92"/>
      <c r="G141" s="93"/>
      <c r="H141" s="94"/>
      <c r="I141" s="95"/>
      <c r="J141" s="96" t="str">
        <f aca="false">IF(TRIM($C141)="","",IF($M141&lt;&gt;"OK",$M141,IF(ABS(SUMIFS($F:$F,$C:$C,TRIM($C141))-SUMIFS($G:$G,$C:$C,TRIM($C141)))&lt;0.005,"OK","ERROR - veprimi nuk balancohet")))</f>
        <v/>
      </c>
      <c r="K141" s="97" t="str">
        <f aca="false">IF($D141="","",IFERROR(VLOOKUP($D141,PLANI_LLOGARIVE!$A:$J,10,FALSE()),FALSE()))</f>
        <v/>
      </c>
      <c r="L141" s="97" t="str">
        <f aca="false">IF($D141="","",IFERROR(VLOOKUP($D141,PLANI_LLOGARIVE!$A:$G,7,FALSE()),"NUK EKZISTON"))</f>
        <v/>
      </c>
      <c r="M141" s="98" t="str">
        <f aca="false">IF($D141="","",IF(COUNTIF(PLANI_LLOGARIVE!$A:$A,$D141)=0,"ERROR - llogaria nuk ekziston",IF($K141=TRUE(),"OK","ERROR - llogari jo-postuese/Header")))</f>
        <v/>
      </c>
      <c r="N141" s="99" t="str">
        <f aca="false">IF(TRIM($C141)="","",IF(ABS(SUMIFS($F:$F,$C:$C,TRIM($C141))-SUMIFS($G:$G,$C:$C,TRIM($C141)))&lt;0.005,"OK","ERROR - debi/kredi"))</f>
        <v/>
      </c>
      <c r="O141" s="88"/>
      <c r="P141" s="88"/>
      <c r="Q141" s="88"/>
      <c r="R141" s="88"/>
      <c r="S141" s="100" t="str">
        <f aca="false">IF(D141="","",LEFT(D141&amp;"",2))</f>
        <v/>
      </c>
      <c r="T141" s="101" t="str">
        <f aca="false">IF(D141="","",LEFT(D141&amp;"",3))</f>
        <v/>
      </c>
    </row>
    <row r="142" customFormat="false" ht="14.25" hidden="false" customHeight="true" outlineLevel="0" collapsed="false">
      <c r="A142" s="89"/>
      <c r="B142" s="90"/>
      <c r="C142" s="90"/>
      <c r="D142" s="90"/>
      <c r="E142" s="91" t="str">
        <f aca="false">IFERROR(VLOOKUP(D142,PLANI_LLOGARIVE!$A:$B,2,FALSE()),"")</f>
        <v/>
      </c>
      <c r="F142" s="92"/>
      <c r="G142" s="93"/>
      <c r="H142" s="94"/>
      <c r="I142" s="95"/>
      <c r="J142" s="96" t="str">
        <f aca="false">IF(TRIM($C142)="","",IF($M142&lt;&gt;"OK",$M142,IF(ABS(SUMIFS($F:$F,$C:$C,TRIM($C142))-SUMIFS($G:$G,$C:$C,TRIM($C142)))&lt;0.005,"OK","ERROR - veprimi nuk balancohet")))</f>
        <v/>
      </c>
      <c r="K142" s="97" t="str">
        <f aca="false">IF($D142="","",IFERROR(VLOOKUP($D142,PLANI_LLOGARIVE!$A:$J,10,FALSE()),FALSE()))</f>
        <v/>
      </c>
      <c r="L142" s="97" t="str">
        <f aca="false">IF($D142="","",IFERROR(VLOOKUP($D142,PLANI_LLOGARIVE!$A:$G,7,FALSE()),"NUK EKZISTON"))</f>
        <v/>
      </c>
      <c r="M142" s="98" t="str">
        <f aca="false">IF($D142="","",IF(COUNTIF(PLANI_LLOGARIVE!$A:$A,$D142)=0,"ERROR - llogaria nuk ekziston",IF($K142=TRUE(),"OK","ERROR - llogari jo-postuese/Header")))</f>
        <v/>
      </c>
      <c r="N142" s="99" t="str">
        <f aca="false">IF(TRIM($C142)="","",IF(ABS(SUMIFS($F:$F,$C:$C,TRIM($C142))-SUMIFS($G:$G,$C:$C,TRIM($C142)))&lt;0.005,"OK","ERROR - debi/kredi"))</f>
        <v/>
      </c>
      <c r="O142" s="88"/>
      <c r="P142" s="88"/>
      <c r="Q142" s="88"/>
      <c r="R142" s="88"/>
      <c r="S142" s="100" t="str">
        <f aca="false">IF(D142="","",LEFT(D142&amp;"",2))</f>
        <v/>
      </c>
      <c r="T142" s="101" t="str">
        <f aca="false">IF(D142="","",LEFT(D142&amp;"",3))</f>
        <v/>
      </c>
    </row>
    <row r="143" customFormat="false" ht="14.25" hidden="false" customHeight="true" outlineLevel="0" collapsed="false">
      <c r="A143" s="89"/>
      <c r="B143" s="90"/>
      <c r="C143" s="90"/>
      <c r="D143" s="90"/>
      <c r="E143" s="91" t="str">
        <f aca="false">IFERROR(VLOOKUP(D143,PLANI_LLOGARIVE!$A:$B,2,FALSE()),"")</f>
        <v/>
      </c>
      <c r="F143" s="92"/>
      <c r="G143" s="93"/>
      <c r="H143" s="94"/>
      <c r="I143" s="95"/>
      <c r="J143" s="96" t="str">
        <f aca="false">IF(TRIM($C143)="","",IF($M143&lt;&gt;"OK",$M143,IF(ABS(SUMIFS($F:$F,$C:$C,TRIM($C143))-SUMIFS($G:$G,$C:$C,TRIM($C143)))&lt;0.005,"OK","ERROR - veprimi nuk balancohet")))</f>
        <v/>
      </c>
      <c r="K143" s="97" t="str">
        <f aca="false">IF($D143="","",IFERROR(VLOOKUP($D143,PLANI_LLOGARIVE!$A:$J,10,FALSE()),FALSE()))</f>
        <v/>
      </c>
      <c r="L143" s="97" t="str">
        <f aca="false">IF($D143="","",IFERROR(VLOOKUP($D143,PLANI_LLOGARIVE!$A:$G,7,FALSE()),"NUK EKZISTON"))</f>
        <v/>
      </c>
      <c r="M143" s="98" t="str">
        <f aca="false">IF($D143="","",IF(COUNTIF(PLANI_LLOGARIVE!$A:$A,$D143)=0,"ERROR - llogaria nuk ekziston",IF($K143=TRUE(),"OK","ERROR - llogari jo-postuese/Header")))</f>
        <v/>
      </c>
      <c r="N143" s="99" t="str">
        <f aca="false">IF(TRIM($C143)="","",IF(ABS(SUMIFS($F:$F,$C:$C,TRIM($C143))-SUMIFS($G:$G,$C:$C,TRIM($C143)))&lt;0.005,"OK","ERROR - debi/kredi"))</f>
        <v/>
      </c>
      <c r="O143" s="88"/>
      <c r="P143" s="88"/>
      <c r="Q143" s="88"/>
      <c r="R143" s="88"/>
      <c r="S143" s="100" t="str">
        <f aca="false">IF(D143="","",LEFT(D143&amp;"",2))</f>
        <v/>
      </c>
      <c r="T143" s="101" t="str">
        <f aca="false">IF(D143="","",LEFT(D143&amp;"",3))</f>
        <v/>
      </c>
    </row>
    <row r="144" customFormat="false" ht="14.25" hidden="false" customHeight="true" outlineLevel="0" collapsed="false">
      <c r="A144" s="89"/>
      <c r="B144" s="90"/>
      <c r="C144" s="90"/>
      <c r="D144" s="90"/>
      <c r="E144" s="91" t="str">
        <f aca="false">IFERROR(VLOOKUP(D144,PLANI_LLOGARIVE!$A:$B,2,FALSE()),"")</f>
        <v/>
      </c>
      <c r="F144" s="92"/>
      <c r="G144" s="93"/>
      <c r="H144" s="94"/>
      <c r="I144" s="95"/>
      <c r="J144" s="96" t="str">
        <f aca="false">IF(TRIM($C144)="","",IF($M144&lt;&gt;"OK",$M144,IF(ABS(SUMIFS($F:$F,$C:$C,TRIM($C144))-SUMIFS($G:$G,$C:$C,TRIM($C144)))&lt;0.005,"OK","ERROR - veprimi nuk balancohet")))</f>
        <v/>
      </c>
      <c r="K144" s="97" t="str">
        <f aca="false">IF($D144="","",IFERROR(VLOOKUP($D144,PLANI_LLOGARIVE!$A:$J,10,FALSE()),FALSE()))</f>
        <v/>
      </c>
      <c r="L144" s="97" t="str">
        <f aca="false">IF($D144="","",IFERROR(VLOOKUP($D144,PLANI_LLOGARIVE!$A:$G,7,FALSE()),"NUK EKZISTON"))</f>
        <v/>
      </c>
      <c r="M144" s="98" t="str">
        <f aca="false">IF($D144="","",IF(COUNTIF(PLANI_LLOGARIVE!$A:$A,$D144)=0,"ERROR - llogaria nuk ekziston",IF($K144=TRUE(),"OK","ERROR - llogari jo-postuese/Header")))</f>
        <v/>
      </c>
      <c r="N144" s="99" t="str">
        <f aca="false">IF(TRIM($C144)="","",IF(ABS(SUMIFS($F:$F,$C:$C,TRIM($C144))-SUMIFS($G:$G,$C:$C,TRIM($C144)))&lt;0.005,"OK","ERROR - debi/kredi"))</f>
        <v/>
      </c>
      <c r="O144" s="88"/>
      <c r="P144" s="88"/>
      <c r="Q144" s="88"/>
      <c r="R144" s="88"/>
      <c r="S144" s="100" t="str">
        <f aca="false">IF(D144="","",LEFT(D144&amp;"",2))</f>
        <v/>
      </c>
      <c r="T144" s="101" t="str">
        <f aca="false">IF(D144="","",LEFT(D144&amp;"",3))</f>
        <v/>
      </c>
    </row>
    <row r="145" customFormat="false" ht="14.25" hidden="false" customHeight="true" outlineLevel="0" collapsed="false">
      <c r="A145" s="89"/>
      <c r="B145" s="90"/>
      <c r="C145" s="90"/>
      <c r="D145" s="90"/>
      <c r="E145" s="91" t="str">
        <f aca="false">IFERROR(VLOOKUP(D145,PLANI_LLOGARIVE!$A:$B,2,FALSE()),"")</f>
        <v/>
      </c>
      <c r="F145" s="92"/>
      <c r="G145" s="93"/>
      <c r="H145" s="94"/>
      <c r="I145" s="95"/>
      <c r="J145" s="96" t="str">
        <f aca="false">IF(TRIM($C145)="","",IF($M145&lt;&gt;"OK",$M145,IF(ABS(SUMIFS($F:$F,$C:$C,TRIM($C145))-SUMIFS($G:$G,$C:$C,TRIM($C145)))&lt;0.005,"OK","ERROR - veprimi nuk balancohet")))</f>
        <v/>
      </c>
      <c r="K145" s="97" t="str">
        <f aca="false">IF($D145="","",IFERROR(VLOOKUP($D145,PLANI_LLOGARIVE!$A:$J,10,FALSE()),FALSE()))</f>
        <v/>
      </c>
      <c r="L145" s="97" t="str">
        <f aca="false">IF($D145="","",IFERROR(VLOOKUP($D145,PLANI_LLOGARIVE!$A:$G,7,FALSE()),"NUK EKZISTON"))</f>
        <v/>
      </c>
      <c r="M145" s="98" t="str">
        <f aca="false">IF($D145="","",IF(COUNTIF(PLANI_LLOGARIVE!$A:$A,$D145)=0,"ERROR - llogaria nuk ekziston",IF($K145=TRUE(),"OK","ERROR - llogari jo-postuese/Header")))</f>
        <v/>
      </c>
      <c r="N145" s="99" t="str">
        <f aca="false">IF(TRIM($C145)="","",IF(ABS(SUMIFS($F:$F,$C:$C,TRIM($C145))-SUMIFS($G:$G,$C:$C,TRIM($C145)))&lt;0.005,"OK","ERROR - debi/kredi"))</f>
        <v/>
      </c>
      <c r="O145" s="88"/>
      <c r="P145" s="88"/>
      <c r="Q145" s="88"/>
      <c r="R145" s="88"/>
      <c r="S145" s="100" t="str">
        <f aca="false">IF(D145="","",LEFT(D145&amp;"",2))</f>
        <v/>
      </c>
      <c r="T145" s="101" t="str">
        <f aca="false">IF(D145="","",LEFT(D145&amp;"",3))</f>
        <v/>
      </c>
    </row>
    <row r="146" customFormat="false" ht="14.25" hidden="false" customHeight="true" outlineLevel="0" collapsed="false">
      <c r="A146" s="89"/>
      <c r="B146" s="90"/>
      <c r="C146" s="90"/>
      <c r="D146" s="90"/>
      <c r="E146" s="91" t="str">
        <f aca="false">IFERROR(VLOOKUP(D146,PLANI_LLOGARIVE!$A:$B,2,FALSE()),"")</f>
        <v/>
      </c>
      <c r="F146" s="92"/>
      <c r="G146" s="93"/>
      <c r="H146" s="94"/>
      <c r="I146" s="95"/>
      <c r="J146" s="96" t="str">
        <f aca="false">IF(TRIM($C146)="","",IF($M146&lt;&gt;"OK",$M146,IF(ABS(SUMIFS($F:$F,$C:$C,TRIM($C146))-SUMIFS($G:$G,$C:$C,TRIM($C146)))&lt;0.005,"OK","ERROR - veprimi nuk balancohet")))</f>
        <v/>
      </c>
      <c r="K146" s="97" t="str">
        <f aca="false">IF($D146="","",IFERROR(VLOOKUP($D146,PLANI_LLOGARIVE!$A:$J,10,FALSE()),FALSE()))</f>
        <v/>
      </c>
      <c r="L146" s="97" t="str">
        <f aca="false">IF($D146="","",IFERROR(VLOOKUP($D146,PLANI_LLOGARIVE!$A:$G,7,FALSE()),"NUK EKZISTON"))</f>
        <v/>
      </c>
      <c r="M146" s="98" t="str">
        <f aca="false">IF($D146="","",IF(COUNTIF(PLANI_LLOGARIVE!$A:$A,$D146)=0,"ERROR - llogaria nuk ekziston",IF($K146=TRUE(),"OK","ERROR - llogari jo-postuese/Header")))</f>
        <v/>
      </c>
      <c r="N146" s="99" t="str">
        <f aca="false">IF(TRIM($C146)="","",IF(ABS(SUMIFS($F:$F,$C:$C,TRIM($C146))-SUMIFS($G:$G,$C:$C,TRIM($C146)))&lt;0.005,"OK","ERROR - debi/kredi"))</f>
        <v/>
      </c>
      <c r="O146" s="88"/>
      <c r="P146" s="88"/>
      <c r="Q146" s="88"/>
      <c r="R146" s="88"/>
      <c r="S146" s="100" t="str">
        <f aca="false">IF(D146="","",LEFT(D146&amp;"",2))</f>
        <v/>
      </c>
      <c r="T146" s="101" t="str">
        <f aca="false">IF(D146="","",LEFT(D146&amp;"",3))</f>
        <v/>
      </c>
    </row>
    <row r="147" customFormat="false" ht="14.25" hidden="false" customHeight="true" outlineLevel="0" collapsed="false">
      <c r="A147" s="89"/>
      <c r="B147" s="90"/>
      <c r="C147" s="90"/>
      <c r="D147" s="90"/>
      <c r="E147" s="91" t="str">
        <f aca="false">IFERROR(VLOOKUP(D147,PLANI_LLOGARIVE!$A:$B,2,FALSE()),"")</f>
        <v/>
      </c>
      <c r="F147" s="92"/>
      <c r="G147" s="93"/>
      <c r="H147" s="94"/>
      <c r="I147" s="95"/>
      <c r="J147" s="96" t="str">
        <f aca="false">IF(TRIM($C147)="","",IF($M147&lt;&gt;"OK",$M147,IF(ABS(SUMIFS($F:$F,$C:$C,TRIM($C147))-SUMIFS($G:$G,$C:$C,TRIM($C147)))&lt;0.005,"OK","ERROR - veprimi nuk balancohet")))</f>
        <v/>
      </c>
      <c r="K147" s="97" t="str">
        <f aca="false">IF($D147="","",IFERROR(VLOOKUP($D147,PLANI_LLOGARIVE!$A:$J,10,FALSE()),FALSE()))</f>
        <v/>
      </c>
      <c r="L147" s="97" t="str">
        <f aca="false">IF($D147="","",IFERROR(VLOOKUP($D147,PLANI_LLOGARIVE!$A:$G,7,FALSE()),"NUK EKZISTON"))</f>
        <v/>
      </c>
      <c r="M147" s="98" t="str">
        <f aca="false">IF($D147="","",IF(COUNTIF(PLANI_LLOGARIVE!$A:$A,$D147)=0,"ERROR - llogaria nuk ekziston",IF($K147=TRUE(),"OK","ERROR - llogari jo-postuese/Header")))</f>
        <v/>
      </c>
      <c r="N147" s="99" t="str">
        <f aca="false">IF(TRIM($C147)="","",IF(ABS(SUMIFS($F:$F,$C:$C,TRIM($C147))-SUMIFS($G:$G,$C:$C,TRIM($C147)))&lt;0.005,"OK","ERROR - debi/kredi"))</f>
        <v/>
      </c>
      <c r="O147" s="88"/>
      <c r="P147" s="88"/>
      <c r="Q147" s="88"/>
      <c r="R147" s="88"/>
      <c r="S147" s="100" t="str">
        <f aca="false">IF(D147="","",LEFT(D147&amp;"",2))</f>
        <v/>
      </c>
      <c r="T147" s="101" t="str">
        <f aca="false">IF(D147="","",LEFT(D147&amp;"",3))</f>
        <v/>
      </c>
    </row>
    <row r="148" customFormat="false" ht="14.25" hidden="false" customHeight="true" outlineLevel="0" collapsed="false">
      <c r="A148" s="89"/>
      <c r="B148" s="90"/>
      <c r="C148" s="90"/>
      <c r="D148" s="90"/>
      <c r="E148" s="91" t="str">
        <f aca="false">IFERROR(VLOOKUP(D148,PLANI_LLOGARIVE!$A:$B,2,FALSE()),"")</f>
        <v/>
      </c>
      <c r="F148" s="92"/>
      <c r="G148" s="93"/>
      <c r="H148" s="94"/>
      <c r="I148" s="95"/>
      <c r="J148" s="96" t="str">
        <f aca="false">IF(TRIM($C148)="","",IF($M148&lt;&gt;"OK",$M148,IF(ABS(SUMIFS($F:$F,$C:$C,TRIM($C148))-SUMIFS($G:$G,$C:$C,TRIM($C148)))&lt;0.005,"OK","ERROR - veprimi nuk balancohet")))</f>
        <v/>
      </c>
      <c r="K148" s="97" t="str">
        <f aca="false">IF($D148="","",IFERROR(VLOOKUP($D148,PLANI_LLOGARIVE!$A:$J,10,FALSE()),FALSE()))</f>
        <v/>
      </c>
      <c r="L148" s="97" t="str">
        <f aca="false">IF($D148="","",IFERROR(VLOOKUP($D148,PLANI_LLOGARIVE!$A:$G,7,FALSE()),"NUK EKZISTON"))</f>
        <v/>
      </c>
      <c r="M148" s="98" t="str">
        <f aca="false">IF($D148="","",IF(COUNTIF(PLANI_LLOGARIVE!$A:$A,$D148)=0,"ERROR - llogaria nuk ekziston",IF($K148=TRUE(),"OK","ERROR - llogari jo-postuese/Header")))</f>
        <v/>
      </c>
      <c r="N148" s="99" t="str">
        <f aca="false">IF(TRIM($C148)="","",IF(ABS(SUMIFS($F:$F,$C:$C,TRIM($C148))-SUMIFS($G:$G,$C:$C,TRIM($C148)))&lt;0.005,"OK","ERROR - debi/kredi"))</f>
        <v/>
      </c>
      <c r="O148" s="88"/>
      <c r="P148" s="88"/>
      <c r="Q148" s="88"/>
      <c r="R148" s="88"/>
      <c r="S148" s="100" t="str">
        <f aca="false">IF(D148="","",LEFT(D148&amp;"",2))</f>
        <v/>
      </c>
      <c r="T148" s="101" t="str">
        <f aca="false">IF(D148="","",LEFT(D148&amp;"",3))</f>
        <v/>
      </c>
    </row>
    <row r="149" customFormat="false" ht="14.25" hidden="false" customHeight="true" outlineLevel="0" collapsed="false">
      <c r="A149" s="89"/>
      <c r="B149" s="90"/>
      <c r="C149" s="90"/>
      <c r="D149" s="90"/>
      <c r="E149" s="91" t="str">
        <f aca="false">IFERROR(VLOOKUP(D149,PLANI_LLOGARIVE!$A:$B,2,FALSE()),"")</f>
        <v/>
      </c>
      <c r="F149" s="92"/>
      <c r="G149" s="93"/>
      <c r="H149" s="94"/>
      <c r="I149" s="95"/>
      <c r="J149" s="96" t="str">
        <f aca="false">IF(TRIM($C149)="","",IF($M149&lt;&gt;"OK",$M149,IF(ABS(SUMIFS($F:$F,$C:$C,TRIM($C149))-SUMIFS($G:$G,$C:$C,TRIM($C149)))&lt;0.005,"OK","ERROR - veprimi nuk balancohet")))</f>
        <v/>
      </c>
      <c r="K149" s="97" t="str">
        <f aca="false">IF($D149="","",IFERROR(VLOOKUP($D149,PLANI_LLOGARIVE!$A:$J,10,FALSE()),FALSE()))</f>
        <v/>
      </c>
      <c r="L149" s="97" t="str">
        <f aca="false">IF($D149="","",IFERROR(VLOOKUP($D149,PLANI_LLOGARIVE!$A:$G,7,FALSE()),"NUK EKZISTON"))</f>
        <v/>
      </c>
      <c r="M149" s="98" t="str">
        <f aca="false">IF($D149="","",IF(COUNTIF(PLANI_LLOGARIVE!$A:$A,$D149)=0,"ERROR - llogaria nuk ekziston",IF($K149=TRUE(),"OK","ERROR - llogari jo-postuese/Header")))</f>
        <v/>
      </c>
      <c r="N149" s="99" t="str">
        <f aca="false">IF(TRIM($C149)="","",IF(ABS(SUMIFS($F:$F,$C:$C,TRIM($C149))-SUMIFS($G:$G,$C:$C,TRIM($C149)))&lt;0.005,"OK","ERROR - debi/kredi"))</f>
        <v/>
      </c>
      <c r="O149" s="88"/>
      <c r="P149" s="88"/>
      <c r="Q149" s="88"/>
      <c r="R149" s="88"/>
      <c r="S149" s="100" t="str">
        <f aca="false">IF(D149="","",LEFT(D149&amp;"",2))</f>
        <v/>
      </c>
      <c r="T149" s="101" t="str">
        <f aca="false">IF(D149="","",LEFT(D149&amp;"",3))</f>
        <v/>
      </c>
    </row>
    <row r="150" customFormat="false" ht="14.25" hidden="false" customHeight="true" outlineLevel="0" collapsed="false">
      <c r="A150" s="89"/>
      <c r="B150" s="90"/>
      <c r="C150" s="90"/>
      <c r="D150" s="90"/>
      <c r="E150" s="91" t="str">
        <f aca="false">IFERROR(VLOOKUP(D150,PLANI_LLOGARIVE!$A:$B,2,FALSE()),"")</f>
        <v/>
      </c>
      <c r="F150" s="92"/>
      <c r="G150" s="93"/>
      <c r="H150" s="94"/>
      <c r="I150" s="95"/>
      <c r="J150" s="96" t="str">
        <f aca="false">IF(TRIM($C150)="","",IF($M150&lt;&gt;"OK",$M150,IF(ABS(SUMIFS($F:$F,$C:$C,TRIM($C150))-SUMIFS($G:$G,$C:$C,TRIM($C150)))&lt;0.005,"OK","ERROR - veprimi nuk balancohet")))</f>
        <v/>
      </c>
      <c r="K150" s="97" t="str">
        <f aca="false">IF($D150="","",IFERROR(VLOOKUP($D150,PLANI_LLOGARIVE!$A:$J,10,FALSE()),FALSE()))</f>
        <v/>
      </c>
      <c r="L150" s="97" t="str">
        <f aca="false">IF($D150="","",IFERROR(VLOOKUP($D150,PLANI_LLOGARIVE!$A:$G,7,FALSE()),"NUK EKZISTON"))</f>
        <v/>
      </c>
      <c r="M150" s="98" t="str">
        <f aca="false">IF($D150="","",IF(COUNTIF(PLANI_LLOGARIVE!$A:$A,$D150)=0,"ERROR - llogaria nuk ekziston",IF($K150=TRUE(),"OK","ERROR - llogari jo-postuese/Header")))</f>
        <v/>
      </c>
      <c r="N150" s="99" t="str">
        <f aca="false">IF(TRIM($C150)="","",IF(ABS(SUMIFS($F:$F,$C:$C,TRIM($C150))-SUMIFS($G:$G,$C:$C,TRIM($C150)))&lt;0.005,"OK","ERROR - debi/kredi"))</f>
        <v/>
      </c>
      <c r="O150" s="88"/>
      <c r="P150" s="88"/>
      <c r="Q150" s="88"/>
      <c r="R150" s="88"/>
      <c r="S150" s="100" t="str">
        <f aca="false">IF(D150="","",LEFT(D150&amp;"",2))</f>
        <v/>
      </c>
      <c r="T150" s="101" t="str">
        <f aca="false">IF(D150="","",LEFT(D150&amp;"",3))</f>
        <v/>
      </c>
    </row>
    <row r="151" customFormat="false" ht="14.25" hidden="false" customHeight="true" outlineLevel="0" collapsed="false">
      <c r="A151" s="89"/>
      <c r="B151" s="90"/>
      <c r="C151" s="90"/>
      <c r="D151" s="90"/>
      <c r="E151" s="91" t="str">
        <f aca="false">IFERROR(VLOOKUP(D151,PLANI_LLOGARIVE!$A:$B,2,FALSE()),"")</f>
        <v/>
      </c>
      <c r="F151" s="92"/>
      <c r="G151" s="93"/>
      <c r="H151" s="94"/>
      <c r="I151" s="95"/>
      <c r="J151" s="96" t="str">
        <f aca="false">IF(TRIM($C151)="","",IF($M151&lt;&gt;"OK",$M151,IF(ABS(SUMIFS($F:$F,$C:$C,TRIM($C151))-SUMIFS($G:$G,$C:$C,TRIM($C151)))&lt;0.005,"OK","ERROR - veprimi nuk balancohet")))</f>
        <v/>
      </c>
      <c r="K151" s="97" t="str">
        <f aca="false">IF($D151="","",IFERROR(VLOOKUP($D151,PLANI_LLOGARIVE!$A:$J,10,FALSE()),FALSE()))</f>
        <v/>
      </c>
      <c r="L151" s="97" t="str">
        <f aca="false">IF($D151="","",IFERROR(VLOOKUP($D151,PLANI_LLOGARIVE!$A:$G,7,FALSE()),"NUK EKZISTON"))</f>
        <v/>
      </c>
      <c r="M151" s="98" t="str">
        <f aca="false">IF($D151="","",IF(COUNTIF(PLANI_LLOGARIVE!$A:$A,$D151)=0,"ERROR - llogaria nuk ekziston",IF($K151=TRUE(),"OK","ERROR - llogari jo-postuese/Header")))</f>
        <v/>
      </c>
      <c r="N151" s="99" t="str">
        <f aca="false">IF(TRIM($C151)="","",IF(ABS(SUMIFS($F:$F,$C:$C,TRIM($C151))-SUMIFS($G:$G,$C:$C,TRIM($C151)))&lt;0.005,"OK","ERROR - debi/kredi"))</f>
        <v/>
      </c>
      <c r="O151" s="88"/>
      <c r="P151" s="88"/>
      <c r="Q151" s="88"/>
      <c r="R151" s="88"/>
      <c r="S151" s="100" t="str">
        <f aca="false">IF(D151="","",LEFT(D151&amp;"",2))</f>
        <v/>
      </c>
      <c r="T151" s="101" t="str">
        <f aca="false">IF(D151="","",LEFT(D151&amp;"",3))</f>
        <v/>
      </c>
    </row>
    <row r="152" customFormat="false" ht="14.25" hidden="false" customHeight="true" outlineLevel="0" collapsed="false">
      <c r="A152" s="89"/>
      <c r="B152" s="90"/>
      <c r="C152" s="90"/>
      <c r="D152" s="90"/>
      <c r="E152" s="91" t="str">
        <f aca="false">IFERROR(VLOOKUP(D152,PLANI_LLOGARIVE!$A:$B,2,FALSE()),"")</f>
        <v/>
      </c>
      <c r="F152" s="92"/>
      <c r="G152" s="93"/>
      <c r="H152" s="94"/>
      <c r="I152" s="95"/>
      <c r="J152" s="96" t="str">
        <f aca="false">IF(TRIM($C152)="","",IF($M152&lt;&gt;"OK",$M152,IF(ABS(SUMIFS($F:$F,$C:$C,TRIM($C152))-SUMIFS($G:$G,$C:$C,TRIM($C152)))&lt;0.005,"OK","ERROR - veprimi nuk balancohet")))</f>
        <v/>
      </c>
      <c r="K152" s="97" t="str">
        <f aca="false">IF($D152="","",IFERROR(VLOOKUP($D152,PLANI_LLOGARIVE!$A:$J,10,FALSE()),FALSE()))</f>
        <v/>
      </c>
      <c r="L152" s="97" t="str">
        <f aca="false">IF($D152="","",IFERROR(VLOOKUP($D152,PLANI_LLOGARIVE!$A:$G,7,FALSE()),"NUK EKZISTON"))</f>
        <v/>
      </c>
      <c r="M152" s="98" t="str">
        <f aca="false">IF($D152="","",IF(COUNTIF(PLANI_LLOGARIVE!$A:$A,$D152)=0,"ERROR - llogaria nuk ekziston",IF($K152=TRUE(),"OK","ERROR - llogari jo-postuese/Header")))</f>
        <v/>
      </c>
      <c r="N152" s="99" t="str">
        <f aca="false">IF(TRIM($C152)="","",IF(ABS(SUMIFS($F:$F,$C:$C,TRIM($C152))-SUMIFS($G:$G,$C:$C,TRIM($C152)))&lt;0.005,"OK","ERROR - debi/kredi"))</f>
        <v/>
      </c>
      <c r="O152" s="88"/>
      <c r="P152" s="88"/>
      <c r="Q152" s="88"/>
      <c r="R152" s="88"/>
      <c r="S152" s="100" t="str">
        <f aca="false">IF(D152="","",LEFT(D152&amp;"",2))</f>
        <v/>
      </c>
      <c r="T152" s="101" t="str">
        <f aca="false">IF(D152="","",LEFT(D152&amp;"",3))</f>
        <v/>
      </c>
    </row>
    <row r="153" customFormat="false" ht="14.25" hidden="false" customHeight="true" outlineLevel="0" collapsed="false">
      <c r="A153" s="89"/>
      <c r="B153" s="90"/>
      <c r="C153" s="90"/>
      <c r="D153" s="90"/>
      <c r="E153" s="91" t="str">
        <f aca="false">IFERROR(VLOOKUP(D153,PLANI_LLOGARIVE!$A:$B,2,FALSE()),"")</f>
        <v/>
      </c>
      <c r="F153" s="92"/>
      <c r="G153" s="93"/>
      <c r="H153" s="94"/>
      <c r="I153" s="95"/>
      <c r="J153" s="96" t="str">
        <f aca="false">IF(TRIM($C153)="","",IF($M153&lt;&gt;"OK",$M153,IF(ABS(SUMIFS($F:$F,$C:$C,TRIM($C153))-SUMIFS($G:$G,$C:$C,TRIM($C153)))&lt;0.005,"OK","ERROR - veprimi nuk balancohet")))</f>
        <v/>
      </c>
      <c r="K153" s="97" t="str">
        <f aca="false">IF($D153="","",IFERROR(VLOOKUP($D153,PLANI_LLOGARIVE!$A:$J,10,FALSE()),FALSE()))</f>
        <v/>
      </c>
      <c r="L153" s="97" t="str">
        <f aca="false">IF($D153="","",IFERROR(VLOOKUP($D153,PLANI_LLOGARIVE!$A:$G,7,FALSE()),"NUK EKZISTON"))</f>
        <v/>
      </c>
      <c r="M153" s="98" t="str">
        <f aca="false">IF($D153="","",IF(COUNTIF(PLANI_LLOGARIVE!$A:$A,$D153)=0,"ERROR - llogaria nuk ekziston",IF($K153=TRUE(),"OK","ERROR - llogari jo-postuese/Header")))</f>
        <v/>
      </c>
      <c r="N153" s="99" t="str">
        <f aca="false">IF(TRIM($C153)="","",IF(ABS(SUMIFS($F:$F,$C:$C,TRIM($C153))-SUMIFS($G:$G,$C:$C,TRIM($C153)))&lt;0.005,"OK","ERROR - debi/kredi"))</f>
        <v/>
      </c>
      <c r="O153" s="88"/>
      <c r="P153" s="88"/>
      <c r="Q153" s="88"/>
      <c r="R153" s="88"/>
      <c r="S153" s="100" t="str">
        <f aca="false">IF(D153="","",LEFT(D153&amp;"",2))</f>
        <v/>
      </c>
      <c r="T153" s="101" t="str">
        <f aca="false">IF(D153="","",LEFT(D153&amp;"",3))</f>
        <v/>
      </c>
    </row>
    <row r="154" customFormat="false" ht="14.25" hidden="false" customHeight="true" outlineLevel="0" collapsed="false">
      <c r="A154" s="89"/>
      <c r="B154" s="90"/>
      <c r="C154" s="90"/>
      <c r="D154" s="90"/>
      <c r="E154" s="91" t="str">
        <f aca="false">IFERROR(VLOOKUP(D154,PLANI_LLOGARIVE!$A:$B,2,FALSE()),"")</f>
        <v/>
      </c>
      <c r="F154" s="92"/>
      <c r="G154" s="93"/>
      <c r="H154" s="94"/>
      <c r="I154" s="95"/>
      <c r="J154" s="96" t="str">
        <f aca="false">IF(TRIM($C154)="","",IF($M154&lt;&gt;"OK",$M154,IF(ABS(SUMIFS($F:$F,$C:$C,TRIM($C154))-SUMIFS($G:$G,$C:$C,TRIM($C154)))&lt;0.005,"OK","ERROR - veprimi nuk balancohet")))</f>
        <v/>
      </c>
      <c r="K154" s="97" t="str">
        <f aca="false">IF($D154="","",IFERROR(VLOOKUP($D154,PLANI_LLOGARIVE!$A:$J,10,FALSE()),FALSE()))</f>
        <v/>
      </c>
      <c r="L154" s="97" t="str">
        <f aca="false">IF($D154="","",IFERROR(VLOOKUP($D154,PLANI_LLOGARIVE!$A:$G,7,FALSE()),"NUK EKZISTON"))</f>
        <v/>
      </c>
      <c r="M154" s="98" t="str">
        <f aca="false">IF($D154="","",IF(COUNTIF(PLANI_LLOGARIVE!$A:$A,$D154)=0,"ERROR - llogaria nuk ekziston",IF($K154=TRUE(),"OK","ERROR - llogari jo-postuese/Header")))</f>
        <v/>
      </c>
      <c r="N154" s="99" t="str">
        <f aca="false">IF(TRIM($C154)="","",IF(ABS(SUMIFS($F:$F,$C:$C,TRIM($C154))-SUMIFS($G:$G,$C:$C,TRIM($C154)))&lt;0.005,"OK","ERROR - debi/kredi"))</f>
        <v/>
      </c>
      <c r="O154" s="88"/>
      <c r="P154" s="88"/>
      <c r="Q154" s="88"/>
      <c r="R154" s="88"/>
      <c r="S154" s="100" t="str">
        <f aca="false">IF(D154="","",LEFT(D154&amp;"",2))</f>
        <v/>
      </c>
      <c r="T154" s="101" t="str">
        <f aca="false">IF(D154="","",LEFT(D154&amp;"",3))</f>
        <v/>
      </c>
    </row>
    <row r="155" customFormat="false" ht="14.25" hidden="false" customHeight="true" outlineLevel="0" collapsed="false">
      <c r="A155" s="89"/>
      <c r="B155" s="90"/>
      <c r="C155" s="90"/>
      <c r="D155" s="90"/>
      <c r="E155" s="91" t="str">
        <f aca="false">IFERROR(VLOOKUP(D155,PLANI_LLOGARIVE!$A:$B,2,FALSE()),"")</f>
        <v/>
      </c>
      <c r="F155" s="92"/>
      <c r="G155" s="93"/>
      <c r="H155" s="94"/>
      <c r="I155" s="95"/>
      <c r="J155" s="96" t="str">
        <f aca="false">IF(TRIM($C155)="","",IF($M155&lt;&gt;"OK",$M155,IF(ABS(SUMIFS($F:$F,$C:$C,TRIM($C155))-SUMIFS($G:$G,$C:$C,TRIM($C155)))&lt;0.005,"OK","ERROR - veprimi nuk balancohet")))</f>
        <v/>
      </c>
      <c r="K155" s="97" t="str">
        <f aca="false">IF($D155="","",IFERROR(VLOOKUP($D155,PLANI_LLOGARIVE!$A:$J,10,FALSE()),FALSE()))</f>
        <v/>
      </c>
      <c r="L155" s="97" t="str">
        <f aca="false">IF($D155="","",IFERROR(VLOOKUP($D155,PLANI_LLOGARIVE!$A:$G,7,FALSE()),"NUK EKZISTON"))</f>
        <v/>
      </c>
      <c r="M155" s="98" t="str">
        <f aca="false">IF($D155="","",IF(COUNTIF(PLANI_LLOGARIVE!$A:$A,$D155)=0,"ERROR - llogaria nuk ekziston",IF($K155=TRUE(),"OK","ERROR - llogari jo-postuese/Header")))</f>
        <v/>
      </c>
      <c r="N155" s="99" t="str">
        <f aca="false">IF(TRIM($C155)="","",IF(ABS(SUMIFS($F:$F,$C:$C,TRIM($C155))-SUMIFS($G:$G,$C:$C,TRIM($C155)))&lt;0.005,"OK","ERROR - debi/kredi"))</f>
        <v/>
      </c>
      <c r="O155" s="88"/>
      <c r="P155" s="88"/>
      <c r="Q155" s="88"/>
      <c r="R155" s="88"/>
      <c r="S155" s="100" t="str">
        <f aca="false">IF(D155="","",LEFT(D155&amp;"",2))</f>
        <v/>
      </c>
      <c r="T155" s="101" t="str">
        <f aca="false">IF(D155="","",LEFT(D155&amp;"",3))</f>
        <v/>
      </c>
    </row>
    <row r="156" customFormat="false" ht="14.25" hidden="false" customHeight="true" outlineLevel="0" collapsed="false">
      <c r="A156" s="89"/>
      <c r="B156" s="90"/>
      <c r="C156" s="90"/>
      <c r="D156" s="90"/>
      <c r="E156" s="91" t="str">
        <f aca="false">IFERROR(VLOOKUP(D156,PLANI_LLOGARIVE!$A:$B,2,FALSE()),"")</f>
        <v/>
      </c>
      <c r="F156" s="92"/>
      <c r="G156" s="93"/>
      <c r="H156" s="94"/>
      <c r="I156" s="95"/>
      <c r="J156" s="96" t="str">
        <f aca="false">IF(TRIM($C156)="","",IF($M156&lt;&gt;"OK",$M156,IF(ABS(SUMIFS($F:$F,$C:$C,TRIM($C156))-SUMIFS($G:$G,$C:$C,TRIM($C156)))&lt;0.005,"OK","ERROR - veprimi nuk balancohet")))</f>
        <v/>
      </c>
      <c r="K156" s="97" t="str">
        <f aca="false">IF($D156="","",IFERROR(VLOOKUP($D156,PLANI_LLOGARIVE!$A:$J,10,FALSE()),FALSE()))</f>
        <v/>
      </c>
      <c r="L156" s="97" t="str">
        <f aca="false">IF($D156="","",IFERROR(VLOOKUP($D156,PLANI_LLOGARIVE!$A:$G,7,FALSE()),"NUK EKZISTON"))</f>
        <v/>
      </c>
      <c r="M156" s="98" t="str">
        <f aca="false">IF($D156="","",IF(COUNTIF(PLANI_LLOGARIVE!$A:$A,$D156)=0,"ERROR - llogaria nuk ekziston",IF($K156=TRUE(),"OK","ERROR - llogari jo-postuese/Header")))</f>
        <v/>
      </c>
      <c r="N156" s="99" t="str">
        <f aca="false">IF(TRIM($C156)="","",IF(ABS(SUMIFS($F:$F,$C:$C,TRIM($C156))-SUMIFS($G:$G,$C:$C,TRIM($C156)))&lt;0.005,"OK","ERROR - debi/kredi"))</f>
        <v/>
      </c>
      <c r="O156" s="88"/>
      <c r="P156" s="88"/>
      <c r="Q156" s="88"/>
      <c r="R156" s="88"/>
      <c r="S156" s="100" t="str">
        <f aca="false">IF(D156="","",LEFT(D156&amp;"",2))</f>
        <v/>
      </c>
      <c r="T156" s="101" t="str">
        <f aca="false">IF(D156="","",LEFT(D156&amp;"",3))</f>
        <v/>
      </c>
    </row>
    <row r="157" customFormat="false" ht="14.25" hidden="false" customHeight="true" outlineLevel="0" collapsed="false">
      <c r="A157" s="89"/>
      <c r="B157" s="90"/>
      <c r="C157" s="90"/>
      <c r="D157" s="90"/>
      <c r="E157" s="91" t="str">
        <f aca="false">IFERROR(VLOOKUP(D157,PLANI_LLOGARIVE!$A:$B,2,FALSE()),"")</f>
        <v/>
      </c>
      <c r="F157" s="92"/>
      <c r="G157" s="93"/>
      <c r="H157" s="94"/>
      <c r="I157" s="95"/>
      <c r="J157" s="96" t="str">
        <f aca="false">IF(TRIM($C157)="","",IF($M157&lt;&gt;"OK",$M157,IF(ABS(SUMIFS($F:$F,$C:$C,TRIM($C157))-SUMIFS($G:$G,$C:$C,TRIM($C157)))&lt;0.005,"OK","ERROR - veprimi nuk balancohet")))</f>
        <v/>
      </c>
      <c r="K157" s="97" t="str">
        <f aca="false">IF($D157="","",IFERROR(VLOOKUP($D157,PLANI_LLOGARIVE!$A:$J,10,FALSE()),FALSE()))</f>
        <v/>
      </c>
      <c r="L157" s="97" t="str">
        <f aca="false">IF($D157="","",IFERROR(VLOOKUP($D157,PLANI_LLOGARIVE!$A:$G,7,FALSE()),"NUK EKZISTON"))</f>
        <v/>
      </c>
      <c r="M157" s="98" t="str">
        <f aca="false">IF($D157="","",IF(COUNTIF(PLANI_LLOGARIVE!$A:$A,$D157)=0,"ERROR - llogaria nuk ekziston",IF($K157=TRUE(),"OK","ERROR - llogari jo-postuese/Header")))</f>
        <v/>
      </c>
      <c r="N157" s="99" t="str">
        <f aca="false">IF(TRIM($C157)="","",IF(ABS(SUMIFS($F:$F,$C:$C,TRIM($C157))-SUMIFS($G:$G,$C:$C,TRIM($C157)))&lt;0.005,"OK","ERROR - debi/kredi"))</f>
        <v/>
      </c>
      <c r="O157" s="88"/>
      <c r="P157" s="88"/>
      <c r="Q157" s="88"/>
      <c r="R157" s="88"/>
      <c r="S157" s="100" t="str">
        <f aca="false">IF(D157="","",LEFT(D157&amp;"",2))</f>
        <v/>
      </c>
      <c r="T157" s="101" t="str">
        <f aca="false">IF(D157="","",LEFT(D157&amp;"",3))</f>
        <v/>
      </c>
    </row>
    <row r="158" customFormat="false" ht="14.25" hidden="false" customHeight="true" outlineLevel="0" collapsed="false">
      <c r="A158" s="89"/>
      <c r="B158" s="90"/>
      <c r="C158" s="90"/>
      <c r="D158" s="90"/>
      <c r="E158" s="91" t="str">
        <f aca="false">IFERROR(VLOOKUP(D158,PLANI_LLOGARIVE!$A:$B,2,FALSE()),"")</f>
        <v/>
      </c>
      <c r="F158" s="92"/>
      <c r="G158" s="93"/>
      <c r="H158" s="94"/>
      <c r="I158" s="95"/>
      <c r="J158" s="96" t="str">
        <f aca="false">IF(TRIM($C158)="","",IF($M158&lt;&gt;"OK",$M158,IF(ABS(SUMIFS($F:$F,$C:$C,TRIM($C158))-SUMIFS($G:$G,$C:$C,TRIM($C158)))&lt;0.005,"OK","ERROR - veprimi nuk balancohet")))</f>
        <v/>
      </c>
      <c r="K158" s="97" t="str">
        <f aca="false">IF($D158="","",IFERROR(VLOOKUP($D158,PLANI_LLOGARIVE!$A:$J,10,FALSE()),FALSE()))</f>
        <v/>
      </c>
      <c r="L158" s="97" t="str">
        <f aca="false">IF($D158="","",IFERROR(VLOOKUP($D158,PLANI_LLOGARIVE!$A:$G,7,FALSE()),"NUK EKZISTON"))</f>
        <v/>
      </c>
      <c r="M158" s="98" t="str">
        <f aca="false">IF($D158="","",IF(COUNTIF(PLANI_LLOGARIVE!$A:$A,$D158)=0,"ERROR - llogaria nuk ekziston",IF($K158=TRUE(),"OK","ERROR - llogari jo-postuese/Header")))</f>
        <v/>
      </c>
      <c r="N158" s="99" t="str">
        <f aca="false">IF(TRIM($C158)="","",IF(ABS(SUMIFS($F:$F,$C:$C,TRIM($C158))-SUMIFS($G:$G,$C:$C,TRIM($C158)))&lt;0.005,"OK","ERROR - debi/kredi"))</f>
        <v/>
      </c>
      <c r="O158" s="88"/>
      <c r="P158" s="88"/>
      <c r="Q158" s="88"/>
      <c r="R158" s="88"/>
      <c r="S158" s="100" t="str">
        <f aca="false">IF(D158="","",LEFT(D158&amp;"",2))</f>
        <v/>
      </c>
      <c r="T158" s="101" t="str">
        <f aca="false">IF(D158="","",LEFT(D158&amp;"",3))</f>
        <v/>
      </c>
    </row>
    <row r="159" customFormat="false" ht="14.25" hidden="false" customHeight="true" outlineLevel="0" collapsed="false">
      <c r="A159" s="89"/>
      <c r="B159" s="90"/>
      <c r="C159" s="90"/>
      <c r="D159" s="90"/>
      <c r="E159" s="91" t="str">
        <f aca="false">IFERROR(VLOOKUP(D159,PLANI_LLOGARIVE!$A:$B,2,FALSE()),"")</f>
        <v/>
      </c>
      <c r="F159" s="92"/>
      <c r="G159" s="93"/>
      <c r="H159" s="94"/>
      <c r="I159" s="95"/>
      <c r="J159" s="96" t="str">
        <f aca="false">IF(TRIM($C159)="","",IF($M159&lt;&gt;"OK",$M159,IF(ABS(SUMIFS($F:$F,$C:$C,TRIM($C159))-SUMIFS($G:$G,$C:$C,TRIM($C159)))&lt;0.005,"OK","ERROR - veprimi nuk balancohet")))</f>
        <v/>
      </c>
      <c r="K159" s="97" t="str">
        <f aca="false">IF($D159="","",IFERROR(VLOOKUP($D159,PLANI_LLOGARIVE!$A:$J,10,FALSE()),FALSE()))</f>
        <v/>
      </c>
      <c r="L159" s="97" t="str">
        <f aca="false">IF($D159="","",IFERROR(VLOOKUP($D159,PLANI_LLOGARIVE!$A:$G,7,FALSE()),"NUK EKZISTON"))</f>
        <v/>
      </c>
      <c r="M159" s="98" t="str">
        <f aca="false">IF($D159="","",IF(COUNTIF(PLANI_LLOGARIVE!$A:$A,$D159)=0,"ERROR - llogaria nuk ekziston",IF($K159=TRUE(),"OK","ERROR - llogari jo-postuese/Header")))</f>
        <v/>
      </c>
      <c r="N159" s="99" t="str">
        <f aca="false">IF(TRIM($C159)="","",IF(ABS(SUMIFS($F:$F,$C:$C,TRIM($C159))-SUMIFS($G:$G,$C:$C,TRIM($C159)))&lt;0.005,"OK","ERROR - debi/kredi"))</f>
        <v/>
      </c>
      <c r="O159" s="88"/>
      <c r="P159" s="88"/>
      <c r="Q159" s="88"/>
      <c r="R159" s="88"/>
      <c r="S159" s="100" t="str">
        <f aca="false">IF(D159="","",LEFT(D159&amp;"",2))</f>
        <v/>
      </c>
      <c r="T159" s="101" t="str">
        <f aca="false">IF(D159="","",LEFT(D159&amp;"",3))</f>
        <v/>
      </c>
    </row>
    <row r="160" customFormat="false" ht="14.25" hidden="false" customHeight="true" outlineLevel="0" collapsed="false">
      <c r="A160" s="89"/>
      <c r="B160" s="90"/>
      <c r="C160" s="90"/>
      <c r="D160" s="90"/>
      <c r="E160" s="91" t="str">
        <f aca="false">IFERROR(VLOOKUP(D160,PLANI_LLOGARIVE!$A:$B,2,FALSE()),"")</f>
        <v/>
      </c>
      <c r="F160" s="92"/>
      <c r="G160" s="93"/>
      <c r="H160" s="94"/>
      <c r="I160" s="95"/>
      <c r="J160" s="96" t="str">
        <f aca="false">IF(TRIM($C160)="","",IF($M160&lt;&gt;"OK",$M160,IF(ABS(SUMIFS($F:$F,$C:$C,TRIM($C160))-SUMIFS($G:$G,$C:$C,TRIM($C160)))&lt;0.005,"OK","ERROR - veprimi nuk balancohet")))</f>
        <v/>
      </c>
      <c r="K160" s="97" t="str">
        <f aca="false">IF($D160="","",IFERROR(VLOOKUP($D160,PLANI_LLOGARIVE!$A:$J,10,FALSE()),FALSE()))</f>
        <v/>
      </c>
      <c r="L160" s="97" t="str">
        <f aca="false">IF($D160="","",IFERROR(VLOOKUP($D160,PLANI_LLOGARIVE!$A:$G,7,FALSE()),"NUK EKZISTON"))</f>
        <v/>
      </c>
      <c r="M160" s="98" t="str">
        <f aca="false">IF($D160="","",IF(COUNTIF(PLANI_LLOGARIVE!$A:$A,$D160)=0,"ERROR - llogaria nuk ekziston",IF($K160=TRUE(),"OK","ERROR - llogari jo-postuese/Header")))</f>
        <v/>
      </c>
      <c r="N160" s="99" t="str">
        <f aca="false">IF(TRIM($C160)="","",IF(ABS(SUMIFS($F:$F,$C:$C,TRIM($C160))-SUMIFS($G:$G,$C:$C,TRIM($C160)))&lt;0.005,"OK","ERROR - debi/kredi"))</f>
        <v/>
      </c>
      <c r="O160" s="88"/>
      <c r="P160" s="88"/>
      <c r="Q160" s="88"/>
      <c r="R160" s="88"/>
      <c r="S160" s="100" t="str">
        <f aca="false">IF(D160="","",LEFT(D160&amp;"",2))</f>
        <v/>
      </c>
      <c r="T160" s="101" t="str">
        <f aca="false">IF(D160="","",LEFT(D160&amp;"",3))</f>
        <v/>
      </c>
    </row>
    <row r="161" customFormat="false" ht="14.25" hidden="false" customHeight="true" outlineLevel="0" collapsed="false">
      <c r="A161" s="89"/>
      <c r="B161" s="90"/>
      <c r="C161" s="90"/>
      <c r="D161" s="90"/>
      <c r="E161" s="91" t="str">
        <f aca="false">IFERROR(VLOOKUP(D161,PLANI_LLOGARIVE!$A:$B,2,FALSE()),"")</f>
        <v/>
      </c>
      <c r="F161" s="92"/>
      <c r="G161" s="93"/>
      <c r="H161" s="94"/>
      <c r="I161" s="95"/>
      <c r="J161" s="96" t="str">
        <f aca="false">IF(TRIM($C161)="","",IF($M161&lt;&gt;"OK",$M161,IF(ABS(SUMIFS($F:$F,$C:$C,TRIM($C161))-SUMIFS($G:$G,$C:$C,TRIM($C161)))&lt;0.005,"OK","ERROR - veprimi nuk balancohet")))</f>
        <v/>
      </c>
      <c r="K161" s="97" t="str">
        <f aca="false">IF($D161="","",IFERROR(VLOOKUP($D161,PLANI_LLOGARIVE!$A:$J,10,FALSE()),FALSE()))</f>
        <v/>
      </c>
      <c r="L161" s="97" t="str">
        <f aca="false">IF($D161="","",IFERROR(VLOOKUP($D161,PLANI_LLOGARIVE!$A:$G,7,FALSE()),"NUK EKZISTON"))</f>
        <v/>
      </c>
      <c r="M161" s="98" t="str">
        <f aca="false">IF($D161="","",IF(COUNTIF(PLANI_LLOGARIVE!$A:$A,$D161)=0,"ERROR - llogaria nuk ekziston",IF($K161=TRUE(),"OK","ERROR - llogari jo-postuese/Header")))</f>
        <v/>
      </c>
      <c r="N161" s="99" t="str">
        <f aca="false">IF(TRIM($C161)="","",IF(ABS(SUMIFS($F:$F,$C:$C,TRIM($C161))-SUMIFS($G:$G,$C:$C,TRIM($C161)))&lt;0.005,"OK","ERROR - debi/kredi"))</f>
        <v/>
      </c>
      <c r="O161" s="88"/>
      <c r="P161" s="88"/>
      <c r="Q161" s="88"/>
      <c r="R161" s="88"/>
      <c r="S161" s="100" t="str">
        <f aca="false">IF(D161="","",LEFT(D161&amp;"",2))</f>
        <v/>
      </c>
      <c r="T161" s="101" t="str">
        <f aca="false">IF(D161="","",LEFT(D161&amp;"",3))</f>
        <v/>
      </c>
    </row>
    <row r="162" customFormat="false" ht="14.25" hidden="false" customHeight="true" outlineLevel="0" collapsed="false">
      <c r="A162" s="89"/>
      <c r="B162" s="90"/>
      <c r="C162" s="90"/>
      <c r="D162" s="90"/>
      <c r="E162" s="91" t="str">
        <f aca="false">IFERROR(VLOOKUP(D162,PLANI_LLOGARIVE!$A:$B,2,FALSE()),"")</f>
        <v/>
      </c>
      <c r="F162" s="92"/>
      <c r="G162" s="93"/>
      <c r="H162" s="94"/>
      <c r="I162" s="95"/>
      <c r="J162" s="96" t="str">
        <f aca="false">IF(TRIM($C162)="","",IF($M162&lt;&gt;"OK",$M162,IF(ABS(SUMIFS($F:$F,$C:$C,TRIM($C162))-SUMIFS($G:$G,$C:$C,TRIM($C162)))&lt;0.005,"OK","ERROR - veprimi nuk balancohet")))</f>
        <v/>
      </c>
      <c r="K162" s="97" t="str">
        <f aca="false">IF($D162="","",IFERROR(VLOOKUP($D162,PLANI_LLOGARIVE!$A:$J,10,FALSE()),FALSE()))</f>
        <v/>
      </c>
      <c r="L162" s="97" t="str">
        <f aca="false">IF($D162="","",IFERROR(VLOOKUP($D162,PLANI_LLOGARIVE!$A:$G,7,FALSE()),"NUK EKZISTON"))</f>
        <v/>
      </c>
      <c r="M162" s="98" t="str">
        <f aca="false">IF($D162="","",IF(COUNTIF(PLANI_LLOGARIVE!$A:$A,$D162)=0,"ERROR - llogaria nuk ekziston",IF($K162=TRUE(),"OK","ERROR - llogari jo-postuese/Header")))</f>
        <v/>
      </c>
      <c r="N162" s="99" t="str">
        <f aca="false">IF(TRIM($C162)="","",IF(ABS(SUMIFS($F:$F,$C:$C,TRIM($C162))-SUMIFS($G:$G,$C:$C,TRIM($C162)))&lt;0.005,"OK","ERROR - debi/kredi"))</f>
        <v/>
      </c>
      <c r="O162" s="88"/>
      <c r="P162" s="88"/>
      <c r="Q162" s="88"/>
      <c r="R162" s="88"/>
      <c r="S162" s="100" t="str">
        <f aca="false">IF(D162="","",LEFT(D162&amp;"",2))</f>
        <v/>
      </c>
      <c r="T162" s="101" t="str">
        <f aca="false">IF(D162="","",LEFT(D162&amp;"",3))</f>
        <v/>
      </c>
    </row>
    <row r="163" customFormat="false" ht="14.25" hidden="false" customHeight="true" outlineLevel="0" collapsed="false">
      <c r="A163" s="89"/>
      <c r="B163" s="90"/>
      <c r="C163" s="90"/>
      <c r="D163" s="90"/>
      <c r="E163" s="91" t="str">
        <f aca="false">IFERROR(VLOOKUP(D163,PLANI_LLOGARIVE!$A:$B,2,FALSE()),"")</f>
        <v/>
      </c>
      <c r="F163" s="92"/>
      <c r="G163" s="93"/>
      <c r="H163" s="94"/>
      <c r="I163" s="95"/>
      <c r="J163" s="96" t="str">
        <f aca="false">IF(TRIM($C163)="","",IF($M163&lt;&gt;"OK",$M163,IF(ABS(SUMIFS($F:$F,$C:$C,TRIM($C163))-SUMIFS($G:$G,$C:$C,TRIM($C163)))&lt;0.005,"OK","ERROR - veprimi nuk balancohet")))</f>
        <v/>
      </c>
      <c r="K163" s="97" t="str">
        <f aca="false">IF($D163="","",IFERROR(VLOOKUP($D163,PLANI_LLOGARIVE!$A:$J,10,FALSE()),FALSE()))</f>
        <v/>
      </c>
      <c r="L163" s="97" t="str">
        <f aca="false">IF($D163="","",IFERROR(VLOOKUP($D163,PLANI_LLOGARIVE!$A:$G,7,FALSE()),"NUK EKZISTON"))</f>
        <v/>
      </c>
      <c r="M163" s="98" t="str">
        <f aca="false">IF($D163="","",IF(COUNTIF(PLANI_LLOGARIVE!$A:$A,$D163)=0,"ERROR - llogaria nuk ekziston",IF($K163=TRUE(),"OK","ERROR - llogari jo-postuese/Header")))</f>
        <v/>
      </c>
      <c r="N163" s="99" t="str">
        <f aca="false">IF(TRIM($C163)="","",IF(ABS(SUMIFS($F:$F,$C:$C,TRIM($C163))-SUMIFS($G:$G,$C:$C,TRIM($C163)))&lt;0.005,"OK","ERROR - debi/kredi"))</f>
        <v/>
      </c>
      <c r="O163" s="88"/>
      <c r="P163" s="88"/>
      <c r="Q163" s="88"/>
      <c r="R163" s="88"/>
      <c r="S163" s="100" t="str">
        <f aca="false">IF(D163="","",LEFT(D163&amp;"",2))</f>
        <v/>
      </c>
      <c r="T163" s="101" t="str">
        <f aca="false">IF(D163="","",LEFT(D163&amp;"",3))</f>
        <v/>
      </c>
    </row>
    <row r="164" customFormat="false" ht="14.25" hidden="false" customHeight="true" outlineLevel="0" collapsed="false">
      <c r="A164" s="89"/>
      <c r="B164" s="90"/>
      <c r="C164" s="90"/>
      <c r="D164" s="90"/>
      <c r="E164" s="91" t="str">
        <f aca="false">IFERROR(VLOOKUP(D164,PLANI_LLOGARIVE!$A:$B,2,FALSE()),"")</f>
        <v/>
      </c>
      <c r="F164" s="92"/>
      <c r="G164" s="93"/>
      <c r="H164" s="94"/>
      <c r="I164" s="95"/>
      <c r="J164" s="96" t="str">
        <f aca="false">IF(TRIM($C164)="","",IF($M164&lt;&gt;"OK",$M164,IF(ABS(SUMIFS($F:$F,$C:$C,TRIM($C164))-SUMIFS($G:$G,$C:$C,TRIM($C164)))&lt;0.005,"OK","ERROR - veprimi nuk balancohet")))</f>
        <v/>
      </c>
      <c r="K164" s="97" t="str">
        <f aca="false">IF($D164="","",IFERROR(VLOOKUP($D164,PLANI_LLOGARIVE!$A:$J,10,FALSE()),FALSE()))</f>
        <v/>
      </c>
      <c r="L164" s="97" t="str">
        <f aca="false">IF($D164="","",IFERROR(VLOOKUP($D164,PLANI_LLOGARIVE!$A:$G,7,FALSE()),"NUK EKZISTON"))</f>
        <v/>
      </c>
      <c r="M164" s="98" t="str">
        <f aca="false">IF($D164="","",IF(COUNTIF(PLANI_LLOGARIVE!$A:$A,$D164)=0,"ERROR - llogaria nuk ekziston",IF($K164=TRUE(),"OK","ERROR - llogari jo-postuese/Header")))</f>
        <v/>
      </c>
      <c r="N164" s="99" t="str">
        <f aca="false">IF(TRIM($C164)="","",IF(ABS(SUMIFS($F:$F,$C:$C,TRIM($C164))-SUMIFS($G:$G,$C:$C,TRIM($C164)))&lt;0.005,"OK","ERROR - debi/kredi"))</f>
        <v/>
      </c>
      <c r="O164" s="88"/>
      <c r="P164" s="88"/>
      <c r="Q164" s="88"/>
      <c r="R164" s="88"/>
      <c r="S164" s="100" t="str">
        <f aca="false">IF(D164="","",LEFT(D164&amp;"",2))</f>
        <v/>
      </c>
      <c r="T164" s="101" t="str">
        <f aca="false">IF(D164="","",LEFT(D164&amp;"",3))</f>
        <v/>
      </c>
    </row>
    <row r="165" customFormat="false" ht="14.25" hidden="false" customHeight="true" outlineLevel="0" collapsed="false">
      <c r="A165" s="89"/>
      <c r="B165" s="90"/>
      <c r="C165" s="90"/>
      <c r="D165" s="90"/>
      <c r="E165" s="91" t="str">
        <f aca="false">IFERROR(VLOOKUP(D165,PLANI_LLOGARIVE!$A:$B,2,FALSE()),"")</f>
        <v/>
      </c>
      <c r="F165" s="92"/>
      <c r="G165" s="93"/>
      <c r="H165" s="94"/>
      <c r="I165" s="95"/>
      <c r="J165" s="96" t="str">
        <f aca="false">IF(TRIM($C165)="","",IF($M165&lt;&gt;"OK",$M165,IF(ABS(SUMIFS($F:$F,$C:$C,TRIM($C165))-SUMIFS($G:$G,$C:$C,TRIM($C165)))&lt;0.005,"OK","ERROR - veprimi nuk balancohet")))</f>
        <v/>
      </c>
      <c r="K165" s="97" t="str">
        <f aca="false">IF($D165="","",IFERROR(VLOOKUP($D165,PLANI_LLOGARIVE!$A:$J,10,FALSE()),FALSE()))</f>
        <v/>
      </c>
      <c r="L165" s="97" t="str">
        <f aca="false">IF($D165="","",IFERROR(VLOOKUP($D165,PLANI_LLOGARIVE!$A:$G,7,FALSE()),"NUK EKZISTON"))</f>
        <v/>
      </c>
      <c r="M165" s="98" t="str">
        <f aca="false">IF($D165="","",IF(COUNTIF(PLANI_LLOGARIVE!$A:$A,$D165)=0,"ERROR - llogaria nuk ekziston",IF($K165=TRUE(),"OK","ERROR - llogari jo-postuese/Header")))</f>
        <v/>
      </c>
      <c r="N165" s="99" t="str">
        <f aca="false">IF(TRIM($C165)="","",IF(ABS(SUMIFS($F:$F,$C:$C,TRIM($C165))-SUMIFS($G:$G,$C:$C,TRIM($C165)))&lt;0.005,"OK","ERROR - debi/kredi"))</f>
        <v/>
      </c>
      <c r="O165" s="88"/>
      <c r="P165" s="88"/>
      <c r="Q165" s="88"/>
      <c r="R165" s="88"/>
      <c r="S165" s="100" t="str">
        <f aca="false">IF(D165="","",LEFT(D165&amp;"",2))</f>
        <v/>
      </c>
      <c r="T165" s="101" t="str">
        <f aca="false">IF(D165="","",LEFT(D165&amp;"",3))</f>
        <v/>
      </c>
    </row>
    <row r="166" customFormat="false" ht="14.25" hidden="false" customHeight="true" outlineLevel="0" collapsed="false">
      <c r="A166" s="89"/>
      <c r="B166" s="90"/>
      <c r="C166" s="90"/>
      <c r="D166" s="90"/>
      <c r="E166" s="91" t="str">
        <f aca="false">IFERROR(VLOOKUP(D166,PLANI_LLOGARIVE!$A:$B,2,FALSE()),"")</f>
        <v/>
      </c>
      <c r="F166" s="92"/>
      <c r="G166" s="93"/>
      <c r="H166" s="94"/>
      <c r="I166" s="95"/>
      <c r="J166" s="96" t="str">
        <f aca="false">IF(TRIM($C166)="","",IF($M166&lt;&gt;"OK",$M166,IF(ABS(SUMIFS($F:$F,$C:$C,TRIM($C166))-SUMIFS($G:$G,$C:$C,TRIM($C166)))&lt;0.005,"OK","ERROR - veprimi nuk balancohet")))</f>
        <v/>
      </c>
      <c r="K166" s="97" t="str">
        <f aca="false">IF($D166="","",IFERROR(VLOOKUP($D166,PLANI_LLOGARIVE!$A:$J,10,FALSE()),FALSE()))</f>
        <v/>
      </c>
      <c r="L166" s="97" t="str">
        <f aca="false">IF($D166="","",IFERROR(VLOOKUP($D166,PLANI_LLOGARIVE!$A:$G,7,FALSE()),"NUK EKZISTON"))</f>
        <v/>
      </c>
      <c r="M166" s="98" t="str">
        <f aca="false">IF($D166="","",IF(COUNTIF(PLANI_LLOGARIVE!$A:$A,$D166)=0,"ERROR - llogaria nuk ekziston",IF($K166=TRUE(),"OK","ERROR - llogari jo-postuese/Header")))</f>
        <v/>
      </c>
      <c r="N166" s="99" t="str">
        <f aca="false">IF(TRIM($C166)="","",IF(ABS(SUMIFS($F:$F,$C:$C,TRIM($C166))-SUMIFS($G:$G,$C:$C,TRIM($C166)))&lt;0.005,"OK","ERROR - debi/kredi"))</f>
        <v/>
      </c>
      <c r="O166" s="88"/>
      <c r="P166" s="88"/>
      <c r="Q166" s="88"/>
      <c r="R166" s="88"/>
      <c r="S166" s="100" t="str">
        <f aca="false">IF(D166="","",LEFT(D166&amp;"",2))</f>
        <v/>
      </c>
      <c r="T166" s="101" t="str">
        <f aca="false">IF(D166="","",LEFT(D166&amp;"",3))</f>
        <v/>
      </c>
    </row>
    <row r="167" customFormat="false" ht="14.25" hidden="false" customHeight="true" outlineLevel="0" collapsed="false">
      <c r="A167" s="89"/>
      <c r="B167" s="90"/>
      <c r="C167" s="90"/>
      <c r="D167" s="90"/>
      <c r="E167" s="91" t="str">
        <f aca="false">IFERROR(VLOOKUP(D167,PLANI_LLOGARIVE!$A:$B,2,FALSE()),"")</f>
        <v/>
      </c>
      <c r="F167" s="92"/>
      <c r="G167" s="93"/>
      <c r="H167" s="94"/>
      <c r="I167" s="95"/>
      <c r="J167" s="96" t="str">
        <f aca="false">IF(TRIM($C167)="","",IF($M167&lt;&gt;"OK",$M167,IF(ABS(SUMIFS($F:$F,$C:$C,TRIM($C167))-SUMIFS($G:$G,$C:$C,TRIM($C167)))&lt;0.005,"OK","ERROR - veprimi nuk balancohet")))</f>
        <v/>
      </c>
      <c r="K167" s="97" t="str">
        <f aca="false">IF($D167="","",IFERROR(VLOOKUP($D167,PLANI_LLOGARIVE!$A:$J,10,FALSE()),FALSE()))</f>
        <v/>
      </c>
      <c r="L167" s="97" t="str">
        <f aca="false">IF($D167="","",IFERROR(VLOOKUP($D167,PLANI_LLOGARIVE!$A:$G,7,FALSE()),"NUK EKZISTON"))</f>
        <v/>
      </c>
      <c r="M167" s="98" t="str">
        <f aca="false">IF($D167="","",IF(COUNTIF(PLANI_LLOGARIVE!$A:$A,$D167)=0,"ERROR - llogaria nuk ekziston",IF($K167=TRUE(),"OK","ERROR - llogari jo-postuese/Header")))</f>
        <v/>
      </c>
      <c r="N167" s="99" t="str">
        <f aca="false">IF(TRIM($C167)="","",IF(ABS(SUMIFS($F:$F,$C:$C,TRIM($C167))-SUMIFS($G:$G,$C:$C,TRIM($C167)))&lt;0.005,"OK","ERROR - debi/kredi"))</f>
        <v/>
      </c>
      <c r="O167" s="88"/>
      <c r="P167" s="88"/>
      <c r="Q167" s="88"/>
      <c r="R167" s="88"/>
      <c r="S167" s="100" t="str">
        <f aca="false">IF(D167="","",LEFT(D167&amp;"",2))</f>
        <v/>
      </c>
      <c r="T167" s="101" t="str">
        <f aca="false">IF(D167="","",LEFT(D167&amp;"",3))</f>
        <v/>
      </c>
    </row>
    <row r="168" customFormat="false" ht="14.25" hidden="false" customHeight="true" outlineLevel="0" collapsed="false">
      <c r="A168" s="89"/>
      <c r="B168" s="90"/>
      <c r="C168" s="90"/>
      <c r="D168" s="90"/>
      <c r="E168" s="91" t="str">
        <f aca="false">IFERROR(VLOOKUP(D168,PLANI_LLOGARIVE!$A:$B,2,FALSE()),"")</f>
        <v/>
      </c>
      <c r="F168" s="92"/>
      <c r="G168" s="93"/>
      <c r="H168" s="94"/>
      <c r="I168" s="95"/>
      <c r="J168" s="96" t="str">
        <f aca="false">IF(TRIM($C168)="","",IF($M168&lt;&gt;"OK",$M168,IF(ABS(SUMIFS($F:$F,$C:$C,TRIM($C168))-SUMIFS($G:$G,$C:$C,TRIM($C168)))&lt;0.005,"OK","ERROR - veprimi nuk balancohet")))</f>
        <v/>
      </c>
      <c r="K168" s="97" t="str">
        <f aca="false">IF($D168="","",IFERROR(VLOOKUP($D168,PLANI_LLOGARIVE!$A:$J,10,FALSE()),FALSE()))</f>
        <v/>
      </c>
      <c r="L168" s="97" t="str">
        <f aca="false">IF($D168="","",IFERROR(VLOOKUP($D168,PLANI_LLOGARIVE!$A:$G,7,FALSE()),"NUK EKZISTON"))</f>
        <v/>
      </c>
      <c r="M168" s="98" t="str">
        <f aca="false">IF($D168="","",IF(COUNTIF(PLANI_LLOGARIVE!$A:$A,$D168)=0,"ERROR - llogaria nuk ekziston",IF($K168=TRUE(),"OK","ERROR - llogari jo-postuese/Header")))</f>
        <v/>
      </c>
      <c r="N168" s="99" t="str">
        <f aca="false">IF(TRIM($C168)="","",IF(ABS(SUMIFS($F:$F,$C:$C,TRIM($C168))-SUMIFS($G:$G,$C:$C,TRIM($C168)))&lt;0.005,"OK","ERROR - debi/kredi"))</f>
        <v/>
      </c>
      <c r="O168" s="88"/>
      <c r="P168" s="88"/>
      <c r="Q168" s="88"/>
      <c r="R168" s="88"/>
      <c r="S168" s="100" t="str">
        <f aca="false">IF(D168="","",LEFT(D168&amp;"",2))</f>
        <v/>
      </c>
      <c r="T168" s="101" t="str">
        <f aca="false">IF(D168="","",LEFT(D168&amp;"",3))</f>
        <v/>
      </c>
    </row>
    <row r="169" customFormat="false" ht="14.25" hidden="false" customHeight="true" outlineLevel="0" collapsed="false">
      <c r="A169" s="89"/>
      <c r="B169" s="90"/>
      <c r="C169" s="90"/>
      <c r="D169" s="90"/>
      <c r="E169" s="91" t="str">
        <f aca="false">IFERROR(VLOOKUP(D169,PLANI_LLOGARIVE!$A:$B,2,FALSE()),"")</f>
        <v/>
      </c>
      <c r="F169" s="92"/>
      <c r="G169" s="93"/>
      <c r="H169" s="94"/>
      <c r="I169" s="95"/>
      <c r="J169" s="96" t="str">
        <f aca="false">IF(TRIM($C169)="","",IF($M169&lt;&gt;"OK",$M169,IF(ABS(SUMIFS($F:$F,$C:$C,TRIM($C169))-SUMIFS($G:$G,$C:$C,TRIM($C169)))&lt;0.005,"OK","ERROR - veprimi nuk balancohet")))</f>
        <v/>
      </c>
      <c r="K169" s="97" t="str">
        <f aca="false">IF($D169="","",IFERROR(VLOOKUP($D169,PLANI_LLOGARIVE!$A:$J,10,FALSE()),FALSE()))</f>
        <v/>
      </c>
      <c r="L169" s="97" t="str">
        <f aca="false">IF($D169="","",IFERROR(VLOOKUP($D169,PLANI_LLOGARIVE!$A:$G,7,FALSE()),"NUK EKZISTON"))</f>
        <v/>
      </c>
      <c r="M169" s="98" t="str">
        <f aca="false">IF($D169="","",IF(COUNTIF(PLANI_LLOGARIVE!$A:$A,$D169)=0,"ERROR - llogaria nuk ekziston",IF($K169=TRUE(),"OK","ERROR - llogari jo-postuese/Header")))</f>
        <v/>
      </c>
      <c r="N169" s="99" t="str">
        <f aca="false">IF(TRIM($C169)="","",IF(ABS(SUMIFS($F:$F,$C:$C,TRIM($C169))-SUMIFS($G:$G,$C:$C,TRIM($C169)))&lt;0.005,"OK","ERROR - debi/kredi"))</f>
        <v/>
      </c>
      <c r="O169" s="88"/>
      <c r="P169" s="88"/>
      <c r="Q169" s="88"/>
      <c r="R169" s="88"/>
      <c r="S169" s="100" t="str">
        <f aca="false">IF(D169="","",LEFT(D169&amp;"",2))</f>
        <v/>
      </c>
      <c r="T169" s="101" t="str">
        <f aca="false">IF(D169="","",LEFT(D169&amp;"",3))</f>
        <v/>
      </c>
    </row>
    <row r="170" customFormat="false" ht="14.25" hidden="false" customHeight="true" outlineLevel="0" collapsed="false">
      <c r="A170" s="89"/>
      <c r="B170" s="90"/>
      <c r="C170" s="90"/>
      <c r="D170" s="90"/>
      <c r="E170" s="91" t="str">
        <f aca="false">IFERROR(VLOOKUP(D170,PLANI_LLOGARIVE!$A:$B,2,FALSE()),"")</f>
        <v/>
      </c>
      <c r="F170" s="92"/>
      <c r="G170" s="93"/>
      <c r="H170" s="94"/>
      <c r="I170" s="95"/>
      <c r="J170" s="96" t="str">
        <f aca="false">IF(TRIM($C170)="","",IF($M170&lt;&gt;"OK",$M170,IF(ABS(SUMIFS($F:$F,$C:$C,TRIM($C170))-SUMIFS($G:$G,$C:$C,TRIM($C170)))&lt;0.005,"OK","ERROR - veprimi nuk balancohet")))</f>
        <v/>
      </c>
      <c r="K170" s="97" t="str">
        <f aca="false">IF($D170="","",IFERROR(VLOOKUP($D170,PLANI_LLOGARIVE!$A:$J,10,FALSE()),FALSE()))</f>
        <v/>
      </c>
      <c r="L170" s="97" t="str">
        <f aca="false">IF($D170="","",IFERROR(VLOOKUP($D170,PLANI_LLOGARIVE!$A:$G,7,FALSE()),"NUK EKZISTON"))</f>
        <v/>
      </c>
      <c r="M170" s="98" t="str">
        <f aca="false">IF($D170="","",IF(COUNTIF(PLANI_LLOGARIVE!$A:$A,$D170)=0,"ERROR - llogaria nuk ekziston",IF($K170=TRUE(),"OK","ERROR - llogari jo-postuese/Header")))</f>
        <v/>
      </c>
      <c r="N170" s="99" t="str">
        <f aca="false">IF(TRIM($C170)="","",IF(ABS(SUMIFS($F:$F,$C:$C,TRIM($C170))-SUMIFS($G:$G,$C:$C,TRIM($C170)))&lt;0.005,"OK","ERROR - debi/kredi"))</f>
        <v/>
      </c>
      <c r="O170" s="88"/>
      <c r="P170" s="88"/>
      <c r="Q170" s="88"/>
      <c r="R170" s="88"/>
      <c r="S170" s="100" t="str">
        <f aca="false">IF(D170="","",LEFT(D170&amp;"",2))</f>
        <v/>
      </c>
      <c r="T170" s="101" t="str">
        <f aca="false">IF(D170="","",LEFT(D170&amp;"",3))</f>
        <v/>
      </c>
    </row>
    <row r="171" customFormat="false" ht="14.25" hidden="false" customHeight="true" outlineLevel="0" collapsed="false">
      <c r="A171" s="89"/>
      <c r="B171" s="90"/>
      <c r="C171" s="90"/>
      <c r="D171" s="90"/>
      <c r="E171" s="91" t="str">
        <f aca="false">IFERROR(VLOOKUP(D171,PLANI_LLOGARIVE!$A:$B,2,FALSE()),"")</f>
        <v/>
      </c>
      <c r="F171" s="92"/>
      <c r="G171" s="93"/>
      <c r="H171" s="94"/>
      <c r="I171" s="95"/>
      <c r="J171" s="96" t="str">
        <f aca="false">IF(TRIM($C171)="","",IF($M171&lt;&gt;"OK",$M171,IF(ABS(SUMIFS($F:$F,$C:$C,TRIM($C171))-SUMIFS($G:$G,$C:$C,TRIM($C171)))&lt;0.005,"OK","ERROR - veprimi nuk balancohet")))</f>
        <v/>
      </c>
      <c r="K171" s="97" t="str">
        <f aca="false">IF($D171="","",IFERROR(VLOOKUP($D171,PLANI_LLOGARIVE!$A:$J,10,FALSE()),FALSE()))</f>
        <v/>
      </c>
      <c r="L171" s="97" t="str">
        <f aca="false">IF($D171="","",IFERROR(VLOOKUP($D171,PLANI_LLOGARIVE!$A:$G,7,FALSE()),"NUK EKZISTON"))</f>
        <v/>
      </c>
      <c r="M171" s="98" t="str">
        <f aca="false">IF($D171="","",IF(COUNTIF(PLANI_LLOGARIVE!$A:$A,$D171)=0,"ERROR - llogaria nuk ekziston",IF($K171=TRUE(),"OK","ERROR - llogari jo-postuese/Header")))</f>
        <v/>
      </c>
      <c r="N171" s="99" t="str">
        <f aca="false">IF(TRIM($C171)="","",IF(ABS(SUMIFS($F:$F,$C:$C,TRIM($C171))-SUMIFS($G:$G,$C:$C,TRIM($C171)))&lt;0.005,"OK","ERROR - debi/kredi"))</f>
        <v/>
      </c>
      <c r="O171" s="88"/>
      <c r="P171" s="88"/>
      <c r="Q171" s="88"/>
      <c r="R171" s="88"/>
      <c r="S171" s="100" t="str">
        <f aca="false">IF(D171="","",LEFT(D171&amp;"",2))</f>
        <v/>
      </c>
      <c r="T171" s="101" t="str">
        <f aca="false">IF(D171="","",LEFT(D171&amp;"",3))</f>
        <v/>
      </c>
    </row>
    <row r="172" customFormat="false" ht="14.25" hidden="false" customHeight="true" outlineLevel="0" collapsed="false">
      <c r="A172" s="89"/>
      <c r="B172" s="90"/>
      <c r="C172" s="90"/>
      <c r="D172" s="90"/>
      <c r="E172" s="91" t="str">
        <f aca="false">IFERROR(VLOOKUP(D172,PLANI_LLOGARIVE!$A:$B,2,FALSE()),"")</f>
        <v/>
      </c>
      <c r="F172" s="92"/>
      <c r="G172" s="93"/>
      <c r="H172" s="94"/>
      <c r="I172" s="95"/>
      <c r="J172" s="96" t="str">
        <f aca="false">IF(TRIM($C172)="","",IF($M172&lt;&gt;"OK",$M172,IF(ABS(SUMIFS($F:$F,$C:$C,TRIM($C172))-SUMIFS($G:$G,$C:$C,TRIM($C172)))&lt;0.005,"OK","ERROR - veprimi nuk balancohet")))</f>
        <v/>
      </c>
      <c r="K172" s="97" t="str">
        <f aca="false">IF($D172="","",IFERROR(VLOOKUP($D172,PLANI_LLOGARIVE!$A:$J,10,FALSE()),FALSE()))</f>
        <v/>
      </c>
      <c r="L172" s="97" t="str">
        <f aca="false">IF($D172="","",IFERROR(VLOOKUP($D172,PLANI_LLOGARIVE!$A:$G,7,FALSE()),"NUK EKZISTON"))</f>
        <v/>
      </c>
      <c r="M172" s="98" t="str">
        <f aca="false">IF($D172="","",IF(COUNTIF(PLANI_LLOGARIVE!$A:$A,$D172)=0,"ERROR - llogaria nuk ekziston",IF($K172=TRUE(),"OK","ERROR - llogari jo-postuese/Header")))</f>
        <v/>
      </c>
      <c r="N172" s="99" t="str">
        <f aca="false">IF(TRIM($C172)="","",IF(ABS(SUMIFS($F:$F,$C:$C,TRIM($C172))-SUMIFS($G:$G,$C:$C,TRIM($C172)))&lt;0.005,"OK","ERROR - debi/kredi"))</f>
        <v/>
      </c>
      <c r="O172" s="88"/>
      <c r="P172" s="88"/>
      <c r="Q172" s="88"/>
      <c r="R172" s="88"/>
      <c r="S172" s="100" t="str">
        <f aca="false">IF(D172="","",LEFT(D172&amp;"",2))</f>
        <v/>
      </c>
      <c r="T172" s="101" t="str">
        <f aca="false">IF(D172="","",LEFT(D172&amp;"",3))</f>
        <v/>
      </c>
    </row>
    <row r="173" customFormat="false" ht="14.25" hidden="false" customHeight="true" outlineLevel="0" collapsed="false">
      <c r="A173" s="89"/>
      <c r="B173" s="90"/>
      <c r="C173" s="90"/>
      <c r="D173" s="90"/>
      <c r="E173" s="91" t="str">
        <f aca="false">IFERROR(VLOOKUP(D173,PLANI_LLOGARIVE!$A:$B,2,FALSE()),"")</f>
        <v/>
      </c>
      <c r="F173" s="92"/>
      <c r="G173" s="93"/>
      <c r="H173" s="94"/>
      <c r="I173" s="95"/>
      <c r="J173" s="96" t="str">
        <f aca="false">IF(TRIM($C173)="","",IF($M173&lt;&gt;"OK",$M173,IF(ABS(SUMIFS($F:$F,$C:$C,TRIM($C173))-SUMIFS($G:$G,$C:$C,TRIM($C173)))&lt;0.005,"OK","ERROR - veprimi nuk balancohet")))</f>
        <v/>
      </c>
      <c r="K173" s="97" t="str">
        <f aca="false">IF($D173="","",IFERROR(VLOOKUP($D173,PLANI_LLOGARIVE!$A:$J,10,FALSE()),FALSE()))</f>
        <v/>
      </c>
      <c r="L173" s="97" t="str">
        <f aca="false">IF($D173="","",IFERROR(VLOOKUP($D173,PLANI_LLOGARIVE!$A:$G,7,FALSE()),"NUK EKZISTON"))</f>
        <v/>
      </c>
      <c r="M173" s="98" t="str">
        <f aca="false">IF($D173="","",IF(COUNTIF(PLANI_LLOGARIVE!$A:$A,$D173)=0,"ERROR - llogaria nuk ekziston",IF($K173=TRUE(),"OK","ERROR - llogari jo-postuese/Header")))</f>
        <v/>
      </c>
      <c r="N173" s="99" t="str">
        <f aca="false">IF(TRIM($C173)="","",IF(ABS(SUMIFS($F:$F,$C:$C,TRIM($C173))-SUMIFS($G:$G,$C:$C,TRIM($C173)))&lt;0.005,"OK","ERROR - debi/kredi"))</f>
        <v/>
      </c>
      <c r="O173" s="88"/>
      <c r="P173" s="88"/>
      <c r="Q173" s="88"/>
      <c r="R173" s="88"/>
      <c r="S173" s="100" t="str">
        <f aca="false">IF(D173="","",LEFT(D173&amp;"",2))</f>
        <v/>
      </c>
      <c r="T173" s="101" t="str">
        <f aca="false">IF(D173="","",LEFT(D173&amp;"",3))</f>
        <v/>
      </c>
    </row>
    <row r="174" customFormat="false" ht="14.25" hidden="false" customHeight="true" outlineLevel="0" collapsed="false">
      <c r="A174" s="89"/>
      <c r="B174" s="90"/>
      <c r="C174" s="90"/>
      <c r="D174" s="90"/>
      <c r="E174" s="91" t="str">
        <f aca="false">IFERROR(VLOOKUP(D174,PLANI_LLOGARIVE!$A:$B,2,FALSE()),"")</f>
        <v/>
      </c>
      <c r="F174" s="92"/>
      <c r="G174" s="93"/>
      <c r="H174" s="94"/>
      <c r="I174" s="95"/>
      <c r="J174" s="96" t="str">
        <f aca="false">IF(TRIM($C174)="","",IF($M174&lt;&gt;"OK",$M174,IF(ABS(SUMIFS($F:$F,$C:$C,TRIM($C174))-SUMIFS($G:$G,$C:$C,TRIM($C174)))&lt;0.005,"OK","ERROR - veprimi nuk balancohet")))</f>
        <v/>
      </c>
      <c r="K174" s="97" t="str">
        <f aca="false">IF($D174="","",IFERROR(VLOOKUP($D174,PLANI_LLOGARIVE!$A:$J,10,FALSE()),FALSE()))</f>
        <v/>
      </c>
      <c r="L174" s="97" t="str">
        <f aca="false">IF($D174="","",IFERROR(VLOOKUP($D174,PLANI_LLOGARIVE!$A:$G,7,FALSE()),"NUK EKZISTON"))</f>
        <v/>
      </c>
      <c r="M174" s="98" t="str">
        <f aca="false">IF($D174="","",IF(COUNTIF(PLANI_LLOGARIVE!$A:$A,$D174)=0,"ERROR - llogaria nuk ekziston",IF($K174=TRUE(),"OK","ERROR - llogari jo-postuese/Header")))</f>
        <v/>
      </c>
      <c r="N174" s="99" t="str">
        <f aca="false">IF(TRIM($C174)="","",IF(ABS(SUMIFS($F:$F,$C:$C,TRIM($C174))-SUMIFS($G:$G,$C:$C,TRIM($C174)))&lt;0.005,"OK","ERROR - debi/kredi"))</f>
        <v/>
      </c>
      <c r="O174" s="88"/>
      <c r="P174" s="88"/>
      <c r="Q174" s="88"/>
      <c r="R174" s="88"/>
      <c r="S174" s="100" t="str">
        <f aca="false">IF(D174="","",LEFT(D174&amp;"",2))</f>
        <v/>
      </c>
      <c r="T174" s="101" t="str">
        <f aca="false">IF(D174="","",LEFT(D174&amp;"",3))</f>
        <v/>
      </c>
    </row>
    <row r="175" customFormat="false" ht="14.25" hidden="false" customHeight="true" outlineLevel="0" collapsed="false">
      <c r="A175" s="89"/>
      <c r="B175" s="90"/>
      <c r="C175" s="90"/>
      <c r="D175" s="90"/>
      <c r="E175" s="91" t="str">
        <f aca="false">IFERROR(VLOOKUP(D175,PLANI_LLOGARIVE!$A:$B,2,FALSE()),"")</f>
        <v/>
      </c>
      <c r="F175" s="92"/>
      <c r="G175" s="93"/>
      <c r="H175" s="94"/>
      <c r="I175" s="95"/>
      <c r="J175" s="96" t="str">
        <f aca="false">IF(TRIM($C175)="","",IF($M175&lt;&gt;"OK",$M175,IF(ABS(SUMIFS($F:$F,$C:$C,TRIM($C175))-SUMIFS($G:$G,$C:$C,TRIM($C175)))&lt;0.005,"OK","ERROR - veprimi nuk balancohet")))</f>
        <v/>
      </c>
      <c r="K175" s="97" t="str">
        <f aca="false">IF($D175="","",IFERROR(VLOOKUP($D175,PLANI_LLOGARIVE!$A:$J,10,FALSE()),FALSE()))</f>
        <v/>
      </c>
      <c r="L175" s="97" t="str">
        <f aca="false">IF($D175="","",IFERROR(VLOOKUP($D175,PLANI_LLOGARIVE!$A:$G,7,FALSE()),"NUK EKZISTON"))</f>
        <v/>
      </c>
      <c r="M175" s="98" t="str">
        <f aca="false">IF($D175="","",IF(COUNTIF(PLANI_LLOGARIVE!$A:$A,$D175)=0,"ERROR - llogaria nuk ekziston",IF($K175=TRUE(),"OK","ERROR - llogari jo-postuese/Header")))</f>
        <v/>
      </c>
      <c r="N175" s="99" t="str">
        <f aca="false">IF(TRIM($C175)="","",IF(ABS(SUMIFS($F:$F,$C:$C,TRIM($C175))-SUMIFS($G:$G,$C:$C,TRIM($C175)))&lt;0.005,"OK","ERROR - debi/kredi"))</f>
        <v/>
      </c>
      <c r="O175" s="88"/>
      <c r="P175" s="88"/>
      <c r="Q175" s="88"/>
      <c r="R175" s="88"/>
      <c r="S175" s="100" t="str">
        <f aca="false">IF(D175="","",LEFT(D175&amp;"",2))</f>
        <v/>
      </c>
      <c r="T175" s="101" t="str">
        <f aca="false">IF(D175="","",LEFT(D175&amp;"",3))</f>
        <v/>
      </c>
    </row>
    <row r="176" customFormat="false" ht="14.25" hidden="false" customHeight="true" outlineLevel="0" collapsed="false">
      <c r="A176" s="89"/>
      <c r="B176" s="90"/>
      <c r="C176" s="90"/>
      <c r="D176" s="90"/>
      <c r="E176" s="91" t="str">
        <f aca="false">IFERROR(VLOOKUP(D176,PLANI_LLOGARIVE!$A:$B,2,FALSE()),"")</f>
        <v/>
      </c>
      <c r="F176" s="92"/>
      <c r="G176" s="93"/>
      <c r="H176" s="94"/>
      <c r="I176" s="95"/>
      <c r="J176" s="96" t="str">
        <f aca="false">IF(TRIM($C176)="","",IF($M176&lt;&gt;"OK",$M176,IF(ABS(SUMIFS($F:$F,$C:$C,TRIM($C176))-SUMIFS($G:$G,$C:$C,TRIM($C176)))&lt;0.005,"OK","ERROR - veprimi nuk balancohet")))</f>
        <v/>
      </c>
      <c r="K176" s="97" t="str">
        <f aca="false">IF($D176="","",IFERROR(VLOOKUP($D176,PLANI_LLOGARIVE!$A:$J,10,FALSE()),FALSE()))</f>
        <v/>
      </c>
      <c r="L176" s="97" t="str">
        <f aca="false">IF($D176="","",IFERROR(VLOOKUP($D176,PLANI_LLOGARIVE!$A:$G,7,FALSE()),"NUK EKZISTON"))</f>
        <v/>
      </c>
      <c r="M176" s="98" t="str">
        <f aca="false">IF($D176="","",IF(COUNTIF(PLANI_LLOGARIVE!$A:$A,$D176)=0,"ERROR - llogaria nuk ekziston",IF($K176=TRUE(),"OK","ERROR - llogari jo-postuese/Header")))</f>
        <v/>
      </c>
      <c r="N176" s="99" t="str">
        <f aca="false">IF(TRIM($C176)="","",IF(ABS(SUMIFS($F:$F,$C:$C,TRIM($C176))-SUMIFS($G:$G,$C:$C,TRIM($C176)))&lt;0.005,"OK","ERROR - debi/kredi"))</f>
        <v/>
      </c>
      <c r="O176" s="88"/>
      <c r="P176" s="88"/>
      <c r="Q176" s="88"/>
      <c r="R176" s="88"/>
      <c r="S176" s="100" t="str">
        <f aca="false">IF(D176="","",LEFT(D176&amp;"",2))</f>
        <v/>
      </c>
      <c r="T176" s="101" t="str">
        <f aca="false">IF(D176="","",LEFT(D176&amp;"",3))</f>
        <v/>
      </c>
    </row>
    <row r="177" customFormat="false" ht="14.25" hidden="false" customHeight="true" outlineLevel="0" collapsed="false">
      <c r="A177" s="89"/>
      <c r="B177" s="90"/>
      <c r="C177" s="90"/>
      <c r="D177" s="90"/>
      <c r="E177" s="91" t="str">
        <f aca="false">IFERROR(VLOOKUP(D177,PLANI_LLOGARIVE!$A:$B,2,FALSE()),"")</f>
        <v/>
      </c>
      <c r="F177" s="92"/>
      <c r="G177" s="93"/>
      <c r="H177" s="94"/>
      <c r="I177" s="95"/>
      <c r="J177" s="96" t="str">
        <f aca="false">IF(TRIM($C177)="","",IF($M177&lt;&gt;"OK",$M177,IF(ABS(SUMIFS($F:$F,$C:$C,TRIM($C177))-SUMIFS($G:$G,$C:$C,TRIM($C177)))&lt;0.005,"OK","ERROR - veprimi nuk balancohet")))</f>
        <v/>
      </c>
      <c r="K177" s="97" t="str">
        <f aca="false">IF($D177="","",IFERROR(VLOOKUP($D177,PLANI_LLOGARIVE!$A:$J,10,FALSE()),FALSE()))</f>
        <v/>
      </c>
      <c r="L177" s="97" t="str">
        <f aca="false">IF($D177="","",IFERROR(VLOOKUP($D177,PLANI_LLOGARIVE!$A:$G,7,FALSE()),"NUK EKZISTON"))</f>
        <v/>
      </c>
      <c r="M177" s="98" t="str">
        <f aca="false">IF($D177="","",IF(COUNTIF(PLANI_LLOGARIVE!$A:$A,$D177)=0,"ERROR - llogaria nuk ekziston",IF($K177=TRUE(),"OK","ERROR - llogari jo-postuese/Header")))</f>
        <v/>
      </c>
      <c r="N177" s="99" t="str">
        <f aca="false">IF(TRIM($C177)="","",IF(ABS(SUMIFS($F:$F,$C:$C,TRIM($C177))-SUMIFS($G:$G,$C:$C,TRIM($C177)))&lt;0.005,"OK","ERROR - debi/kredi"))</f>
        <v/>
      </c>
      <c r="O177" s="88"/>
      <c r="P177" s="88"/>
      <c r="Q177" s="88"/>
      <c r="R177" s="88"/>
      <c r="S177" s="100" t="str">
        <f aca="false">IF(D177="","",LEFT(D177&amp;"",2))</f>
        <v/>
      </c>
      <c r="T177" s="101" t="str">
        <f aca="false">IF(D177="","",LEFT(D177&amp;"",3))</f>
        <v/>
      </c>
    </row>
    <row r="178" customFormat="false" ht="14.25" hidden="false" customHeight="true" outlineLevel="0" collapsed="false">
      <c r="A178" s="89"/>
      <c r="B178" s="90"/>
      <c r="C178" s="90"/>
      <c r="D178" s="90"/>
      <c r="E178" s="91" t="str">
        <f aca="false">IFERROR(VLOOKUP(D178,PLANI_LLOGARIVE!$A:$B,2,FALSE()),"")</f>
        <v/>
      </c>
      <c r="F178" s="92"/>
      <c r="G178" s="93"/>
      <c r="H178" s="94"/>
      <c r="I178" s="95"/>
      <c r="J178" s="96" t="str">
        <f aca="false">IF(TRIM($C178)="","",IF($M178&lt;&gt;"OK",$M178,IF(ABS(SUMIFS($F:$F,$C:$C,TRIM($C178))-SUMIFS($G:$G,$C:$C,TRIM($C178)))&lt;0.005,"OK","ERROR - veprimi nuk balancohet")))</f>
        <v/>
      </c>
      <c r="K178" s="97" t="str">
        <f aca="false">IF($D178="","",IFERROR(VLOOKUP($D178,PLANI_LLOGARIVE!$A:$J,10,FALSE()),FALSE()))</f>
        <v/>
      </c>
      <c r="L178" s="97" t="str">
        <f aca="false">IF($D178="","",IFERROR(VLOOKUP($D178,PLANI_LLOGARIVE!$A:$G,7,FALSE()),"NUK EKZISTON"))</f>
        <v/>
      </c>
      <c r="M178" s="98" t="str">
        <f aca="false">IF($D178="","",IF(COUNTIF(PLANI_LLOGARIVE!$A:$A,$D178)=0,"ERROR - llogaria nuk ekziston",IF($K178=TRUE(),"OK","ERROR - llogari jo-postuese/Header")))</f>
        <v/>
      </c>
      <c r="N178" s="99" t="str">
        <f aca="false">IF(TRIM($C178)="","",IF(ABS(SUMIFS($F:$F,$C:$C,TRIM($C178))-SUMIFS($G:$G,$C:$C,TRIM($C178)))&lt;0.005,"OK","ERROR - debi/kredi"))</f>
        <v/>
      </c>
      <c r="O178" s="88"/>
      <c r="P178" s="88"/>
      <c r="Q178" s="88"/>
      <c r="R178" s="88"/>
      <c r="S178" s="100" t="str">
        <f aca="false">IF(D178="","",LEFT(D178&amp;"",2))</f>
        <v/>
      </c>
      <c r="T178" s="101" t="str">
        <f aca="false">IF(D178="","",LEFT(D178&amp;"",3))</f>
        <v/>
      </c>
    </row>
    <row r="179" customFormat="false" ht="14.25" hidden="false" customHeight="true" outlineLevel="0" collapsed="false">
      <c r="A179" s="89"/>
      <c r="B179" s="90"/>
      <c r="C179" s="90"/>
      <c r="D179" s="90"/>
      <c r="E179" s="91" t="str">
        <f aca="false">IFERROR(VLOOKUP(D179,PLANI_LLOGARIVE!$A:$B,2,FALSE()),"")</f>
        <v/>
      </c>
      <c r="F179" s="92"/>
      <c r="G179" s="93"/>
      <c r="H179" s="94"/>
      <c r="I179" s="95"/>
      <c r="J179" s="96" t="str">
        <f aca="false">IF(TRIM($C179)="","",IF($M179&lt;&gt;"OK",$M179,IF(ABS(SUMIFS($F:$F,$C:$C,TRIM($C179))-SUMIFS($G:$G,$C:$C,TRIM($C179)))&lt;0.005,"OK","ERROR - veprimi nuk balancohet")))</f>
        <v/>
      </c>
      <c r="K179" s="97" t="str">
        <f aca="false">IF($D179="","",IFERROR(VLOOKUP($D179,PLANI_LLOGARIVE!$A:$J,10,FALSE()),FALSE()))</f>
        <v/>
      </c>
      <c r="L179" s="97" t="str">
        <f aca="false">IF($D179="","",IFERROR(VLOOKUP($D179,PLANI_LLOGARIVE!$A:$G,7,FALSE()),"NUK EKZISTON"))</f>
        <v/>
      </c>
      <c r="M179" s="98" t="str">
        <f aca="false">IF($D179="","",IF(COUNTIF(PLANI_LLOGARIVE!$A:$A,$D179)=0,"ERROR - llogaria nuk ekziston",IF($K179=TRUE(),"OK","ERROR - llogari jo-postuese/Header")))</f>
        <v/>
      </c>
      <c r="N179" s="99" t="str">
        <f aca="false">IF(TRIM($C179)="","",IF(ABS(SUMIFS($F:$F,$C:$C,TRIM($C179))-SUMIFS($G:$G,$C:$C,TRIM($C179)))&lt;0.005,"OK","ERROR - debi/kredi"))</f>
        <v/>
      </c>
      <c r="O179" s="88"/>
      <c r="P179" s="88"/>
      <c r="Q179" s="88"/>
      <c r="R179" s="88"/>
      <c r="S179" s="100" t="str">
        <f aca="false">IF(D179="","",LEFT(D179&amp;"",2))</f>
        <v/>
      </c>
      <c r="T179" s="101" t="str">
        <f aca="false">IF(D179="","",LEFT(D179&amp;"",3))</f>
        <v/>
      </c>
    </row>
    <row r="180" customFormat="false" ht="14.25" hidden="false" customHeight="true" outlineLevel="0" collapsed="false">
      <c r="A180" s="89"/>
      <c r="B180" s="90"/>
      <c r="C180" s="90"/>
      <c r="D180" s="90"/>
      <c r="E180" s="91" t="str">
        <f aca="false">IFERROR(VLOOKUP(D180,PLANI_LLOGARIVE!$A:$B,2,FALSE()),"")</f>
        <v/>
      </c>
      <c r="F180" s="92"/>
      <c r="G180" s="93"/>
      <c r="H180" s="94"/>
      <c r="I180" s="95"/>
      <c r="J180" s="96" t="str">
        <f aca="false">IF(TRIM($C180)="","",IF($M180&lt;&gt;"OK",$M180,IF(ABS(SUMIFS($F:$F,$C:$C,TRIM($C180))-SUMIFS($G:$G,$C:$C,TRIM($C180)))&lt;0.005,"OK","ERROR - veprimi nuk balancohet")))</f>
        <v/>
      </c>
      <c r="K180" s="97" t="str">
        <f aca="false">IF($D180="","",IFERROR(VLOOKUP($D180,PLANI_LLOGARIVE!$A:$J,10,FALSE()),FALSE()))</f>
        <v/>
      </c>
      <c r="L180" s="97" t="str">
        <f aca="false">IF($D180="","",IFERROR(VLOOKUP($D180,PLANI_LLOGARIVE!$A:$G,7,FALSE()),"NUK EKZISTON"))</f>
        <v/>
      </c>
      <c r="M180" s="98" t="str">
        <f aca="false">IF($D180="","",IF(COUNTIF(PLANI_LLOGARIVE!$A:$A,$D180)=0,"ERROR - llogaria nuk ekziston",IF($K180=TRUE(),"OK","ERROR - llogari jo-postuese/Header")))</f>
        <v/>
      </c>
      <c r="N180" s="99" t="str">
        <f aca="false">IF(TRIM($C180)="","",IF(ABS(SUMIFS($F:$F,$C:$C,TRIM($C180))-SUMIFS($G:$G,$C:$C,TRIM($C180)))&lt;0.005,"OK","ERROR - debi/kredi"))</f>
        <v/>
      </c>
      <c r="O180" s="88"/>
      <c r="P180" s="88"/>
      <c r="Q180" s="88"/>
      <c r="R180" s="88"/>
      <c r="S180" s="100" t="str">
        <f aca="false">IF(D180="","",LEFT(D180&amp;"",2))</f>
        <v/>
      </c>
      <c r="T180" s="101" t="str">
        <f aca="false">IF(D180="","",LEFT(D180&amp;"",3))</f>
        <v/>
      </c>
    </row>
    <row r="181" customFormat="false" ht="14.25" hidden="false" customHeight="true" outlineLevel="0" collapsed="false">
      <c r="A181" s="89"/>
      <c r="B181" s="90"/>
      <c r="C181" s="90"/>
      <c r="D181" s="90"/>
      <c r="E181" s="91" t="str">
        <f aca="false">IFERROR(VLOOKUP(D181,PLANI_LLOGARIVE!$A:$B,2,FALSE()),"")</f>
        <v/>
      </c>
      <c r="F181" s="92"/>
      <c r="G181" s="93"/>
      <c r="H181" s="94"/>
      <c r="I181" s="95"/>
      <c r="J181" s="96" t="str">
        <f aca="false">IF(TRIM($C181)="","",IF($M181&lt;&gt;"OK",$M181,IF(ABS(SUMIFS($F:$F,$C:$C,TRIM($C181))-SUMIFS($G:$G,$C:$C,TRIM($C181)))&lt;0.005,"OK","ERROR - veprimi nuk balancohet")))</f>
        <v/>
      </c>
      <c r="K181" s="97" t="str">
        <f aca="false">IF($D181="","",IFERROR(VLOOKUP($D181,PLANI_LLOGARIVE!$A:$J,10,FALSE()),FALSE()))</f>
        <v/>
      </c>
      <c r="L181" s="97" t="str">
        <f aca="false">IF($D181="","",IFERROR(VLOOKUP($D181,PLANI_LLOGARIVE!$A:$G,7,FALSE()),"NUK EKZISTON"))</f>
        <v/>
      </c>
      <c r="M181" s="98" t="str">
        <f aca="false">IF($D181="","",IF(COUNTIF(PLANI_LLOGARIVE!$A:$A,$D181)=0,"ERROR - llogaria nuk ekziston",IF($K181=TRUE(),"OK","ERROR - llogari jo-postuese/Header")))</f>
        <v/>
      </c>
      <c r="N181" s="99" t="str">
        <f aca="false">IF(TRIM($C181)="","",IF(ABS(SUMIFS($F:$F,$C:$C,TRIM($C181))-SUMIFS($G:$G,$C:$C,TRIM($C181)))&lt;0.005,"OK","ERROR - debi/kredi"))</f>
        <v/>
      </c>
      <c r="O181" s="88"/>
      <c r="P181" s="88"/>
      <c r="Q181" s="88"/>
      <c r="R181" s="88"/>
      <c r="S181" s="100" t="str">
        <f aca="false">IF(D181="","",LEFT(D181&amp;"",2))</f>
        <v/>
      </c>
      <c r="T181" s="101" t="str">
        <f aca="false">IF(D181="","",LEFT(D181&amp;"",3))</f>
        <v/>
      </c>
    </row>
    <row r="182" customFormat="false" ht="14.25" hidden="false" customHeight="true" outlineLevel="0" collapsed="false">
      <c r="A182" s="89"/>
      <c r="B182" s="90"/>
      <c r="C182" s="90"/>
      <c r="D182" s="90"/>
      <c r="E182" s="91" t="str">
        <f aca="false">IFERROR(VLOOKUP(D182,PLANI_LLOGARIVE!$A:$B,2,FALSE()),"")</f>
        <v/>
      </c>
      <c r="F182" s="92"/>
      <c r="G182" s="93"/>
      <c r="H182" s="94"/>
      <c r="I182" s="95"/>
      <c r="J182" s="96" t="str">
        <f aca="false">IF(TRIM($C182)="","",IF($M182&lt;&gt;"OK",$M182,IF(ABS(SUMIFS($F:$F,$C:$C,TRIM($C182))-SUMIFS($G:$G,$C:$C,TRIM($C182)))&lt;0.005,"OK","ERROR - veprimi nuk balancohet")))</f>
        <v/>
      </c>
      <c r="K182" s="97" t="str">
        <f aca="false">IF($D182="","",IFERROR(VLOOKUP($D182,PLANI_LLOGARIVE!$A:$J,10,FALSE()),FALSE()))</f>
        <v/>
      </c>
      <c r="L182" s="97" t="str">
        <f aca="false">IF($D182="","",IFERROR(VLOOKUP($D182,PLANI_LLOGARIVE!$A:$G,7,FALSE()),"NUK EKZISTON"))</f>
        <v/>
      </c>
      <c r="M182" s="98" t="str">
        <f aca="false">IF($D182="","",IF(COUNTIF(PLANI_LLOGARIVE!$A:$A,$D182)=0,"ERROR - llogaria nuk ekziston",IF($K182=TRUE(),"OK","ERROR - llogari jo-postuese/Header")))</f>
        <v/>
      </c>
      <c r="N182" s="99" t="str">
        <f aca="false">IF(TRIM($C182)="","",IF(ABS(SUMIFS($F:$F,$C:$C,TRIM($C182))-SUMIFS($G:$G,$C:$C,TRIM($C182)))&lt;0.005,"OK","ERROR - debi/kredi"))</f>
        <v/>
      </c>
      <c r="O182" s="88"/>
      <c r="P182" s="88"/>
      <c r="Q182" s="88"/>
      <c r="R182" s="88"/>
      <c r="S182" s="100" t="str">
        <f aca="false">IF(D182="","",LEFT(D182&amp;"",2))</f>
        <v/>
      </c>
      <c r="T182" s="101" t="str">
        <f aca="false">IF(D182="","",LEFT(D182&amp;"",3))</f>
        <v/>
      </c>
    </row>
    <row r="183" customFormat="false" ht="14.25" hidden="false" customHeight="true" outlineLevel="0" collapsed="false">
      <c r="A183" s="89"/>
      <c r="B183" s="90"/>
      <c r="C183" s="90"/>
      <c r="D183" s="90"/>
      <c r="E183" s="91" t="str">
        <f aca="false">IFERROR(VLOOKUP(D183,PLANI_LLOGARIVE!$A:$B,2,FALSE()),"")</f>
        <v/>
      </c>
      <c r="F183" s="92"/>
      <c r="G183" s="93"/>
      <c r="H183" s="94"/>
      <c r="I183" s="95"/>
      <c r="J183" s="96" t="str">
        <f aca="false">IF(TRIM($C183)="","",IF($M183&lt;&gt;"OK",$M183,IF(ABS(SUMIFS($F:$F,$C:$C,TRIM($C183))-SUMIFS($G:$G,$C:$C,TRIM($C183)))&lt;0.005,"OK","ERROR - veprimi nuk balancohet")))</f>
        <v/>
      </c>
      <c r="K183" s="97" t="str">
        <f aca="false">IF($D183="","",IFERROR(VLOOKUP($D183,PLANI_LLOGARIVE!$A:$J,10,FALSE()),FALSE()))</f>
        <v/>
      </c>
      <c r="L183" s="97" t="str">
        <f aca="false">IF($D183="","",IFERROR(VLOOKUP($D183,PLANI_LLOGARIVE!$A:$G,7,FALSE()),"NUK EKZISTON"))</f>
        <v/>
      </c>
      <c r="M183" s="98" t="str">
        <f aca="false">IF($D183="","",IF(COUNTIF(PLANI_LLOGARIVE!$A:$A,$D183)=0,"ERROR - llogaria nuk ekziston",IF($K183=TRUE(),"OK","ERROR - llogari jo-postuese/Header")))</f>
        <v/>
      </c>
      <c r="N183" s="99" t="str">
        <f aca="false">IF(TRIM($C183)="","",IF(ABS(SUMIFS($F:$F,$C:$C,TRIM($C183))-SUMIFS($G:$G,$C:$C,TRIM($C183)))&lt;0.005,"OK","ERROR - debi/kredi"))</f>
        <v/>
      </c>
      <c r="O183" s="88"/>
      <c r="P183" s="88"/>
      <c r="Q183" s="88"/>
      <c r="R183" s="88"/>
      <c r="S183" s="100" t="str">
        <f aca="false">IF(D183="","",LEFT(D183&amp;"",2))</f>
        <v/>
      </c>
      <c r="T183" s="101" t="str">
        <f aca="false">IF(D183="","",LEFT(D183&amp;"",3))</f>
        <v/>
      </c>
    </row>
    <row r="184" customFormat="false" ht="14.25" hidden="false" customHeight="true" outlineLevel="0" collapsed="false">
      <c r="A184" s="89"/>
      <c r="B184" s="90"/>
      <c r="C184" s="90"/>
      <c r="D184" s="90"/>
      <c r="E184" s="91" t="str">
        <f aca="false">IFERROR(VLOOKUP(D184,PLANI_LLOGARIVE!$A:$B,2,FALSE()),"")</f>
        <v/>
      </c>
      <c r="F184" s="92"/>
      <c r="G184" s="93"/>
      <c r="H184" s="94"/>
      <c r="I184" s="95"/>
      <c r="J184" s="96" t="str">
        <f aca="false">IF(TRIM($C184)="","",IF($M184&lt;&gt;"OK",$M184,IF(ABS(SUMIFS($F:$F,$C:$C,TRIM($C184))-SUMIFS($G:$G,$C:$C,TRIM($C184)))&lt;0.005,"OK","ERROR - veprimi nuk balancohet")))</f>
        <v/>
      </c>
      <c r="K184" s="97" t="str">
        <f aca="false">IF($D184="","",IFERROR(VLOOKUP($D184,PLANI_LLOGARIVE!$A:$J,10,FALSE()),FALSE()))</f>
        <v/>
      </c>
      <c r="L184" s="97" t="str">
        <f aca="false">IF($D184="","",IFERROR(VLOOKUP($D184,PLANI_LLOGARIVE!$A:$G,7,FALSE()),"NUK EKZISTON"))</f>
        <v/>
      </c>
      <c r="M184" s="98" t="str">
        <f aca="false">IF($D184="","",IF(COUNTIF(PLANI_LLOGARIVE!$A:$A,$D184)=0,"ERROR - llogaria nuk ekziston",IF($K184=TRUE(),"OK","ERROR - llogari jo-postuese/Header")))</f>
        <v/>
      </c>
      <c r="N184" s="99" t="str">
        <f aca="false">IF(TRIM($C184)="","",IF(ABS(SUMIFS($F:$F,$C:$C,TRIM($C184))-SUMIFS($G:$G,$C:$C,TRIM($C184)))&lt;0.005,"OK","ERROR - debi/kredi"))</f>
        <v/>
      </c>
      <c r="O184" s="88"/>
      <c r="P184" s="88"/>
      <c r="Q184" s="88"/>
      <c r="R184" s="88"/>
      <c r="S184" s="100" t="str">
        <f aca="false">IF(D184="","",LEFT(D184&amp;"",2))</f>
        <v/>
      </c>
      <c r="T184" s="101" t="str">
        <f aca="false">IF(D184="","",LEFT(D184&amp;"",3))</f>
        <v/>
      </c>
    </row>
    <row r="185" customFormat="false" ht="14.25" hidden="false" customHeight="true" outlineLevel="0" collapsed="false">
      <c r="A185" s="89"/>
      <c r="B185" s="90"/>
      <c r="C185" s="90"/>
      <c r="D185" s="90"/>
      <c r="E185" s="91" t="str">
        <f aca="false">IFERROR(VLOOKUP(D185,PLANI_LLOGARIVE!$A:$B,2,FALSE()),"")</f>
        <v/>
      </c>
      <c r="F185" s="92"/>
      <c r="G185" s="93"/>
      <c r="H185" s="94"/>
      <c r="I185" s="95"/>
      <c r="J185" s="96" t="str">
        <f aca="false">IF(TRIM($C185)="","",IF($M185&lt;&gt;"OK",$M185,IF(ABS(SUMIFS($F:$F,$C:$C,TRIM($C185))-SUMIFS($G:$G,$C:$C,TRIM($C185)))&lt;0.005,"OK","ERROR - veprimi nuk balancohet")))</f>
        <v/>
      </c>
      <c r="K185" s="97" t="str">
        <f aca="false">IF($D185="","",IFERROR(VLOOKUP($D185,PLANI_LLOGARIVE!$A:$J,10,FALSE()),FALSE()))</f>
        <v/>
      </c>
      <c r="L185" s="97" t="str">
        <f aca="false">IF($D185="","",IFERROR(VLOOKUP($D185,PLANI_LLOGARIVE!$A:$G,7,FALSE()),"NUK EKZISTON"))</f>
        <v/>
      </c>
      <c r="M185" s="98" t="str">
        <f aca="false">IF($D185="","",IF(COUNTIF(PLANI_LLOGARIVE!$A:$A,$D185)=0,"ERROR - llogaria nuk ekziston",IF($K185=TRUE(),"OK","ERROR - llogari jo-postuese/Header")))</f>
        <v/>
      </c>
      <c r="N185" s="99" t="str">
        <f aca="false">IF(TRIM($C185)="","",IF(ABS(SUMIFS($F:$F,$C:$C,TRIM($C185))-SUMIFS($G:$G,$C:$C,TRIM($C185)))&lt;0.005,"OK","ERROR - debi/kredi"))</f>
        <v/>
      </c>
      <c r="O185" s="88"/>
      <c r="P185" s="88"/>
      <c r="Q185" s="88"/>
      <c r="R185" s="88"/>
      <c r="S185" s="100" t="str">
        <f aca="false">IF(D185="","",LEFT(D185&amp;"",2))</f>
        <v/>
      </c>
      <c r="T185" s="101" t="str">
        <f aca="false">IF(D185="","",LEFT(D185&amp;"",3))</f>
        <v/>
      </c>
    </row>
    <row r="186" customFormat="false" ht="14.25" hidden="false" customHeight="true" outlineLevel="0" collapsed="false">
      <c r="A186" s="89"/>
      <c r="B186" s="90"/>
      <c r="C186" s="90"/>
      <c r="D186" s="90"/>
      <c r="E186" s="91" t="str">
        <f aca="false">IFERROR(VLOOKUP(D186,PLANI_LLOGARIVE!$A:$B,2,FALSE()),"")</f>
        <v/>
      </c>
      <c r="F186" s="92"/>
      <c r="G186" s="93"/>
      <c r="H186" s="94"/>
      <c r="I186" s="95"/>
      <c r="J186" s="96" t="str">
        <f aca="false">IF(TRIM($C186)="","",IF($M186&lt;&gt;"OK",$M186,IF(ABS(SUMIFS($F:$F,$C:$C,TRIM($C186))-SUMIFS($G:$G,$C:$C,TRIM($C186)))&lt;0.005,"OK","ERROR - veprimi nuk balancohet")))</f>
        <v/>
      </c>
      <c r="K186" s="97" t="str">
        <f aca="false">IF($D186="","",IFERROR(VLOOKUP($D186,PLANI_LLOGARIVE!$A:$J,10,FALSE()),FALSE()))</f>
        <v/>
      </c>
      <c r="L186" s="97" t="str">
        <f aca="false">IF($D186="","",IFERROR(VLOOKUP($D186,PLANI_LLOGARIVE!$A:$G,7,FALSE()),"NUK EKZISTON"))</f>
        <v/>
      </c>
      <c r="M186" s="98" t="str">
        <f aca="false">IF($D186="","",IF(COUNTIF(PLANI_LLOGARIVE!$A:$A,$D186)=0,"ERROR - llogaria nuk ekziston",IF($K186=TRUE(),"OK","ERROR - llogari jo-postuese/Header")))</f>
        <v/>
      </c>
      <c r="N186" s="99" t="str">
        <f aca="false">IF(TRIM($C186)="","",IF(ABS(SUMIFS($F:$F,$C:$C,TRIM($C186))-SUMIFS($G:$G,$C:$C,TRIM($C186)))&lt;0.005,"OK","ERROR - debi/kredi"))</f>
        <v/>
      </c>
      <c r="O186" s="88"/>
      <c r="P186" s="88"/>
      <c r="Q186" s="88"/>
      <c r="R186" s="88"/>
      <c r="S186" s="100" t="str">
        <f aca="false">IF(D186="","",LEFT(D186&amp;"",2))</f>
        <v/>
      </c>
      <c r="T186" s="101" t="str">
        <f aca="false">IF(D186="","",LEFT(D186&amp;"",3))</f>
        <v/>
      </c>
    </row>
    <row r="187" customFormat="false" ht="14.25" hidden="false" customHeight="true" outlineLevel="0" collapsed="false">
      <c r="A187" s="89"/>
      <c r="B187" s="90"/>
      <c r="C187" s="90"/>
      <c r="D187" s="90"/>
      <c r="E187" s="91" t="str">
        <f aca="false">IFERROR(VLOOKUP(D187,PLANI_LLOGARIVE!$A:$B,2,FALSE()),"")</f>
        <v/>
      </c>
      <c r="F187" s="92"/>
      <c r="G187" s="93"/>
      <c r="H187" s="94"/>
      <c r="I187" s="95"/>
      <c r="J187" s="96" t="str">
        <f aca="false">IF(TRIM($C187)="","",IF($M187&lt;&gt;"OK",$M187,IF(ABS(SUMIFS($F:$F,$C:$C,TRIM($C187))-SUMIFS($G:$G,$C:$C,TRIM($C187)))&lt;0.005,"OK","ERROR - veprimi nuk balancohet")))</f>
        <v/>
      </c>
      <c r="K187" s="97" t="str">
        <f aca="false">IF($D187="","",IFERROR(VLOOKUP($D187,PLANI_LLOGARIVE!$A:$J,10,FALSE()),FALSE()))</f>
        <v/>
      </c>
      <c r="L187" s="97" t="str">
        <f aca="false">IF($D187="","",IFERROR(VLOOKUP($D187,PLANI_LLOGARIVE!$A:$G,7,FALSE()),"NUK EKZISTON"))</f>
        <v/>
      </c>
      <c r="M187" s="98" t="str">
        <f aca="false">IF($D187="","",IF(COUNTIF(PLANI_LLOGARIVE!$A:$A,$D187)=0,"ERROR - llogaria nuk ekziston",IF($K187=TRUE(),"OK","ERROR - llogari jo-postuese/Header")))</f>
        <v/>
      </c>
      <c r="N187" s="99" t="str">
        <f aca="false">IF(TRIM($C187)="","",IF(ABS(SUMIFS($F:$F,$C:$C,TRIM($C187))-SUMIFS($G:$G,$C:$C,TRIM($C187)))&lt;0.005,"OK","ERROR - debi/kredi"))</f>
        <v/>
      </c>
      <c r="O187" s="88"/>
      <c r="P187" s="88"/>
      <c r="Q187" s="88"/>
      <c r="R187" s="88"/>
      <c r="S187" s="100" t="str">
        <f aca="false">IF(D187="","",LEFT(D187&amp;"",2))</f>
        <v/>
      </c>
      <c r="T187" s="101" t="str">
        <f aca="false">IF(D187="","",LEFT(D187&amp;"",3))</f>
        <v/>
      </c>
    </row>
    <row r="188" customFormat="false" ht="14.25" hidden="false" customHeight="true" outlineLevel="0" collapsed="false">
      <c r="A188" s="89"/>
      <c r="B188" s="90"/>
      <c r="C188" s="90"/>
      <c r="D188" s="90"/>
      <c r="E188" s="91" t="str">
        <f aca="false">IFERROR(VLOOKUP(D188,PLANI_LLOGARIVE!$A:$B,2,FALSE()),"")</f>
        <v/>
      </c>
      <c r="F188" s="92"/>
      <c r="G188" s="93"/>
      <c r="H188" s="94"/>
      <c r="I188" s="95"/>
      <c r="J188" s="96" t="str">
        <f aca="false">IF(TRIM($C188)="","",IF($M188&lt;&gt;"OK",$M188,IF(ABS(SUMIFS($F:$F,$C:$C,TRIM($C188))-SUMIFS($G:$G,$C:$C,TRIM($C188)))&lt;0.005,"OK","ERROR - veprimi nuk balancohet")))</f>
        <v/>
      </c>
      <c r="K188" s="97" t="str">
        <f aca="false">IF($D188="","",IFERROR(VLOOKUP($D188,PLANI_LLOGARIVE!$A:$J,10,FALSE()),FALSE()))</f>
        <v/>
      </c>
      <c r="L188" s="97" t="str">
        <f aca="false">IF($D188="","",IFERROR(VLOOKUP($D188,PLANI_LLOGARIVE!$A:$G,7,FALSE()),"NUK EKZISTON"))</f>
        <v/>
      </c>
      <c r="M188" s="98" t="str">
        <f aca="false">IF($D188="","",IF(COUNTIF(PLANI_LLOGARIVE!$A:$A,$D188)=0,"ERROR - llogaria nuk ekziston",IF($K188=TRUE(),"OK","ERROR - llogari jo-postuese/Header")))</f>
        <v/>
      </c>
      <c r="N188" s="99" t="str">
        <f aca="false">IF(TRIM($C188)="","",IF(ABS(SUMIFS($F:$F,$C:$C,TRIM($C188))-SUMIFS($G:$G,$C:$C,TRIM($C188)))&lt;0.005,"OK","ERROR - debi/kredi"))</f>
        <v/>
      </c>
      <c r="O188" s="88"/>
      <c r="P188" s="88"/>
      <c r="Q188" s="88"/>
      <c r="R188" s="88"/>
      <c r="S188" s="100" t="str">
        <f aca="false">IF(D188="","",LEFT(D188&amp;"",2))</f>
        <v/>
      </c>
      <c r="T188" s="101" t="str">
        <f aca="false">IF(D188="","",LEFT(D188&amp;"",3))</f>
        <v/>
      </c>
    </row>
    <row r="189" customFormat="false" ht="14.25" hidden="false" customHeight="true" outlineLevel="0" collapsed="false">
      <c r="A189" s="89"/>
      <c r="B189" s="90"/>
      <c r="C189" s="90"/>
      <c r="D189" s="90"/>
      <c r="E189" s="91" t="str">
        <f aca="false">IFERROR(VLOOKUP(D189,PLANI_LLOGARIVE!$A:$B,2,FALSE()),"")</f>
        <v/>
      </c>
      <c r="F189" s="92"/>
      <c r="G189" s="93"/>
      <c r="H189" s="94"/>
      <c r="I189" s="95"/>
      <c r="J189" s="96" t="str">
        <f aca="false">IF(TRIM($C189)="","",IF($M189&lt;&gt;"OK",$M189,IF(ABS(SUMIFS($F:$F,$C:$C,TRIM($C189))-SUMIFS($G:$G,$C:$C,TRIM($C189)))&lt;0.005,"OK","ERROR - veprimi nuk balancohet")))</f>
        <v/>
      </c>
      <c r="K189" s="97" t="str">
        <f aca="false">IF($D189="","",IFERROR(VLOOKUP($D189,PLANI_LLOGARIVE!$A:$J,10,FALSE()),FALSE()))</f>
        <v/>
      </c>
      <c r="L189" s="97" t="str">
        <f aca="false">IF($D189="","",IFERROR(VLOOKUP($D189,PLANI_LLOGARIVE!$A:$G,7,FALSE()),"NUK EKZISTON"))</f>
        <v/>
      </c>
      <c r="M189" s="98" t="str">
        <f aca="false">IF($D189="","",IF(COUNTIF(PLANI_LLOGARIVE!$A:$A,$D189)=0,"ERROR - llogaria nuk ekziston",IF($K189=TRUE(),"OK","ERROR - llogari jo-postuese/Header")))</f>
        <v/>
      </c>
      <c r="N189" s="99" t="str">
        <f aca="false">IF(TRIM($C189)="","",IF(ABS(SUMIFS($F:$F,$C:$C,TRIM($C189))-SUMIFS($G:$G,$C:$C,TRIM($C189)))&lt;0.005,"OK","ERROR - debi/kredi"))</f>
        <v/>
      </c>
      <c r="O189" s="88"/>
      <c r="P189" s="88"/>
      <c r="Q189" s="88"/>
      <c r="R189" s="88"/>
      <c r="S189" s="100" t="str">
        <f aca="false">IF(D189="","",LEFT(D189&amp;"",2))</f>
        <v/>
      </c>
      <c r="T189" s="101" t="str">
        <f aca="false">IF(D189="","",LEFT(D189&amp;"",3))</f>
        <v/>
      </c>
    </row>
    <row r="190" customFormat="false" ht="14.25" hidden="false" customHeight="true" outlineLevel="0" collapsed="false">
      <c r="A190" s="89"/>
      <c r="B190" s="90"/>
      <c r="C190" s="90"/>
      <c r="D190" s="90"/>
      <c r="E190" s="91" t="str">
        <f aca="false">IFERROR(VLOOKUP(D190,PLANI_LLOGARIVE!$A:$B,2,FALSE()),"")</f>
        <v/>
      </c>
      <c r="F190" s="92"/>
      <c r="G190" s="93"/>
      <c r="H190" s="94"/>
      <c r="I190" s="95"/>
      <c r="J190" s="96" t="str">
        <f aca="false">IF(TRIM($C190)="","",IF($M190&lt;&gt;"OK",$M190,IF(ABS(SUMIFS($F:$F,$C:$C,TRIM($C190))-SUMIFS($G:$G,$C:$C,TRIM($C190)))&lt;0.005,"OK","ERROR - veprimi nuk balancohet")))</f>
        <v/>
      </c>
      <c r="K190" s="97" t="str">
        <f aca="false">IF($D190="","",IFERROR(VLOOKUP($D190,PLANI_LLOGARIVE!$A:$J,10,FALSE()),FALSE()))</f>
        <v/>
      </c>
      <c r="L190" s="97" t="str">
        <f aca="false">IF($D190="","",IFERROR(VLOOKUP($D190,PLANI_LLOGARIVE!$A:$G,7,FALSE()),"NUK EKZISTON"))</f>
        <v/>
      </c>
      <c r="M190" s="98" t="str">
        <f aca="false">IF($D190="","",IF(COUNTIF(PLANI_LLOGARIVE!$A:$A,$D190)=0,"ERROR - llogaria nuk ekziston",IF($K190=TRUE(),"OK","ERROR - llogari jo-postuese/Header")))</f>
        <v/>
      </c>
      <c r="N190" s="99" t="str">
        <f aca="false">IF(TRIM($C190)="","",IF(ABS(SUMIFS($F:$F,$C:$C,TRIM($C190))-SUMIFS($G:$G,$C:$C,TRIM($C190)))&lt;0.005,"OK","ERROR - debi/kredi"))</f>
        <v/>
      </c>
      <c r="O190" s="88"/>
      <c r="P190" s="88"/>
      <c r="Q190" s="88"/>
      <c r="R190" s="88"/>
      <c r="S190" s="100" t="str">
        <f aca="false">IF(D190="","",LEFT(D190&amp;"",2))</f>
        <v/>
      </c>
      <c r="T190" s="101" t="str">
        <f aca="false">IF(D190="","",LEFT(D190&amp;"",3))</f>
        <v/>
      </c>
    </row>
    <row r="191" customFormat="false" ht="14.25" hidden="false" customHeight="true" outlineLevel="0" collapsed="false">
      <c r="A191" s="89"/>
      <c r="B191" s="90"/>
      <c r="C191" s="90"/>
      <c r="D191" s="90"/>
      <c r="E191" s="91" t="str">
        <f aca="false">IFERROR(VLOOKUP(D191,PLANI_LLOGARIVE!$A:$B,2,FALSE()),"")</f>
        <v/>
      </c>
      <c r="F191" s="92"/>
      <c r="G191" s="93"/>
      <c r="H191" s="94"/>
      <c r="I191" s="95"/>
      <c r="J191" s="96" t="str">
        <f aca="false">IF(TRIM($C191)="","",IF($M191&lt;&gt;"OK",$M191,IF(ABS(SUMIFS($F:$F,$C:$C,TRIM($C191))-SUMIFS($G:$G,$C:$C,TRIM($C191)))&lt;0.005,"OK","ERROR - veprimi nuk balancohet")))</f>
        <v/>
      </c>
      <c r="K191" s="97" t="str">
        <f aca="false">IF($D191="","",IFERROR(VLOOKUP($D191,PLANI_LLOGARIVE!$A:$J,10,FALSE()),FALSE()))</f>
        <v/>
      </c>
      <c r="L191" s="97" t="str">
        <f aca="false">IF($D191="","",IFERROR(VLOOKUP($D191,PLANI_LLOGARIVE!$A:$G,7,FALSE()),"NUK EKZISTON"))</f>
        <v/>
      </c>
      <c r="M191" s="98" t="str">
        <f aca="false">IF($D191="","",IF(COUNTIF(PLANI_LLOGARIVE!$A:$A,$D191)=0,"ERROR - llogaria nuk ekziston",IF($K191=TRUE(),"OK","ERROR - llogari jo-postuese/Header")))</f>
        <v/>
      </c>
      <c r="N191" s="99" t="str">
        <f aca="false">IF(TRIM($C191)="","",IF(ABS(SUMIFS($F:$F,$C:$C,TRIM($C191))-SUMIFS($G:$G,$C:$C,TRIM($C191)))&lt;0.005,"OK","ERROR - debi/kredi"))</f>
        <v/>
      </c>
      <c r="O191" s="88"/>
      <c r="P191" s="88"/>
      <c r="Q191" s="88"/>
      <c r="R191" s="88"/>
      <c r="S191" s="100" t="str">
        <f aca="false">IF(D191="","",LEFT(D191&amp;"",2))</f>
        <v/>
      </c>
      <c r="T191" s="101" t="str">
        <f aca="false">IF(D191="","",LEFT(D191&amp;"",3))</f>
        <v/>
      </c>
    </row>
    <row r="192" customFormat="false" ht="14.25" hidden="false" customHeight="true" outlineLevel="0" collapsed="false">
      <c r="A192" s="89"/>
      <c r="B192" s="90"/>
      <c r="C192" s="90"/>
      <c r="D192" s="90"/>
      <c r="E192" s="91" t="str">
        <f aca="false">IFERROR(VLOOKUP(D192,PLANI_LLOGARIVE!$A:$B,2,FALSE()),"")</f>
        <v/>
      </c>
      <c r="F192" s="92"/>
      <c r="G192" s="93"/>
      <c r="H192" s="94"/>
      <c r="I192" s="95"/>
      <c r="J192" s="96" t="str">
        <f aca="false">IF(TRIM($C192)="","",IF($M192&lt;&gt;"OK",$M192,IF(ABS(SUMIFS($F:$F,$C:$C,TRIM($C192))-SUMIFS($G:$G,$C:$C,TRIM($C192)))&lt;0.005,"OK","ERROR - veprimi nuk balancohet")))</f>
        <v/>
      </c>
      <c r="K192" s="97" t="str">
        <f aca="false">IF($D192="","",IFERROR(VLOOKUP($D192,PLANI_LLOGARIVE!$A:$J,10,FALSE()),FALSE()))</f>
        <v/>
      </c>
      <c r="L192" s="97" t="str">
        <f aca="false">IF($D192="","",IFERROR(VLOOKUP($D192,PLANI_LLOGARIVE!$A:$G,7,FALSE()),"NUK EKZISTON"))</f>
        <v/>
      </c>
      <c r="M192" s="98" t="str">
        <f aca="false">IF($D192="","",IF(COUNTIF(PLANI_LLOGARIVE!$A:$A,$D192)=0,"ERROR - llogaria nuk ekziston",IF($K192=TRUE(),"OK","ERROR - llogari jo-postuese/Header")))</f>
        <v/>
      </c>
      <c r="N192" s="99" t="str">
        <f aca="false">IF(TRIM($C192)="","",IF(ABS(SUMIFS($F:$F,$C:$C,TRIM($C192))-SUMIFS($G:$G,$C:$C,TRIM($C192)))&lt;0.005,"OK","ERROR - debi/kredi"))</f>
        <v/>
      </c>
      <c r="O192" s="88"/>
      <c r="P192" s="88"/>
      <c r="Q192" s="88"/>
      <c r="R192" s="88"/>
      <c r="S192" s="100" t="str">
        <f aca="false">IF(D192="","",LEFT(D192&amp;"",2))</f>
        <v/>
      </c>
      <c r="T192" s="101" t="str">
        <f aca="false">IF(D192="","",LEFT(D192&amp;"",3))</f>
        <v/>
      </c>
    </row>
    <row r="193" customFormat="false" ht="14.25" hidden="false" customHeight="true" outlineLevel="0" collapsed="false">
      <c r="A193" s="89"/>
      <c r="B193" s="90"/>
      <c r="C193" s="90"/>
      <c r="D193" s="90"/>
      <c r="E193" s="91" t="str">
        <f aca="false">IFERROR(VLOOKUP(D193,PLANI_LLOGARIVE!$A:$B,2,FALSE()),"")</f>
        <v/>
      </c>
      <c r="F193" s="92"/>
      <c r="G193" s="93"/>
      <c r="H193" s="94"/>
      <c r="I193" s="95"/>
      <c r="J193" s="96" t="str">
        <f aca="false">IF(TRIM($C193)="","",IF($M193&lt;&gt;"OK",$M193,IF(ABS(SUMIFS($F:$F,$C:$C,TRIM($C193))-SUMIFS($G:$G,$C:$C,TRIM($C193)))&lt;0.005,"OK","ERROR - veprimi nuk balancohet")))</f>
        <v/>
      </c>
      <c r="K193" s="97" t="str">
        <f aca="false">IF($D193="","",IFERROR(VLOOKUP($D193,PLANI_LLOGARIVE!$A:$J,10,FALSE()),FALSE()))</f>
        <v/>
      </c>
      <c r="L193" s="97" t="str">
        <f aca="false">IF($D193="","",IFERROR(VLOOKUP($D193,PLANI_LLOGARIVE!$A:$G,7,FALSE()),"NUK EKZISTON"))</f>
        <v/>
      </c>
      <c r="M193" s="98" t="str">
        <f aca="false">IF($D193="","",IF(COUNTIF(PLANI_LLOGARIVE!$A:$A,$D193)=0,"ERROR - llogaria nuk ekziston",IF($K193=TRUE(),"OK","ERROR - llogari jo-postuese/Header")))</f>
        <v/>
      </c>
      <c r="N193" s="99" t="str">
        <f aca="false">IF(TRIM($C193)="","",IF(ABS(SUMIFS($F:$F,$C:$C,TRIM($C193))-SUMIFS($G:$G,$C:$C,TRIM($C193)))&lt;0.005,"OK","ERROR - debi/kredi"))</f>
        <v/>
      </c>
      <c r="O193" s="88"/>
      <c r="P193" s="88"/>
      <c r="Q193" s="88"/>
      <c r="R193" s="88"/>
      <c r="S193" s="100" t="str">
        <f aca="false">IF(D193="","",LEFT(D193&amp;"",2))</f>
        <v/>
      </c>
      <c r="T193" s="101" t="str">
        <f aca="false">IF(D193="","",LEFT(D193&amp;"",3))</f>
        <v/>
      </c>
    </row>
    <row r="194" customFormat="false" ht="14.25" hidden="false" customHeight="true" outlineLevel="0" collapsed="false">
      <c r="A194" s="89"/>
      <c r="B194" s="90"/>
      <c r="C194" s="90"/>
      <c r="D194" s="90"/>
      <c r="E194" s="91" t="str">
        <f aca="false">IFERROR(VLOOKUP(D194,PLANI_LLOGARIVE!$A:$B,2,FALSE()),"")</f>
        <v/>
      </c>
      <c r="F194" s="92"/>
      <c r="G194" s="93"/>
      <c r="H194" s="94"/>
      <c r="I194" s="95"/>
      <c r="J194" s="96" t="str">
        <f aca="false">IF(TRIM($C194)="","",IF($M194&lt;&gt;"OK",$M194,IF(ABS(SUMIFS($F:$F,$C:$C,TRIM($C194))-SUMIFS($G:$G,$C:$C,TRIM($C194)))&lt;0.005,"OK","ERROR - veprimi nuk balancohet")))</f>
        <v/>
      </c>
      <c r="K194" s="97" t="str">
        <f aca="false">IF($D194="","",IFERROR(VLOOKUP($D194,PLANI_LLOGARIVE!$A:$J,10,FALSE()),FALSE()))</f>
        <v/>
      </c>
      <c r="L194" s="97" t="str">
        <f aca="false">IF($D194="","",IFERROR(VLOOKUP($D194,PLANI_LLOGARIVE!$A:$G,7,FALSE()),"NUK EKZISTON"))</f>
        <v/>
      </c>
      <c r="M194" s="98" t="str">
        <f aca="false">IF($D194="","",IF(COUNTIF(PLANI_LLOGARIVE!$A:$A,$D194)=0,"ERROR - llogaria nuk ekziston",IF($K194=TRUE(),"OK","ERROR - llogari jo-postuese/Header")))</f>
        <v/>
      </c>
      <c r="N194" s="99" t="str">
        <f aca="false">IF(TRIM($C194)="","",IF(ABS(SUMIFS($F:$F,$C:$C,TRIM($C194))-SUMIFS($G:$G,$C:$C,TRIM($C194)))&lt;0.005,"OK","ERROR - debi/kredi"))</f>
        <v/>
      </c>
      <c r="O194" s="88"/>
      <c r="P194" s="88"/>
      <c r="Q194" s="88"/>
      <c r="R194" s="88"/>
      <c r="S194" s="100" t="str">
        <f aca="false">IF(D194="","",LEFT(D194&amp;"",2))</f>
        <v/>
      </c>
      <c r="T194" s="101" t="str">
        <f aca="false">IF(D194="","",LEFT(D194&amp;"",3))</f>
        <v/>
      </c>
    </row>
    <row r="195" customFormat="false" ht="14.25" hidden="false" customHeight="true" outlineLevel="0" collapsed="false">
      <c r="A195" s="89"/>
      <c r="B195" s="90"/>
      <c r="C195" s="90"/>
      <c r="D195" s="90"/>
      <c r="E195" s="91" t="str">
        <f aca="false">IFERROR(VLOOKUP(D195,PLANI_LLOGARIVE!$A:$B,2,FALSE()),"")</f>
        <v/>
      </c>
      <c r="F195" s="92"/>
      <c r="G195" s="93"/>
      <c r="H195" s="94"/>
      <c r="I195" s="95"/>
      <c r="J195" s="96" t="str">
        <f aca="false">IF(TRIM($C195)="","",IF($M195&lt;&gt;"OK",$M195,IF(ABS(SUMIFS($F:$F,$C:$C,TRIM($C195))-SUMIFS($G:$G,$C:$C,TRIM($C195)))&lt;0.005,"OK","ERROR - veprimi nuk balancohet")))</f>
        <v/>
      </c>
      <c r="K195" s="97" t="str">
        <f aca="false">IF($D195="","",IFERROR(VLOOKUP($D195,PLANI_LLOGARIVE!$A:$J,10,FALSE()),FALSE()))</f>
        <v/>
      </c>
      <c r="L195" s="97" t="str">
        <f aca="false">IF($D195="","",IFERROR(VLOOKUP($D195,PLANI_LLOGARIVE!$A:$G,7,FALSE()),"NUK EKZISTON"))</f>
        <v/>
      </c>
      <c r="M195" s="98" t="str">
        <f aca="false">IF($D195="","",IF(COUNTIF(PLANI_LLOGARIVE!$A:$A,$D195)=0,"ERROR - llogaria nuk ekziston",IF($K195=TRUE(),"OK","ERROR - llogari jo-postuese/Header")))</f>
        <v/>
      </c>
      <c r="N195" s="99" t="str">
        <f aca="false">IF(TRIM($C195)="","",IF(ABS(SUMIFS($F:$F,$C:$C,TRIM($C195))-SUMIFS($G:$G,$C:$C,TRIM($C195)))&lt;0.005,"OK","ERROR - debi/kredi"))</f>
        <v/>
      </c>
      <c r="O195" s="88"/>
      <c r="P195" s="88"/>
      <c r="Q195" s="88"/>
      <c r="R195" s="88"/>
      <c r="S195" s="100" t="str">
        <f aca="false">IF(D195="","",LEFT(D195&amp;"",2))</f>
        <v/>
      </c>
      <c r="T195" s="101" t="str">
        <f aca="false">IF(D195="","",LEFT(D195&amp;"",3))</f>
        <v/>
      </c>
    </row>
    <row r="196" customFormat="false" ht="14.25" hidden="false" customHeight="true" outlineLevel="0" collapsed="false">
      <c r="A196" s="89"/>
      <c r="B196" s="90"/>
      <c r="C196" s="90"/>
      <c r="D196" s="90"/>
      <c r="E196" s="91" t="str">
        <f aca="false">IFERROR(VLOOKUP(D196,PLANI_LLOGARIVE!$A:$B,2,FALSE()),"")</f>
        <v/>
      </c>
      <c r="F196" s="92"/>
      <c r="G196" s="93"/>
      <c r="H196" s="94"/>
      <c r="I196" s="95"/>
      <c r="J196" s="96" t="str">
        <f aca="false">IF(TRIM($C196)="","",IF($M196&lt;&gt;"OK",$M196,IF(ABS(SUMIFS($F:$F,$C:$C,TRIM($C196))-SUMIFS($G:$G,$C:$C,TRIM($C196)))&lt;0.005,"OK","ERROR - veprimi nuk balancohet")))</f>
        <v/>
      </c>
      <c r="K196" s="97" t="str">
        <f aca="false">IF($D196="","",IFERROR(VLOOKUP($D196,PLANI_LLOGARIVE!$A:$J,10,FALSE()),FALSE()))</f>
        <v/>
      </c>
      <c r="L196" s="97" t="str">
        <f aca="false">IF($D196="","",IFERROR(VLOOKUP($D196,PLANI_LLOGARIVE!$A:$G,7,FALSE()),"NUK EKZISTON"))</f>
        <v/>
      </c>
      <c r="M196" s="98" t="str">
        <f aca="false">IF($D196="","",IF(COUNTIF(PLANI_LLOGARIVE!$A:$A,$D196)=0,"ERROR - llogaria nuk ekziston",IF($K196=TRUE(),"OK","ERROR - llogari jo-postuese/Header")))</f>
        <v/>
      </c>
      <c r="N196" s="99" t="str">
        <f aca="false">IF(TRIM($C196)="","",IF(ABS(SUMIFS($F:$F,$C:$C,TRIM($C196))-SUMIFS($G:$G,$C:$C,TRIM($C196)))&lt;0.005,"OK","ERROR - debi/kredi"))</f>
        <v/>
      </c>
      <c r="O196" s="88"/>
      <c r="P196" s="88"/>
      <c r="Q196" s="88"/>
      <c r="R196" s="88"/>
      <c r="S196" s="100" t="str">
        <f aca="false">IF(D196="","",LEFT(D196&amp;"",2))</f>
        <v/>
      </c>
      <c r="T196" s="101" t="str">
        <f aca="false">IF(D196="","",LEFT(D196&amp;"",3))</f>
        <v/>
      </c>
    </row>
    <row r="197" customFormat="false" ht="14.25" hidden="false" customHeight="true" outlineLevel="0" collapsed="false">
      <c r="A197" s="89"/>
      <c r="B197" s="90"/>
      <c r="C197" s="90"/>
      <c r="D197" s="90"/>
      <c r="E197" s="91" t="str">
        <f aca="false">IFERROR(VLOOKUP(D197,PLANI_LLOGARIVE!$A:$B,2,FALSE()),"")</f>
        <v/>
      </c>
      <c r="F197" s="92"/>
      <c r="G197" s="93"/>
      <c r="H197" s="94"/>
      <c r="I197" s="95"/>
      <c r="J197" s="96" t="str">
        <f aca="false">IF(TRIM($C197)="","",IF($M197&lt;&gt;"OK",$M197,IF(ABS(SUMIFS($F:$F,$C:$C,TRIM($C197))-SUMIFS($G:$G,$C:$C,TRIM($C197)))&lt;0.005,"OK","ERROR - veprimi nuk balancohet")))</f>
        <v/>
      </c>
      <c r="K197" s="97" t="str">
        <f aca="false">IF($D197="","",IFERROR(VLOOKUP($D197,PLANI_LLOGARIVE!$A:$J,10,FALSE()),FALSE()))</f>
        <v/>
      </c>
      <c r="L197" s="97" t="str">
        <f aca="false">IF($D197="","",IFERROR(VLOOKUP($D197,PLANI_LLOGARIVE!$A:$G,7,FALSE()),"NUK EKZISTON"))</f>
        <v/>
      </c>
      <c r="M197" s="98" t="str">
        <f aca="false">IF($D197="","",IF(COUNTIF(PLANI_LLOGARIVE!$A:$A,$D197)=0,"ERROR - llogaria nuk ekziston",IF($K197=TRUE(),"OK","ERROR - llogari jo-postuese/Header")))</f>
        <v/>
      </c>
      <c r="N197" s="99" t="str">
        <f aca="false">IF(TRIM($C197)="","",IF(ABS(SUMIFS($F:$F,$C:$C,TRIM($C197))-SUMIFS($G:$G,$C:$C,TRIM($C197)))&lt;0.005,"OK","ERROR - debi/kredi"))</f>
        <v/>
      </c>
      <c r="O197" s="88"/>
      <c r="P197" s="88"/>
      <c r="Q197" s="88"/>
      <c r="R197" s="88"/>
      <c r="S197" s="100" t="str">
        <f aca="false">IF(D197="","",LEFT(D197&amp;"",2))</f>
        <v/>
      </c>
      <c r="T197" s="101" t="str">
        <f aca="false">IF(D197="","",LEFT(D197&amp;"",3))</f>
        <v/>
      </c>
    </row>
    <row r="198" customFormat="false" ht="14.25" hidden="false" customHeight="true" outlineLevel="0" collapsed="false">
      <c r="A198" s="89"/>
      <c r="B198" s="90"/>
      <c r="C198" s="90"/>
      <c r="D198" s="90"/>
      <c r="E198" s="91" t="str">
        <f aca="false">IFERROR(VLOOKUP(D198,PLANI_LLOGARIVE!$A:$B,2,FALSE()),"")</f>
        <v/>
      </c>
      <c r="F198" s="92"/>
      <c r="G198" s="93"/>
      <c r="H198" s="94"/>
      <c r="I198" s="95"/>
      <c r="J198" s="96" t="str">
        <f aca="false">IF(TRIM($C198)="","",IF($M198&lt;&gt;"OK",$M198,IF(ABS(SUMIFS($F:$F,$C:$C,TRIM($C198))-SUMIFS($G:$G,$C:$C,TRIM($C198)))&lt;0.005,"OK","ERROR - veprimi nuk balancohet")))</f>
        <v/>
      </c>
      <c r="K198" s="97" t="str">
        <f aca="false">IF($D198="","",IFERROR(VLOOKUP($D198,PLANI_LLOGARIVE!$A:$J,10,FALSE()),FALSE()))</f>
        <v/>
      </c>
      <c r="L198" s="97" t="str">
        <f aca="false">IF($D198="","",IFERROR(VLOOKUP($D198,PLANI_LLOGARIVE!$A:$G,7,FALSE()),"NUK EKZISTON"))</f>
        <v/>
      </c>
      <c r="M198" s="98" t="str">
        <f aca="false">IF($D198="","",IF(COUNTIF(PLANI_LLOGARIVE!$A:$A,$D198)=0,"ERROR - llogaria nuk ekziston",IF($K198=TRUE(),"OK","ERROR - llogari jo-postuese/Header")))</f>
        <v/>
      </c>
      <c r="N198" s="99" t="str">
        <f aca="false">IF(TRIM($C198)="","",IF(ABS(SUMIFS($F:$F,$C:$C,TRIM($C198))-SUMIFS($G:$G,$C:$C,TRIM($C198)))&lt;0.005,"OK","ERROR - debi/kredi"))</f>
        <v/>
      </c>
      <c r="O198" s="88"/>
      <c r="P198" s="88"/>
      <c r="Q198" s="88"/>
      <c r="R198" s="88"/>
      <c r="S198" s="100" t="str">
        <f aca="false">IF(D198="","",LEFT(D198&amp;"",2))</f>
        <v/>
      </c>
      <c r="T198" s="101" t="str">
        <f aca="false">IF(D198="","",LEFT(D198&amp;"",3))</f>
        <v/>
      </c>
    </row>
    <row r="199" customFormat="false" ht="14.25" hidden="false" customHeight="true" outlineLevel="0" collapsed="false">
      <c r="A199" s="89"/>
      <c r="B199" s="90"/>
      <c r="C199" s="90"/>
      <c r="D199" s="90"/>
      <c r="E199" s="91" t="str">
        <f aca="false">IFERROR(VLOOKUP(D199,PLANI_LLOGARIVE!$A:$B,2,FALSE()),"")</f>
        <v/>
      </c>
      <c r="F199" s="92"/>
      <c r="G199" s="93"/>
      <c r="H199" s="94"/>
      <c r="I199" s="95"/>
      <c r="J199" s="96" t="str">
        <f aca="false">IF(TRIM($C199)="","",IF($M199&lt;&gt;"OK",$M199,IF(ABS(SUMIFS($F:$F,$C:$C,TRIM($C199))-SUMIFS($G:$G,$C:$C,TRIM($C199)))&lt;0.005,"OK","ERROR - veprimi nuk balancohet")))</f>
        <v/>
      </c>
      <c r="K199" s="97" t="str">
        <f aca="false">IF($D199="","",IFERROR(VLOOKUP($D199,PLANI_LLOGARIVE!$A:$J,10,FALSE()),FALSE()))</f>
        <v/>
      </c>
      <c r="L199" s="97" t="str">
        <f aca="false">IF($D199="","",IFERROR(VLOOKUP($D199,PLANI_LLOGARIVE!$A:$G,7,FALSE()),"NUK EKZISTON"))</f>
        <v/>
      </c>
      <c r="M199" s="98" t="str">
        <f aca="false">IF($D199="","",IF(COUNTIF(PLANI_LLOGARIVE!$A:$A,$D199)=0,"ERROR - llogaria nuk ekziston",IF($K199=TRUE(),"OK","ERROR - llogari jo-postuese/Header")))</f>
        <v/>
      </c>
      <c r="N199" s="99" t="str">
        <f aca="false">IF(TRIM($C199)="","",IF(ABS(SUMIFS($F:$F,$C:$C,TRIM($C199))-SUMIFS($G:$G,$C:$C,TRIM($C199)))&lt;0.005,"OK","ERROR - debi/kredi"))</f>
        <v/>
      </c>
      <c r="O199" s="88"/>
      <c r="P199" s="88"/>
      <c r="Q199" s="88"/>
      <c r="R199" s="88"/>
      <c r="S199" s="100" t="str">
        <f aca="false">IF(D199="","",LEFT(D199&amp;"",2))</f>
        <v/>
      </c>
      <c r="T199" s="101" t="str">
        <f aca="false">IF(D199="","",LEFT(D199&amp;"",3))</f>
        <v/>
      </c>
    </row>
    <row r="200" customFormat="false" ht="14.25" hidden="false" customHeight="true" outlineLevel="0" collapsed="false">
      <c r="A200" s="89"/>
      <c r="B200" s="90"/>
      <c r="C200" s="90"/>
      <c r="D200" s="90"/>
      <c r="E200" s="91" t="str">
        <f aca="false">IFERROR(VLOOKUP(D200,PLANI_LLOGARIVE!$A:$B,2,FALSE()),"")</f>
        <v/>
      </c>
      <c r="F200" s="92"/>
      <c r="G200" s="93"/>
      <c r="H200" s="94"/>
      <c r="I200" s="95"/>
      <c r="J200" s="96" t="str">
        <f aca="false">IF(TRIM($C200)="","",IF($M200&lt;&gt;"OK",$M200,IF(ABS(SUMIFS($F:$F,$C:$C,TRIM($C200))-SUMIFS($G:$G,$C:$C,TRIM($C200)))&lt;0.005,"OK","ERROR - veprimi nuk balancohet")))</f>
        <v/>
      </c>
      <c r="K200" s="97" t="str">
        <f aca="false">IF($D200="","",IFERROR(VLOOKUP($D200,PLANI_LLOGARIVE!$A:$J,10,FALSE()),FALSE()))</f>
        <v/>
      </c>
      <c r="L200" s="97" t="str">
        <f aca="false">IF($D200="","",IFERROR(VLOOKUP($D200,PLANI_LLOGARIVE!$A:$G,7,FALSE()),"NUK EKZISTON"))</f>
        <v/>
      </c>
      <c r="M200" s="98" t="str">
        <f aca="false">IF($D200="","",IF(COUNTIF(PLANI_LLOGARIVE!$A:$A,$D200)=0,"ERROR - llogaria nuk ekziston",IF($K200=TRUE(),"OK","ERROR - llogari jo-postuese/Header")))</f>
        <v/>
      </c>
      <c r="N200" s="99" t="str">
        <f aca="false">IF(TRIM($C200)="","",IF(ABS(SUMIFS($F:$F,$C:$C,TRIM($C200))-SUMIFS($G:$G,$C:$C,TRIM($C200)))&lt;0.005,"OK","ERROR - debi/kredi"))</f>
        <v/>
      </c>
      <c r="O200" s="88"/>
      <c r="P200" s="88"/>
      <c r="Q200" s="88"/>
      <c r="R200" s="88"/>
      <c r="S200" s="100" t="str">
        <f aca="false">IF(D200="","",LEFT(D200&amp;"",2))</f>
        <v/>
      </c>
      <c r="T200" s="101" t="str">
        <f aca="false">IF(D200="","",LEFT(D200&amp;"",3))</f>
        <v/>
      </c>
    </row>
    <row r="201" customFormat="false" ht="14.25" hidden="false" customHeight="true" outlineLevel="0" collapsed="false">
      <c r="A201" s="89"/>
      <c r="B201" s="90"/>
      <c r="C201" s="90"/>
      <c r="D201" s="90"/>
      <c r="E201" s="91" t="str">
        <f aca="false">IFERROR(VLOOKUP(D201,PLANI_LLOGARIVE!$A:$B,2,FALSE()),"")</f>
        <v/>
      </c>
      <c r="F201" s="92"/>
      <c r="G201" s="93"/>
      <c r="H201" s="94"/>
      <c r="I201" s="95"/>
      <c r="J201" s="96" t="str">
        <f aca="false">IF(TRIM($C201)="","",IF($M201&lt;&gt;"OK",$M201,IF(ABS(SUMIFS($F:$F,$C:$C,TRIM($C201))-SUMIFS($G:$G,$C:$C,TRIM($C201)))&lt;0.005,"OK","ERROR - veprimi nuk balancohet")))</f>
        <v/>
      </c>
      <c r="K201" s="97" t="str">
        <f aca="false">IF($D201="","",IFERROR(VLOOKUP($D201,PLANI_LLOGARIVE!$A:$J,10,FALSE()),FALSE()))</f>
        <v/>
      </c>
      <c r="L201" s="97" t="str">
        <f aca="false">IF($D201="","",IFERROR(VLOOKUP($D201,PLANI_LLOGARIVE!$A:$G,7,FALSE()),"NUK EKZISTON"))</f>
        <v/>
      </c>
      <c r="M201" s="98" t="str">
        <f aca="false">IF($D201="","",IF(COUNTIF(PLANI_LLOGARIVE!$A:$A,$D201)=0,"ERROR - llogaria nuk ekziston",IF($K201=TRUE(),"OK","ERROR - llogari jo-postuese/Header")))</f>
        <v/>
      </c>
      <c r="N201" s="99" t="str">
        <f aca="false">IF(TRIM($C201)="","",IF(ABS(SUMIFS($F:$F,$C:$C,TRIM($C201))-SUMIFS($G:$G,$C:$C,TRIM($C201)))&lt;0.005,"OK","ERROR - debi/kredi"))</f>
        <v/>
      </c>
      <c r="O201" s="88"/>
      <c r="P201" s="88"/>
      <c r="Q201" s="88"/>
      <c r="R201" s="88"/>
      <c r="S201" s="100" t="str">
        <f aca="false">IF(D201="","",LEFT(D201&amp;"",2))</f>
        <v/>
      </c>
      <c r="T201" s="101" t="str">
        <f aca="false">IF(D201="","",LEFT(D201&amp;"",3))</f>
        <v/>
      </c>
    </row>
    <row r="202" customFormat="false" ht="14.25" hidden="false" customHeight="true" outlineLevel="0" collapsed="false">
      <c r="A202" s="89"/>
      <c r="B202" s="90"/>
      <c r="C202" s="90"/>
      <c r="D202" s="90"/>
      <c r="E202" s="91" t="str">
        <f aca="false">IFERROR(VLOOKUP(D202,PLANI_LLOGARIVE!$A:$B,2,FALSE()),"")</f>
        <v/>
      </c>
      <c r="F202" s="92"/>
      <c r="G202" s="93"/>
      <c r="H202" s="94"/>
      <c r="I202" s="95"/>
      <c r="J202" s="96" t="str">
        <f aca="false">IF(TRIM($C202)="","",IF($M202&lt;&gt;"OK",$M202,IF(ABS(SUMIFS($F:$F,$C:$C,TRIM($C202))-SUMIFS($G:$G,$C:$C,TRIM($C202)))&lt;0.005,"OK","ERROR - veprimi nuk balancohet")))</f>
        <v/>
      </c>
      <c r="K202" s="97" t="str">
        <f aca="false">IF($D202="","",IFERROR(VLOOKUP($D202,PLANI_LLOGARIVE!$A:$J,10,FALSE()),FALSE()))</f>
        <v/>
      </c>
      <c r="L202" s="97" t="str">
        <f aca="false">IF($D202="","",IFERROR(VLOOKUP($D202,PLANI_LLOGARIVE!$A:$G,7,FALSE()),"NUK EKZISTON"))</f>
        <v/>
      </c>
      <c r="M202" s="98" t="str">
        <f aca="false">IF($D202="","",IF(COUNTIF(PLANI_LLOGARIVE!$A:$A,$D202)=0,"ERROR - llogaria nuk ekziston",IF($K202=TRUE(),"OK","ERROR - llogari jo-postuese/Header")))</f>
        <v/>
      </c>
      <c r="N202" s="99" t="str">
        <f aca="false">IF(TRIM($C202)="","",IF(ABS(SUMIFS($F:$F,$C:$C,TRIM($C202))-SUMIFS($G:$G,$C:$C,TRIM($C202)))&lt;0.005,"OK","ERROR - debi/kredi"))</f>
        <v/>
      </c>
      <c r="O202" s="88"/>
      <c r="P202" s="88"/>
      <c r="Q202" s="88"/>
      <c r="R202" s="88"/>
      <c r="S202" s="100" t="str">
        <f aca="false">IF(D202="","",LEFT(D202&amp;"",2))</f>
        <v/>
      </c>
      <c r="T202" s="101" t="str">
        <f aca="false">IF(D202="","",LEFT(D202&amp;"",3))</f>
        <v/>
      </c>
    </row>
    <row r="203" customFormat="false" ht="14.25" hidden="false" customHeight="true" outlineLevel="0" collapsed="false">
      <c r="A203" s="89"/>
      <c r="B203" s="90"/>
      <c r="C203" s="90"/>
      <c r="D203" s="90"/>
      <c r="E203" s="91" t="str">
        <f aca="false">IFERROR(VLOOKUP(D203,PLANI_LLOGARIVE!$A:$B,2,FALSE()),"")</f>
        <v/>
      </c>
      <c r="F203" s="92"/>
      <c r="G203" s="93"/>
      <c r="H203" s="94"/>
      <c r="I203" s="95"/>
      <c r="J203" s="96" t="str">
        <f aca="false">IF(TRIM($C203)="","",IF($M203&lt;&gt;"OK",$M203,IF(ABS(SUMIFS($F:$F,$C:$C,TRIM($C203))-SUMIFS($G:$G,$C:$C,TRIM($C203)))&lt;0.005,"OK","ERROR - veprimi nuk balancohet")))</f>
        <v/>
      </c>
      <c r="K203" s="97" t="str">
        <f aca="false">IF($D203="","",IFERROR(VLOOKUP($D203,PLANI_LLOGARIVE!$A:$J,10,FALSE()),FALSE()))</f>
        <v/>
      </c>
      <c r="L203" s="97" t="str">
        <f aca="false">IF($D203="","",IFERROR(VLOOKUP($D203,PLANI_LLOGARIVE!$A:$G,7,FALSE()),"NUK EKZISTON"))</f>
        <v/>
      </c>
      <c r="M203" s="98" t="str">
        <f aca="false">IF($D203="","",IF(COUNTIF(PLANI_LLOGARIVE!$A:$A,$D203)=0,"ERROR - llogaria nuk ekziston",IF($K203=TRUE(),"OK","ERROR - llogari jo-postuese/Header")))</f>
        <v/>
      </c>
      <c r="N203" s="99" t="str">
        <f aca="false">IF(TRIM($C203)="","",IF(ABS(SUMIFS($F:$F,$C:$C,TRIM($C203))-SUMIFS($G:$G,$C:$C,TRIM($C203)))&lt;0.005,"OK","ERROR - debi/kredi"))</f>
        <v/>
      </c>
      <c r="O203" s="88"/>
      <c r="P203" s="88"/>
      <c r="Q203" s="88"/>
      <c r="R203" s="88"/>
      <c r="S203" s="100" t="str">
        <f aca="false">IF(D203="","",LEFT(D203&amp;"",2))</f>
        <v/>
      </c>
      <c r="T203" s="101" t="str">
        <f aca="false">IF(D203="","",LEFT(D203&amp;"",3))</f>
        <v/>
      </c>
    </row>
    <row r="204" customFormat="false" ht="14.25" hidden="false" customHeight="true" outlineLevel="0" collapsed="false">
      <c r="A204" s="89"/>
      <c r="B204" s="90"/>
      <c r="C204" s="90"/>
      <c r="D204" s="90"/>
      <c r="E204" s="91" t="str">
        <f aca="false">IFERROR(VLOOKUP(D204,PLANI_LLOGARIVE!$A:$B,2,FALSE()),"")</f>
        <v/>
      </c>
      <c r="F204" s="92"/>
      <c r="G204" s="93"/>
      <c r="H204" s="94"/>
      <c r="I204" s="95"/>
      <c r="J204" s="96" t="str">
        <f aca="false">IF(TRIM($C204)="","",IF($M204&lt;&gt;"OK",$M204,IF(ABS(SUMIFS($F:$F,$C:$C,TRIM($C204))-SUMIFS($G:$G,$C:$C,TRIM($C204)))&lt;0.005,"OK","ERROR - veprimi nuk balancohet")))</f>
        <v/>
      </c>
      <c r="K204" s="97" t="str">
        <f aca="false">IF($D204="","",IFERROR(VLOOKUP($D204,PLANI_LLOGARIVE!$A:$J,10,FALSE()),FALSE()))</f>
        <v/>
      </c>
      <c r="L204" s="97" t="str">
        <f aca="false">IF($D204="","",IFERROR(VLOOKUP($D204,PLANI_LLOGARIVE!$A:$G,7,FALSE()),"NUK EKZISTON"))</f>
        <v/>
      </c>
      <c r="M204" s="98" t="str">
        <f aca="false">IF($D204="","",IF(COUNTIF(PLANI_LLOGARIVE!$A:$A,$D204)=0,"ERROR - llogaria nuk ekziston",IF($K204=TRUE(),"OK","ERROR - llogari jo-postuese/Header")))</f>
        <v/>
      </c>
      <c r="N204" s="99" t="str">
        <f aca="false">IF(TRIM($C204)="","",IF(ABS(SUMIFS($F:$F,$C:$C,TRIM($C204))-SUMIFS($G:$G,$C:$C,TRIM($C204)))&lt;0.005,"OK","ERROR - debi/kredi"))</f>
        <v/>
      </c>
      <c r="O204" s="88"/>
      <c r="P204" s="88"/>
      <c r="Q204" s="88"/>
      <c r="R204" s="88"/>
      <c r="S204" s="100" t="str">
        <f aca="false">IF(D204="","",LEFT(D204&amp;"",2))</f>
        <v/>
      </c>
      <c r="T204" s="101" t="str">
        <f aca="false">IF(D204="","",LEFT(D204&amp;"",3))</f>
        <v/>
      </c>
    </row>
    <row r="205" customFormat="false" ht="14.25" hidden="false" customHeight="true" outlineLevel="0" collapsed="false">
      <c r="A205" s="89"/>
      <c r="B205" s="90"/>
      <c r="C205" s="90"/>
      <c r="D205" s="90"/>
      <c r="E205" s="91" t="str">
        <f aca="false">IFERROR(VLOOKUP(D205,PLANI_LLOGARIVE!$A:$B,2,FALSE()),"")</f>
        <v/>
      </c>
      <c r="F205" s="92"/>
      <c r="G205" s="93"/>
      <c r="H205" s="94"/>
      <c r="I205" s="95"/>
      <c r="J205" s="96" t="str">
        <f aca="false">IF(TRIM($C205)="","",IF($M205&lt;&gt;"OK",$M205,IF(ABS(SUMIFS($F:$F,$C:$C,TRIM($C205))-SUMIFS($G:$G,$C:$C,TRIM($C205)))&lt;0.005,"OK","ERROR - veprimi nuk balancohet")))</f>
        <v/>
      </c>
      <c r="K205" s="97" t="str">
        <f aca="false">IF($D205="","",IFERROR(VLOOKUP($D205,PLANI_LLOGARIVE!$A:$J,10,FALSE()),FALSE()))</f>
        <v/>
      </c>
      <c r="L205" s="97" t="str">
        <f aca="false">IF($D205="","",IFERROR(VLOOKUP($D205,PLANI_LLOGARIVE!$A:$G,7,FALSE()),"NUK EKZISTON"))</f>
        <v/>
      </c>
      <c r="M205" s="98" t="str">
        <f aca="false">IF($D205="","",IF(COUNTIF(PLANI_LLOGARIVE!$A:$A,$D205)=0,"ERROR - llogaria nuk ekziston",IF($K205=TRUE(),"OK","ERROR - llogari jo-postuese/Header")))</f>
        <v/>
      </c>
      <c r="N205" s="99" t="str">
        <f aca="false">IF(TRIM($C205)="","",IF(ABS(SUMIFS($F:$F,$C:$C,TRIM($C205))-SUMIFS($G:$G,$C:$C,TRIM($C205)))&lt;0.005,"OK","ERROR - debi/kredi"))</f>
        <v/>
      </c>
      <c r="O205" s="88"/>
      <c r="P205" s="88"/>
      <c r="Q205" s="88"/>
      <c r="R205" s="88"/>
      <c r="S205" s="100" t="str">
        <f aca="false">IF(D205="","",LEFT(D205&amp;"",2))</f>
        <v/>
      </c>
      <c r="T205" s="101" t="str">
        <f aca="false">IF(D205="","",LEFT(D205&amp;"",3))</f>
        <v/>
      </c>
    </row>
    <row r="206" customFormat="false" ht="14.25" hidden="false" customHeight="true" outlineLevel="0" collapsed="false">
      <c r="A206" s="89"/>
      <c r="B206" s="90"/>
      <c r="C206" s="90"/>
      <c r="D206" s="90"/>
      <c r="E206" s="91" t="str">
        <f aca="false">IFERROR(VLOOKUP(D206,PLANI_LLOGARIVE!$A:$B,2,FALSE()),"")</f>
        <v/>
      </c>
      <c r="F206" s="92"/>
      <c r="G206" s="93"/>
      <c r="H206" s="94"/>
      <c r="I206" s="95"/>
      <c r="J206" s="96" t="str">
        <f aca="false">IF(TRIM($C206)="","",IF($M206&lt;&gt;"OK",$M206,IF(ABS(SUMIFS($F:$F,$C:$C,TRIM($C206))-SUMIFS($G:$G,$C:$C,TRIM($C206)))&lt;0.005,"OK","ERROR - veprimi nuk balancohet")))</f>
        <v/>
      </c>
      <c r="K206" s="97" t="str">
        <f aca="false">IF($D206="","",IFERROR(VLOOKUP($D206,PLANI_LLOGARIVE!$A:$J,10,FALSE()),FALSE()))</f>
        <v/>
      </c>
      <c r="L206" s="97" t="str">
        <f aca="false">IF($D206="","",IFERROR(VLOOKUP($D206,PLANI_LLOGARIVE!$A:$G,7,FALSE()),"NUK EKZISTON"))</f>
        <v/>
      </c>
      <c r="M206" s="98" t="str">
        <f aca="false">IF($D206="","",IF(COUNTIF(PLANI_LLOGARIVE!$A:$A,$D206)=0,"ERROR - llogaria nuk ekziston",IF($K206=TRUE(),"OK","ERROR - llogari jo-postuese/Header")))</f>
        <v/>
      </c>
      <c r="N206" s="99" t="str">
        <f aca="false">IF(TRIM($C206)="","",IF(ABS(SUMIFS($F:$F,$C:$C,TRIM($C206))-SUMIFS($G:$G,$C:$C,TRIM($C206)))&lt;0.005,"OK","ERROR - debi/kredi"))</f>
        <v/>
      </c>
      <c r="O206" s="88"/>
      <c r="P206" s="88"/>
      <c r="Q206" s="88"/>
      <c r="R206" s="88"/>
      <c r="S206" s="100" t="str">
        <f aca="false">IF(D206="","",LEFT(D206&amp;"",2))</f>
        <v/>
      </c>
      <c r="T206" s="101" t="str">
        <f aca="false">IF(D206="","",LEFT(D206&amp;"",3))</f>
        <v/>
      </c>
    </row>
    <row r="207" customFormat="false" ht="14.25" hidden="false" customHeight="true" outlineLevel="0" collapsed="false">
      <c r="A207" s="89"/>
      <c r="B207" s="90"/>
      <c r="C207" s="90"/>
      <c r="D207" s="90"/>
      <c r="E207" s="91" t="str">
        <f aca="false">IFERROR(VLOOKUP(D207,PLANI_LLOGARIVE!$A:$B,2,FALSE()),"")</f>
        <v/>
      </c>
      <c r="F207" s="92"/>
      <c r="G207" s="93"/>
      <c r="H207" s="94"/>
      <c r="I207" s="95"/>
      <c r="J207" s="96" t="str">
        <f aca="false">IF(TRIM($C207)="","",IF($M207&lt;&gt;"OK",$M207,IF(ABS(SUMIFS($F:$F,$C:$C,TRIM($C207))-SUMIFS($G:$G,$C:$C,TRIM($C207)))&lt;0.005,"OK","ERROR - veprimi nuk balancohet")))</f>
        <v/>
      </c>
      <c r="K207" s="97" t="str">
        <f aca="false">IF($D207="","",IFERROR(VLOOKUP($D207,PLANI_LLOGARIVE!$A:$J,10,FALSE()),FALSE()))</f>
        <v/>
      </c>
      <c r="L207" s="97" t="str">
        <f aca="false">IF($D207="","",IFERROR(VLOOKUP($D207,PLANI_LLOGARIVE!$A:$G,7,FALSE()),"NUK EKZISTON"))</f>
        <v/>
      </c>
      <c r="M207" s="98" t="str">
        <f aca="false">IF($D207="","",IF(COUNTIF(PLANI_LLOGARIVE!$A:$A,$D207)=0,"ERROR - llogaria nuk ekziston",IF($K207=TRUE(),"OK","ERROR - llogari jo-postuese/Header")))</f>
        <v/>
      </c>
      <c r="N207" s="99" t="str">
        <f aca="false">IF(TRIM($C207)="","",IF(ABS(SUMIFS($F:$F,$C:$C,TRIM($C207))-SUMIFS($G:$G,$C:$C,TRIM($C207)))&lt;0.005,"OK","ERROR - debi/kredi"))</f>
        <v/>
      </c>
      <c r="O207" s="88"/>
      <c r="P207" s="88"/>
      <c r="Q207" s="88"/>
      <c r="R207" s="88"/>
      <c r="S207" s="100" t="str">
        <f aca="false">IF(D207="","",LEFT(D207&amp;"",2))</f>
        <v/>
      </c>
      <c r="T207" s="101" t="str">
        <f aca="false">IF(D207="","",LEFT(D207&amp;"",3))</f>
        <v/>
      </c>
    </row>
    <row r="208" customFormat="false" ht="14.25" hidden="false" customHeight="true" outlineLevel="0" collapsed="false">
      <c r="A208" s="89"/>
      <c r="B208" s="90"/>
      <c r="C208" s="90"/>
      <c r="D208" s="90"/>
      <c r="E208" s="91" t="str">
        <f aca="false">IFERROR(VLOOKUP(D208,PLANI_LLOGARIVE!$A:$B,2,FALSE()),"")</f>
        <v/>
      </c>
      <c r="F208" s="92"/>
      <c r="G208" s="93"/>
      <c r="H208" s="94"/>
      <c r="I208" s="95"/>
      <c r="J208" s="96" t="str">
        <f aca="false">IF(TRIM($C208)="","",IF($M208&lt;&gt;"OK",$M208,IF(ABS(SUMIFS($F:$F,$C:$C,TRIM($C208))-SUMIFS($G:$G,$C:$C,TRIM($C208)))&lt;0.005,"OK","ERROR - veprimi nuk balancohet")))</f>
        <v/>
      </c>
      <c r="K208" s="97" t="str">
        <f aca="false">IF($D208="","",IFERROR(VLOOKUP($D208,PLANI_LLOGARIVE!$A:$J,10,FALSE()),FALSE()))</f>
        <v/>
      </c>
      <c r="L208" s="97" t="str">
        <f aca="false">IF($D208="","",IFERROR(VLOOKUP($D208,PLANI_LLOGARIVE!$A:$G,7,FALSE()),"NUK EKZISTON"))</f>
        <v/>
      </c>
      <c r="M208" s="98" t="str">
        <f aca="false">IF($D208="","",IF(COUNTIF(PLANI_LLOGARIVE!$A:$A,$D208)=0,"ERROR - llogaria nuk ekziston",IF($K208=TRUE(),"OK","ERROR - llogari jo-postuese/Header")))</f>
        <v/>
      </c>
      <c r="N208" s="99" t="str">
        <f aca="false">IF(TRIM($C208)="","",IF(ABS(SUMIFS($F:$F,$C:$C,TRIM($C208))-SUMIFS($G:$G,$C:$C,TRIM($C208)))&lt;0.005,"OK","ERROR - debi/kredi"))</f>
        <v/>
      </c>
      <c r="O208" s="88"/>
      <c r="P208" s="88"/>
      <c r="Q208" s="88"/>
      <c r="R208" s="88"/>
      <c r="S208" s="100" t="str">
        <f aca="false">IF(D208="","",LEFT(D208&amp;"",2))</f>
        <v/>
      </c>
      <c r="T208" s="101" t="str">
        <f aca="false">IF(D208="","",LEFT(D208&amp;"",3))</f>
        <v/>
      </c>
    </row>
    <row r="209" customFormat="false" ht="14.25" hidden="false" customHeight="true" outlineLevel="0" collapsed="false">
      <c r="A209" s="89"/>
      <c r="B209" s="90"/>
      <c r="C209" s="90"/>
      <c r="D209" s="90"/>
      <c r="E209" s="91" t="str">
        <f aca="false">IFERROR(VLOOKUP(D209,PLANI_LLOGARIVE!$A:$B,2,FALSE()),"")</f>
        <v/>
      </c>
      <c r="F209" s="92"/>
      <c r="G209" s="93"/>
      <c r="H209" s="94"/>
      <c r="I209" s="95"/>
      <c r="J209" s="96" t="str">
        <f aca="false">IF(TRIM($C209)="","",IF($M209&lt;&gt;"OK",$M209,IF(ABS(SUMIFS($F:$F,$C:$C,TRIM($C209))-SUMIFS($G:$G,$C:$C,TRIM($C209)))&lt;0.005,"OK","ERROR - veprimi nuk balancohet")))</f>
        <v/>
      </c>
      <c r="K209" s="97" t="str">
        <f aca="false">IF($D209="","",IFERROR(VLOOKUP($D209,PLANI_LLOGARIVE!$A:$J,10,FALSE()),FALSE()))</f>
        <v/>
      </c>
      <c r="L209" s="97" t="str">
        <f aca="false">IF($D209="","",IFERROR(VLOOKUP($D209,PLANI_LLOGARIVE!$A:$G,7,FALSE()),"NUK EKZISTON"))</f>
        <v/>
      </c>
      <c r="M209" s="98" t="str">
        <f aca="false">IF($D209="","",IF(COUNTIF(PLANI_LLOGARIVE!$A:$A,$D209)=0,"ERROR - llogaria nuk ekziston",IF($K209=TRUE(),"OK","ERROR - llogari jo-postuese/Header")))</f>
        <v/>
      </c>
      <c r="N209" s="99" t="str">
        <f aca="false">IF(TRIM($C209)="","",IF(ABS(SUMIFS($F:$F,$C:$C,TRIM($C209))-SUMIFS($G:$G,$C:$C,TRIM($C209)))&lt;0.005,"OK","ERROR - debi/kredi"))</f>
        <v/>
      </c>
      <c r="O209" s="88"/>
      <c r="P209" s="88"/>
      <c r="Q209" s="88"/>
      <c r="R209" s="88"/>
      <c r="S209" s="100" t="str">
        <f aca="false">IF(D209="","",LEFT(D209&amp;"",2))</f>
        <v/>
      </c>
      <c r="T209" s="101" t="str">
        <f aca="false">IF(D209="","",LEFT(D209&amp;"",3))</f>
        <v/>
      </c>
    </row>
    <row r="210" customFormat="false" ht="14.25" hidden="false" customHeight="true" outlineLevel="0" collapsed="false">
      <c r="A210" s="89"/>
      <c r="B210" s="90"/>
      <c r="C210" s="90"/>
      <c r="D210" s="90"/>
      <c r="E210" s="91" t="str">
        <f aca="false">IFERROR(VLOOKUP(D210,PLANI_LLOGARIVE!$A:$B,2,FALSE()),"")</f>
        <v/>
      </c>
      <c r="F210" s="92"/>
      <c r="G210" s="93"/>
      <c r="H210" s="94"/>
      <c r="I210" s="95"/>
      <c r="J210" s="96" t="str">
        <f aca="false">IF(TRIM($C210)="","",IF($M210&lt;&gt;"OK",$M210,IF(ABS(SUMIFS($F:$F,$C:$C,TRIM($C210))-SUMIFS($G:$G,$C:$C,TRIM($C210)))&lt;0.005,"OK","ERROR - veprimi nuk balancohet")))</f>
        <v/>
      </c>
      <c r="K210" s="97" t="str">
        <f aca="false">IF($D210="","",IFERROR(VLOOKUP($D210,PLANI_LLOGARIVE!$A:$J,10,FALSE()),FALSE()))</f>
        <v/>
      </c>
      <c r="L210" s="97" t="str">
        <f aca="false">IF($D210="","",IFERROR(VLOOKUP($D210,PLANI_LLOGARIVE!$A:$G,7,FALSE()),"NUK EKZISTON"))</f>
        <v/>
      </c>
      <c r="M210" s="98" t="str">
        <f aca="false">IF($D210="","",IF(COUNTIF(PLANI_LLOGARIVE!$A:$A,$D210)=0,"ERROR - llogaria nuk ekziston",IF($K210=TRUE(),"OK","ERROR - llogari jo-postuese/Header")))</f>
        <v/>
      </c>
      <c r="N210" s="99" t="str">
        <f aca="false">IF(TRIM($C210)="","",IF(ABS(SUMIFS($F:$F,$C:$C,TRIM($C210))-SUMIFS($G:$G,$C:$C,TRIM($C210)))&lt;0.005,"OK","ERROR - debi/kredi"))</f>
        <v/>
      </c>
      <c r="O210" s="88"/>
      <c r="P210" s="88"/>
      <c r="Q210" s="88"/>
      <c r="R210" s="88"/>
      <c r="S210" s="100" t="str">
        <f aca="false">IF(D210="","",LEFT(D210&amp;"",2))</f>
        <v/>
      </c>
      <c r="T210" s="101" t="str">
        <f aca="false">IF(D210="","",LEFT(D210&amp;"",3))</f>
        <v/>
      </c>
    </row>
    <row r="211" customFormat="false" ht="14.25" hidden="false" customHeight="true" outlineLevel="0" collapsed="false">
      <c r="A211" s="89"/>
      <c r="B211" s="90"/>
      <c r="C211" s="90"/>
      <c r="D211" s="90"/>
      <c r="E211" s="91" t="str">
        <f aca="false">IFERROR(VLOOKUP(D211,PLANI_LLOGARIVE!$A:$B,2,FALSE()),"")</f>
        <v/>
      </c>
      <c r="F211" s="92"/>
      <c r="G211" s="93"/>
      <c r="H211" s="94"/>
      <c r="I211" s="95"/>
      <c r="J211" s="96" t="str">
        <f aca="false">IF(TRIM($C211)="","",IF($M211&lt;&gt;"OK",$M211,IF(ABS(SUMIFS($F:$F,$C:$C,TRIM($C211))-SUMIFS($G:$G,$C:$C,TRIM($C211)))&lt;0.005,"OK","ERROR - veprimi nuk balancohet")))</f>
        <v/>
      </c>
      <c r="K211" s="97" t="str">
        <f aca="false">IF($D211="","",IFERROR(VLOOKUP($D211,PLANI_LLOGARIVE!$A:$J,10,FALSE()),FALSE()))</f>
        <v/>
      </c>
      <c r="L211" s="97" t="str">
        <f aca="false">IF($D211="","",IFERROR(VLOOKUP($D211,PLANI_LLOGARIVE!$A:$G,7,FALSE()),"NUK EKZISTON"))</f>
        <v/>
      </c>
      <c r="M211" s="98" t="str">
        <f aca="false">IF($D211="","",IF(COUNTIF(PLANI_LLOGARIVE!$A:$A,$D211)=0,"ERROR - llogaria nuk ekziston",IF($K211=TRUE(),"OK","ERROR - llogari jo-postuese/Header")))</f>
        <v/>
      </c>
      <c r="N211" s="99" t="str">
        <f aca="false">IF(TRIM($C211)="","",IF(ABS(SUMIFS($F:$F,$C:$C,TRIM($C211))-SUMIFS($G:$G,$C:$C,TRIM($C211)))&lt;0.005,"OK","ERROR - debi/kredi"))</f>
        <v/>
      </c>
      <c r="O211" s="88"/>
      <c r="P211" s="88"/>
      <c r="Q211" s="88"/>
      <c r="R211" s="88"/>
      <c r="S211" s="100" t="str">
        <f aca="false">IF(D211="","",LEFT(D211&amp;"",2))</f>
        <v/>
      </c>
      <c r="T211" s="101" t="str">
        <f aca="false">IF(D211="","",LEFT(D211&amp;"",3))</f>
        <v/>
      </c>
    </row>
    <row r="212" customFormat="false" ht="14.25" hidden="false" customHeight="true" outlineLevel="0" collapsed="false">
      <c r="A212" s="89"/>
      <c r="B212" s="90"/>
      <c r="C212" s="90"/>
      <c r="D212" s="90"/>
      <c r="E212" s="91" t="str">
        <f aca="false">IFERROR(VLOOKUP(D212,PLANI_LLOGARIVE!$A:$B,2,FALSE()),"")</f>
        <v/>
      </c>
      <c r="F212" s="92"/>
      <c r="G212" s="93"/>
      <c r="H212" s="94"/>
      <c r="I212" s="95"/>
      <c r="J212" s="96" t="str">
        <f aca="false">IF(TRIM($C212)="","",IF($M212&lt;&gt;"OK",$M212,IF(ABS(SUMIFS($F:$F,$C:$C,TRIM($C212))-SUMIFS($G:$G,$C:$C,TRIM($C212)))&lt;0.005,"OK","ERROR - veprimi nuk balancohet")))</f>
        <v/>
      </c>
      <c r="K212" s="97" t="str">
        <f aca="false">IF($D212="","",IFERROR(VLOOKUP($D212,PLANI_LLOGARIVE!$A:$J,10,FALSE()),FALSE()))</f>
        <v/>
      </c>
      <c r="L212" s="97" t="str">
        <f aca="false">IF($D212="","",IFERROR(VLOOKUP($D212,PLANI_LLOGARIVE!$A:$G,7,FALSE()),"NUK EKZISTON"))</f>
        <v/>
      </c>
      <c r="M212" s="98" t="str">
        <f aca="false">IF($D212="","",IF(COUNTIF(PLANI_LLOGARIVE!$A:$A,$D212)=0,"ERROR - llogaria nuk ekziston",IF($K212=TRUE(),"OK","ERROR - llogari jo-postuese/Header")))</f>
        <v/>
      </c>
      <c r="N212" s="99" t="str">
        <f aca="false">IF(TRIM($C212)="","",IF(ABS(SUMIFS($F:$F,$C:$C,TRIM($C212))-SUMIFS($G:$G,$C:$C,TRIM($C212)))&lt;0.005,"OK","ERROR - debi/kredi"))</f>
        <v/>
      </c>
      <c r="O212" s="88"/>
      <c r="P212" s="88"/>
      <c r="Q212" s="88"/>
      <c r="R212" s="88"/>
      <c r="S212" s="100" t="str">
        <f aca="false">IF(D212="","",LEFT(D212&amp;"",2))</f>
        <v/>
      </c>
      <c r="T212" s="101" t="str">
        <f aca="false">IF(D212="","",LEFT(D212&amp;"",3))</f>
        <v/>
      </c>
    </row>
    <row r="213" customFormat="false" ht="14.25" hidden="false" customHeight="true" outlineLevel="0" collapsed="false">
      <c r="A213" s="89"/>
      <c r="B213" s="90"/>
      <c r="C213" s="90"/>
      <c r="D213" s="90"/>
      <c r="E213" s="91" t="str">
        <f aca="false">IFERROR(VLOOKUP(D213,PLANI_LLOGARIVE!$A:$B,2,FALSE()),"")</f>
        <v/>
      </c>
      <c r="F213" s="92"/>
      <c r="G213" s="93"/>
      <c r="H213" s="94"/>
      <c r="I213" s="95"/>
      <c r="J213" s="96" t="str">
        <f aca="false">IF(TRIM($C213)="","",IF($M213&lt;&gt;"OK",$M213,IF(ABS(SUMIFS($F:$F,$C:$C,TRIM($C213))-SUMIFS($G:$G,$C:$C,TRIM($C213)))&lt;0.005,"OK","ERROR - veprimi nuk balancohet")))</f>
        <v/>
      </c>
      <c r="K213" s="97" t="str">
        <f aca="false">IF($D213="","",IFERROR(VLOOKUP($D213,PLANI_LLOGARIVE!$A:$J,10,FALSE()),FALSE()))</f>
        <v/>
      </c>
      <c r="L213" s="97" t="str">
        <f aca="false">IF($D213="","",IFERROR(VLOOKUP($D213,PLANI_LLOGARIVE!$A:$G,7,FALSE()),"NUK EKZISTON"))</f>
        <v/>
      </c>
      <c r="M213" s="98" t="str">
        <f aca="false">IF($D213="","",IF(COUNTIF(PLANI_LLOGARIVE!$A:$A,$D213)=0,"ERROR - llogaria nuk ekziston",IF($K213=TRUE(),"OK","ERROR - llogari jo-postuese/Header")))</f>
        <v/>
      </c>
      <c r="N213" s="99" t="str">
        <f aca="false">IF(TRIM($C213)="","",IF(ABS(SUMIFS($F:$F,$C:$C,TRIM($C213))-SUMIFS($G:$G,$C:$C,TRIM($C213)))&lt;0.005,"OK","ERROR - debi/kredi"))</f>
        <v/>
      </c>
      <c r="O213" s="88"/>
      <c r="P213" s="88"/>
      <c r="Q213" s="88"/>
      <c r="R213" s="88"/>
      <c r="S213" s="100" t="str">
        <f aca="false">IF(D213="","",LEFT(D213&amp;"",2))</f>
        <v/>
      </c>
      <c r="T213" s="101" t="str">
        <f aca="false">IF(D213="","",LEFT(D213&amp;"",3))</f>
        <v/>
      </c>
    </row>
    <row r="214" customFormat="false" ht="14.25" hidden="false" customHeight="true" outlineLevel="0" collapsed="false">
      <c r="A214" s="89"/>
      <c r="B214" s="90"/>
      <c r="C214" s="90"/>
      <c r="D214" s="90"/>
      <c r="E214" s="91" t="str">
        <f aca="false">IFERROR(VLOOKUP(D214,PLANI_LLOGARIVE!$A:$B,2,FALSE()),"")</f>
        <v/>
      </c>
      <c r="F214" s="92"/>
      <c r="G214" s="93"/>
      <c r="H214" s="94"/>
      <c r="I214" s="95"/>
      <c r="J214" s="96" t="str">
        <f aca="false">IF(TRIM($C214)="","",IF($M214&lt;&gt;"OK",$M214,IF(ABS(SUMIFS($F:$F,$C:$C,TRIM($C214))-SUMIFS($G:$G,$C:$C,TRIM($C214)))&lt;0.005,"OK","ERROR - veprimi nuk balancohet")))</f>
        <v/>
      </c>
      <c r="K214" s="97" t="str">
        <f aca="false">IF($D214="","",IFERROR(VLOOKUP($D214,PLANI_LLOGARIVE!$A:$J,10,FALSE()),FALSE()))</f>
        <v/>
      </c>
      <c r="L214" s="97" t="str">
        <f aca="false">IF($D214="","",IFERROR(VLOOKUP($D214,PLANI_LLOGARIVE!$A:$G,7,FALSE()),"NUK EKZISTON"))</f>
        <v/>
      </c>
      <c r="M214" s="98" t="str">
        <f aca="false">IF($D214="","",IF(COUNTIF(PLANI_LLOGARIVE!$A:$A,$D214)=0,"ERROR - llogaria nuk ekziston",IF($K214=TRUE(),"OK","ERROR - llogari jo-postuese/Header")))</f>
        <v/>
      </c>
      <c r="N214" s="99" t="str">
        <f aca="false">IF(TRIM($C214)="","",IF(ABS(SUMIFS($F:$F,$C:$C,TRIM($C214))-SUMIFS($G:$G,$C:$C,TRIM($C214)))&lt;0.005,"OK","ERROR - debi/kredi"))</f>
        <v/>
      </c>
      <c r="O214" s="88"/>
      <c r="P214" s="88"/>
      <c r="Q214" s="88"/>
      <c r="R214" s="88"/>
      <c r="S214" s="100" t="str">
        <f aca="false">IF(D214="","",LEFT(D214&amp;"",2))</f>
        <v/>
      </c>
      <c r="T214" s="101" t="str">
        <f aca="false">IF(D214="","",LEFT(D214&amp;"",3))</f>
        <v/>
      </c>
    </row>
    <row r="215" customFormat="false" ht="14.25" hidden="false" customHeight="true" outlineLevel="0" collapsed="false">
      <c r="A215" s="89"/>
      <c r="B215" s="90"/>
      <c r="C215" s="90"/>
      <c r="D215" s="90"/>
      <c r="E215" s="91" t="str">
        <f aca="false">IFERROR(VLOOKUP(D215,PLANI_LLOGARIVE!$A:$B,2,FALSE()),"")</f>
        <v/>
      </c>
      <c r="F215" s="92"/>
      <c r="G215" s="93"/>
      <c r="H215" s="94"/>
      <c r="I215" s="95"/>
      <c r="J215" s="96" t="str">
        <f aca="false">IF(TRIM($C215)="","",IF($M215&lt;&gt;"OK",$M215,IF(ABS(SUMIFS($F:$F,$C:$C,TRIM($C215))-SUMIFS($G:$G,$C:$C,TRIM($C215)))&lt;0.005,"OK","ERROR - veprimi nuk balancohet")))</f>
        <v/>
      </c>
      <c r="K215" s="97" t="str">
        <f aca="false">IF($D215="","",IFERROR(VLOOKUP($D215,PLANI_LLOGARIVE!$A:$J,10,FALSE()),FALSE()))</f>
        <v/>
      </c>
      <c r="L215" s="97" t="str">
        <f aca="false">IF($D215="","",IFERROR(VLOOKUP($D215,PLANI_LLOGARIVE!$A:$G,7,FALSE()),"NUK EKZISTON"))</f>
        <v/>
      </c>
      <c r="M215" s="98" t="str">
        <f aca="false">IF($D215="","",IF(COUNTIF(PLANI_LLOGARIVE!$A:$A,$D215)=0,"ERROR - llogaria nuk ekziston",IF($K215=TRUE(),"OK","ERROR - llogari jo-postuese/Header")))</f>
        <v/>
      </c>
      <c r="N215" s="99" t="str">
        <f aca="false">IF(TRIM($C215)="","",IF(ABS(SUMIFS($F:$F,$C:$C,TRIM($C215))-SUMIFS($G:$G,$C:$C,TRIM($C215)))&lt;0.005,"OK","ERROR - debi/kredi"))</f>
        <v/>
      </c>
      <c r="O215" s="88"/>
      <c r="P215" s="88"/>
      <c r="Q215" s="88"/>
      <c r="R215" s="88"/>
      <c r="S215" s="100" t="str">
        <f aca="false">IF(D215="","",LEFT(D215&amp;"",2))</f>
        <v/>
      </c>
      <c r="T215" s="101" t="str">
        <f aca="false">IF(D215="","",LEFT(D215&amp;"",3))</f>
        <v/>
      </c>
    </row>
    <row r="216" customFormat="false" ht="14.25" hidden="false" customHeight="true" outlineLevel="0" collapsed="false">
      <c r="A216" s="89"/>
      <c r="B216" s="90"/>
      <c r="C216" s="90"/>
      <c r="D216" s="90"/>
      <c r="E216" s="91" t="str">
        <f aca="false">IFERROR(VLOOKUP(D216,PLANI_LLOGARIVE!$A:$B,2,FALSE()),"")</f>
        <v/>
      </c>
      <c r="F216" s="92"/>
      <c r="G216" s="93"/>
      <c r="H216" s="94"/>
      <c r="I216" s="95"/>
      <c r="J216" s="96" t="str">
        <f aca="false">IF(TRIM($C216)="","",IF($M216&lt;&gt;"OK",$M216,IF(ABS(SUMIFS($F:$F,$C:$C,TRIM($C216))-SUMIFS($G:$G,$C:$C,TRIM($C216)))&lt;0.005,"OK","ERROR - veprimi nuk balancohet")))</f>
        <v/>
      </c>
      <c r="K216" s="97" t="str">
        <f aca="false">IF($D216="","",IFERROR(VLOOKUP($D216,PLANI_LLOGARIVE!$A:$J,10,FALSE()),FALSE()))</f>
        <v/>
      </c>
      <c r="L216" s="97" t="str">
        <f aca="false">IF($D216="","",IFERROR(VLOOKUP($D216,PLANI_LLOGARIVE!$A:$G,7,FALSE()),"NUK EKZISTON"))</f>
        <v/>
      </c>
      <c r="M216" s="98" t="str">
        <f aca="false">IF($D216="","",IF(COUNTIF(PLANI_LLOGARIVE!$A:$A,$D216)=0,"ERROR - llogaria nuk ekziston",IF($K216=TRUE(),"OK","ERROR - llogari jo-postuese/Header")))</f>
        <v/>
      </c>
      <c r="N216" s="99" t="str">
        <f aca="false">IF(TRIM($C216)="","",IF(ABS(SUMIFS($F:$F,$C:$C,TRIM($C216))-SUMIFS($G:$G,$C:$C,TRIM($C216)))&lt;0.005,"OK","ERROR - debi/kredi"))</f>
        <v/>
      </c>
      <c r="O216" s="88"/>
      <c r="P216" s="88"/>
      <c r="Q216" s="88"/>
      <c r="R216" s="88"/>
      <c r="S216" s="100" t="str">
        <f aca="false">IF(D216="","",LEFT(D216&amp;"",2))</f>
        <v/>
      </c>
      <c r="T216" s="101" t="str">
        <f aca="false">IF(D216="","",LEFT(D216&amp;"",3))</f>
        <v/>
      </c>
    </row>
    <row r="217" customFormat="false" ht="14.25" hidden="false" customHeight="true" outlineLevel="0" collapsed="false">
      <c r="A217" s="89"/>
      <c r="B217" s="90"/>
      <c r="C217" s="90"/>
      <c r="D217" s="90"/>
      <c r="E217" s="91" t="str">
        <f aca="false">IFERROR(VLOOKUP(D217,PLANI_LLOGARIVE!$A:$B,2,FALSE()),"")</f>
        <v/>
      </c>
      <c r="F217" s="92"/>
      <c r="G217" s="93"/>
      <c r="H217" s="94"/>
      <c r="I217" s="95"/>
      <c r="J217" s="96" t="str">
        <f aca="false">IF(TRIM($C217)="","",IF($M217&lt;&gt;"OK",$M217,IF(ABS(SUMIFS($F:$F,$C:$C,TRIM($C217))-SUMIFS($G:$G,$C:$C,TRIM($C217)))&lt;0.005,"OK","ERROR - veprimi nuk balancohet")))</f>
        <v/>
      </c>
      <c r="K217" s="97" t="str">
        <f aca="false">IF($D217="","",IFERROR(VLOOKUP($D217,PLANI_LLOGARIVE!$A:$J,10,FALSE()),FALSE()))</f>
        <v/>
      </c>
      <c r="L217" s="97" t="str">
        <f aca="false">IF($D217="","",IFERROR(VLOOKUP($D217,PLANI_LLOGARIVE!$A:$G,7,FALSE()),"NUK EKZISTON"))</f>
        <v/>
      </c>
      <c r="M217" s="98" t="str">
        <f aca="false">IF($D217="","",IF(COUNTIF(PLANI_LLOGARIVE!$A:$A,$D217)=0,"ERROR - llogaria nuk ekziston",IF($K217=TRUE(),"OK","ERROR - llogari jo-postuese/Header")))</f>
        <v/>
      </c>
      <c r="N217" s="99" t="str">
        <f aca="false">IF(TRIM($C217)="","",IF(ABS(SUMIFS($F:$F,$C:$C,TRIM($C217))-SUMIFS($G:$G,$C:$C,TRIM($C217)))&lt;0.005,"OK","ERROR - debi/kredi"))</f>
        <v/>
      </c>
      <c r="O217" s="88"/>
      <c r="P217" s="88"/>
      <c r="Q217" s="88"/>
      <c r="R217" s="88"/>
      <c r="S217" s="100" t="str">
        <f aca="false">IF(D217="","",LEFT(D217&amp;"",2))</f>
        <v/>
      </c>
      <c r="T217" s="101" t="str">
        <f aca="false">IF(D217="","",LEFT(D217&amp;"",3))</f>
        <v/>
      </c>
    </row>
    <row r="218" customFormat="false" ht="14.25" hidden="false" customHeight="true" outlineLevel="0" collapsed="false">
      <c r="A218" s="89"/>
      <c r="B218" s="90"/>
      <c r="C218" s="90"/>
      <c r="D218" s="90"/>
      <c r="E218" s="91" t="str">
        <f aca="false">IFERROR(VLOOKUP(D218,PLANI_LLOGARIVE!$A:$B,2,FALSE()),"")</f>
        <v/>
      </c>
      <c r="F218" s="92"/>
      <c r="G218" s="93"/>
      <c r="H218" s="94"/>
      <c r="I218" s="95"/>
      <c r="J218" s="96" t="str">
        <f aca="false">IF(TRIM($C218)="","",IF($M218&lt;&gt;"OK",$M218,IF(ABS(SUMIFS($F:$F,$C:$C,TRIM($C218))-SUMIFS($G:$G,$C:$C,TRIM($C218)))&lt;0.005,"OK","ERROR - veprimi nuk balancohet")))</f>
        <v/>
      </c>
      <c r="K218" s="97" t="str">
        <f aca="false">IF($D218="","",IFERROR(VLOOKUP($D218,PLANI_LLOGARIVE!$A:$J,10,FALSE()),FALSE()))</f>
        <v/>
      </c>
      <c r="L218" s="97" t="str">
        <f aca="false">IF($D218="","",IFERROR(VLOOKUP($D218,PLANI_LLOGARIVE!$A:$G,7,FALSE()),"NUK EKZISTON"))</f>
        <v/>
      </c>
      <c r="M218" s="98" t="str">
        <f aca="false">IF($D218="","",IF(COUNTIF(PLANI_LLOGARIVE!$A:$A,$D218)=0,"ERROR - llogaria nuk ekziston",IF($K218=TRUE(),"OK","ERROR - llogari jo-postuese/Header")))</f>
        <v/>
      </c>
      <c r="N218" s="99" t="str">
        <f aca="false">IF(TRIM($C218)="","",IF(ABS(SUMIFS($F:$F,$C:$C,TRIM($C218))-SUMIFS($G:$G,$C:$C,TRIM($C218)))&lt;0.005,"OK","ERROR - debi/kredi"))</f>
        <v/>
      </c>
      <c r="O218" s="88"/>
      <c r="P218" s="88"/>
      <c r="Q218" s="88"/>
      <c r="R218" s="88"/>
      <c r="S218" s="100" t="str">
        <f aca="false">IF(D218="","",LEFT(D218&amp;"",2))</f>
        <v/>
      </c>
      <c r="T218" s="101" t="str">
        <f aca="false">IF(D218="","",LEFT(D218&amp;"",3))</f>
        <v/>
      </c>
    </row>
    <row r="219" customFormat="false" ht="14.25" hidden="false" customHeight="true" outlineLevel="0" collapsed="false">
      <c r="A219" s="89"/>
      <c r="B219" s="90"/>
      <c r="C219" s="90"/>
      <c r="D219" s="90"/>
      <c r="E219" s="91" t="str">
        <f aca="false">IFERROR(VLOOKUP(D219,PLANI_LLOGARIVE!$A:$B,2,FALSE()),"")</f>
        <v/>
      </c>
      <c r="F219" s="92"/>
      <c r="G219" s="93"/>
      <c r="H219" s="94"/>
      <c r="I219" s="95"/>
      <c r="J219" s="96" t="str">
        <f aca="false">IF(TRIM($C219)="","",IF($M219&lt;&gt;"OK",$M219,IF(ABS(SUMIFS($F:$F,$C:$C,TRIM($C219))-SUMIFS($G:$G,$C:$C,TRIM($C219)))&lt;0.005,"OK","ERROR - veprimi nuk balancohet")))</f>
        <v/>
      </c>
      <c r="K219" s="97" t="str">
        <f aca="false">IF($D219="","",IFERROR(VLOOKUP($D219,PLANI_LLOGARIVE!$A:$J,10,FALSE()),FALSE()))</f>
        <v/>
      </c>
      <c r="L219" s="97" t="str">
        <f aca="false">IF($D219="","",IFERROR(VLOOKUP($D219,PLANI_LLOGARIVE!$A:$G,7,FALSE()),"NUK EKZISTON"))</f>
        <v/>
      </c>
      <c r="M219" s="98" t="str">
        <f aca="false">IF($D219="","",IF(COUNTIF(PLANI_LLOGARIVE!$A:$A,$D219)=0,"ERROR - llogaria nuk ekziston",IF($K219=TRUE(),"OK","ERROR - llogari jo-postuese/Header")))</f>
        <v/>
      </c>
      <c r="N219" s="99" t="str">
        <f aca="false">IF(TRIM($C219)="","",IF(ABS(SUMIFS($F:$F,$C:$C,TRIM($C219))-SUMIFS($G:$G,$C:$C,TRIM($C219)))&lt;0.005,"OK","ERROR - debi/kredi"))</f>
        <v/>
      </c>
      <c r="O219" s="88"/>
      <c r="P219" s="88"/>
      <c r="Q219" s="88"/>
      <c r="R219" s="88"/>
      <c r="S219" s="100" t="str">
        <f aca="false">IF(D219="","",LEFT(D219&amp;"",2))</f>
        <v/>
      </c>
      <c r="T219" s="101" t="str">
        <f aca="false">IF(D219="","",LEFT(D219&amp;"",3))</f>
        <v/>
      </c>
    </row>
    <row r="220" customFormat="false" ht="14.25" hidden="false" customHeight="true" outlineLevel="0" collapsed="false">
      <c r="A220" s="89"/>
      <c r="B220" s="90"/>
      <c r="C220" s="90"/>
      <c r="D220" s="90"/>
      <c r="E220" s="91" t="str">
        <f aca="false">IFERROR(VLOOKUP(D220,PLANI_LLOGARIVE!$A:$B,2,FALSE()),"")</f>
        <v/>
      </c>
      <c r="F220" s="92"/>
      <c r="G220" s="93"/>
      <c r="H220" s="94"/>
      <c r="I220" s="95"/>
      <c r="J220" s="96" t="str">
        <f aca="false">IF(TRIM($C220)="","",IF($M220&lt;&gt;"OK",$M220,IF(ABS(SUMIFS($F:$F,$C:$C,TRIM($C220))-SUMIFS($G:$G,$C:$C,TRIM($C220)))&lt;0.005,"OK","ERROR - veprimi nuk balancohet")))</f>
        <v/>
      </c>
      <c r="K220" s="97" t="str">
        <f aca="false">IF($D220="","",IFERROR(VLOOKUP($D220,PLANI_LLOGARIVE!$A:$J,10,FALSE()),FALSE()))</f>
        <v/>
      </c>
      <c r="L220" s="97" t="str">
        <f aca="false">IF($D220="","",IFERROR(VLOOKUP($D220,PLANI_LLOGARIVE!$A:$G,7,FALSE()),"NUK EKZISTON"))</f>
        <v/>
      </c>
      <c r="M220" s="98" t="str">
        <f aca="false">IF($D220="","",IF(COUNTIF(PLANI_LLOGARIVE!$A:$A,$D220)=0,"ERROR - llogaria nuk ekziston",IF($K220=TRUE(),"OK","ERROR - llogari jo-postuese/Header")))</f>
        <v/>
      </c>
      <c r="N220" s="99" t="str">
        <f aca="false">IF(TRIM($C220)="","",IF(ABS(SUMIFS($F:$F,$C:$C,TRIM($C220))-SUMIFS($G:$G,$C:$C,TRIM($C220)))&lt;0.005,"OK","ERROR - debi/kredi"))</f>
        <v/>
      </c>
      <c r="O220" s="88"/>
      <c r="P220" s="88"/>
      <c r="Q220" s="88"/>
      <c r="R220" s="88"/>
      <c r="S220" s="100" t="str">
        <f aca="false">IF(D220="","",LEFT(D220&amp;"",2))</f>
        <v/>
      </c>
      <c r="T220" s="101" t="str">
        <f aca="false">IF(D220="","",LEFT(D220&amp;"",3))</f>
        <v/>
      </c>
    </row>
    <row r="221" customFormat="false" ht="14.25" hidden="false" customHeight="true" outlineLevel="0" collapsed="false">
      <c r="A221" s="89"/>
      <c r="B221" s="90"/>
      <c r="C221" s="90"/>
      <c r="D221" s="90"/>
      <c r="E221" s="91" t="str">
        <f aca="false">IFERROR(VLOOKUP(D221,PLANI_LLOGARIVE!$A:$B,2,FALSE()),"")</f>
        <v/>
      </c>
      <c r="F221" s="92"/>
      <c r="G221" s="93"/>
      <c r="H221" s="94"/>
      <c r="I221" s="95"/>
      <c r="J221" s="96" t="str">
        <f aca="false">IF(TRIM($C221)="","",IF($M221&lt;&gt;"OK",$M221,IF(ABS(SUMIFS($F:$F,$C:$C,TRIM($C221))-SUMIFS($G:$G,$C:$C,TRIM($C221)))&lt;0.005,"OK","ERROR - veprimi nuk balancohet")))</f>
        <v/>
      </c>
      <c r="K221" s="97" t="str">
        <f aca="false">IF($D221="","",IFERROR(VLOOKUP($D221,PLANI_LLOGARIVE!$A:$J,10,FALSE()),FALSE()))</f>
        <v/>
      </c>
      <c r="L221" s="97" t="str">
        <f aca="false">IF($D221="","",IFERROR(VLOOKUP($D221,PLANI_LLOGARIVE!$A:$G,7,FALSE()),"NUK EKZISTON"))</f>
        <v/>
      </c>
      <c r="M221" s="98" t="str">
        <f aca="false">IF($D221="","",IF(COUNTIF(PLANI_LLOGARIVE!$A:$A,$D221)=0,"ERROR - llogaria nuk ekziston",IF($K221=TRUE(),"OK","ERROR - llogari jo-postuese/Header")))</f>
        <v/>
      </c>
      <c r="N221" s="99" t="str">
        <f aca="false">IF(TRIM($C221)="","",IF(ABS(SUMIFS($F:$F,$C:$C,TRIM($C221))-SUMIFS($G:$G,$C:$C,TRIM($C221)))&lt;0.005,"OK","ERROR - debi/kredi"))</f>
        <v/>
      </c>
      <c r="O221" s="88"/>
      <c r="P221" s="88"/>
      <c r="Q221" s="88"/>
      <c r="R221" s="88"/>
      <c r="S221" s="100" t="str">
        <f aca="false">IF(D221="","",LEFT(D221&amp;"",2))</f>
        <v/>
      </c>
      <c r="T221" s="101" t="str">
        <f aca="false">IF(D221="","",LEFT(D221&amp;"",3))</f>
        <v/>
      </c>
    </row>
    <row r="222" customFormat="false" ht="14.25" hidden="false" customHeight="true" outlineLevel="0" collapsed="false">
      <c r="A222" s="89"/>
      <c r="B222" s="90"/>
      <c r="C222" s="90"/>
      <c r="D222" s="90"/>
      <c r="E222" s="91" t="str">
        <f aca="false">IFERROR(VLOOKUP(D222,PLANI_LLOGARIVE!$A:$B,2,FALSE()),"")</f>
        <v/>
      </c>
      <c r="F222" s="92"/>
      <c r="G222" s="93"/>
      <c r="H222" s="94"/>
      <c r="I222" s="95"/>
      <c r="J222" s="96" t="str">
        <f aca="false">IF(TRIM($C222)="","",IF($M222&lt;&gt;"OK",$M222,IF(ABS(SUMIFS($F:$F,$C:$C,TRIM($C222))-SUMIFS($G:$G,$C:$C,TRIM($C222)))&lt;0.005,"OK","ERROR - veprimi nuk balancohet")))</f>
        <v/>
      </c>
      <c r="K222" s="97" t="str">
        <f aca="false">IF($D222="","",IFERROR(VLOOKUP($D222,PLANI_LLOGARIVE!$A:$J,10,FALSE()),FALSE()))</f>
        <v/>
      </c>
      <c r="L222" s="97" t="str">
        <f aca="false">IF($D222="","",IFERROR(VLOOKUP($D222,PLANI_LLOGARIVE!$A:$G,7,FALSE()),"NUK EKZISTON"))</f>
        <v/>
      </c>
      <c r="M222" s="98" t="str">
        <f aca="false">IF($D222="","",IF(COUNTIF(PLANI_LLOGARIVE!$A:$A,$D222)=0,"ERROR - llogaria nuk ekziston",IF($K222=TRUE(),"OK","ERROR - llogari jo-postuese/Header")))</f>
        <v/>
      </c>
      <c r="N222" s="99" t="str">
        <f aca="false">IF(TRIM($C222)="","",IF(ABS(SUMIFS($F:$F,$C:$C,TRIM($C222))-SUMIFS($G:$G,$C:$C,TRIM($C222)))&lt;0.005,"OK","ERROR - debi/kredi"))</f>
        <v/>
      </c>
      <c r="O222" s="88"/>
      <c r="P222" s="88"/>
      <c r="Q222" s="88"/>
      <c r="R222" s="88"/>
      <c r="S222" s="100" t="str">
        <f aca="false">IF(D222="","",LEFT(D222&amp;"",2))</f>
        <v/>
      </c>
      <c r="T222" s="101" t="str">
        <f aca="false">IF(D222="","",LEFT(D222&amp;"",3))</f>
        <v/>
      </c>
    </row>
    <row r="223" customFormat="false" ht="14.25" hidden="false" customHeight="true" outlineLevel="0" collapsed="false">
      <c r="A223" s="89"/>
      <c r="B223" s="90"/>
      <c r="C223" s="90"/>
      <c r="D223" s="90"/>
      <c r="E223" s="91" t="str">
        <f aca="false">IFERROR(VLOOKUP(D223,PLANI_LLOGARIVE!$A:$B,2,FALSE()),"")</f>
        <v/>
      </c>
      <c r="F223" s="92"/>
      <c r="G223" s="93"/>
      <c r="H223" s="94"/>
      <c r="I223" s="95"/>
      <c r="J223" s="96" t="str">
        <f aca="false">IF(TRIM($C223)="","",IF($M223&lt;&gt;"OK",$M223,IF(ABS(SUMIFS($F:$F,$C:$C,TRIM($C223))-SUMIFS($G:$G,$C:$C,TRIM($C223)))&lt;0.005,"OK","ERROR - veprimi nuk balancohet")))</f>
        <v/>
      </c>
      <c r="K223" s="97" t="str">
        <f aca="false">IF($D223="","",IFERROR(VLOOKUP($D223,PLANI_LLOGARIVE!$A:$J,10,FALSE()),FALSE()))</f>
        <v/>
      </c>
      <c r="L223" s="97" t="str">
        <f aca="false">IF($D223="","",IFERROR(VLOOKUP($D223,PLANI_LLOGARIVE!$A:$G,7,FALSE()),"NUK EKZISTON"))</f>
        <v/>
      </c>
      <c r="M223" s="98" t="str">
        <f aca="false">IF($D223="","",IF(COUNTIF(PLANI_LLOGARIVE!$A:$A,$D223)=0,"ERROR - llogaria nuk ekziston",IF($K223=TRUE(),"OK","ERROR - llogari jo-postuese/Header")))</f>
        <v/>
      </c>
      <c r="N223" s="99" t="str">
        <f aca="false">IF(TRIM($C223)="","",IF(ABS(SUMIFS($F:$F,$C:$C,TRIM($C223))-SUMIFS($G:$G,$C:$C,TRIM($C223)))&lt;0.005,"OK","ERROR - debi/kredi"))</f>
        <v/>
      </c>
      <c r="O223" s="88"/>
      <c r="P223" s="88"/>
      <c r="Q223" s="88"/>
      <c r="R223" s="88"/>
      <c r="S223" s="100" t="str">
        <f aca="false">IF(D223="","",LEFT(D223&amp;"",2))</f>
        <v/>
      </c>
      <c r="T223" s="101" t="str">
        <f aca="false">IF(D223="","",LEFT(D223&amp;"",3))</f>
        <v/>
      </c>
    </row>
    <row r="224" customFormat="false" ht="14.25" hidden="false" customHeight="true" outlineLevel="0" collapsed="false">
      <c r="A224" s="89"/>
      <c r="B224" s="90"/>
      <c r="C224" s="90"/>
      <c r="D224" s="90"/>
      <c r="E224" s="91" t="str">
        <f aca="false">IFERROR(VLOOKUP(D224,PLANI_LLOGARIVE!$A:$B,2,FALSE()),"")</f>
        <v/>
      </c>
      <c r="F224" s="92"/>
      <c r="G224" s="93"/>
      <c r="H224" s="94"/>
      <c r="I224" s="95"/>
      <c r="J224" s="96" t="str">
        <f aca="false">IF(TRIM($C224)="","",IF($M224&lt;&gt;"OK",$M224,IF(ABS(SUMIFS($F:$F,$C:$C,TRIM($C224))-SUMIFS($G:$G,$C:$C,TRIM($C224)))&lt;0.005,"OK","ERROR - veprimi nuk balancohet")))</f>
        <v/>
      </c>
      <c r="K224" s="97" t="str">
        <f aca="false">IF($D224="","",IFERROR(VLOOKUP($D224,PLANI_LLOGARIVE!$A:$J,10,FALSE()),FALSE()))</f>
        <v/>
      </c>
      <c r="L224" s="97" t="str">
        <f aca="false">IF($D224="","",IFERROR(VLOOKUP($D224,PLANI_LLOGARIVE!$A:$G,7,FALSE()),"NUK EKZISTON"))</f>
        <v/>
      </c>
      <c r="M224" s="98" t="str">
        <f aca="false">IF($D224="","",IF(COUNTIF(PLANI_LLOGARIVE!$A:$A,$D224)=0,"ERROR - llogaria nuk ekziston",IF($K224=TRUE(),"OK","ERROR - llogari jo-postuese/Header")))</f>
        <v/>
      </c>
      <c r="N224" s="99" t="str">
        <f aca="false">IF(TRIM($C224)="","",IF(ABS(SUMIFS($F:$F,$C:$C,TRIM($C224))-SUMIFS($G:$G,$C:$C,TRIM($C224)))&lt;0.005,"OK","ERROR - debi/kredi"))</f>
        <v/>
      </c>
      <c r="O224" s="88"/>
      <c r="P224" s="88"/>
      <c r="Q224" s="88"/>
      <c r="R224" s="88"/>
      <c r="S224" s="100" t="str">
        <f aca="false">IF(D224="","",LEFT(D224&amp;"",2))</f>
        <v/>
      </c>
      <c r="T224" s="101" t="str">
        <f aca="false">IF(D224="","",LEFT(D224&amp;"",3))</f>
        <v/>
      </c>
    </row>
    <row r="225" customFormat="false" ht="14.25" hidden="false" customHeight="true" outlineLevel="0" collapsed="false">
      <c r="A225" s="89"/>
      <c r="B225" s="90"/>
      <c r="C225" s="90"/>
      <c r="D225" s="90"/>
      <c r="E225" s="91" t="str">
        <f aca="false">IFERROR(VLOOKUP(D225,PLANI_LLOGARIVE!$A:$B,2,FALSE()),"")</f>
        <v/>
      </c>
      <c r="F225" s="92"/>
      <c r="G225" s="93"/>
      <c r="H225" s="94"/>
      <c r="I225" s="95"/>
      <c r="J225" s="96" t="str">
        <f aca="false">IF(TRIM($C225)="","",IF($M225&lt;&gt;"OK",$M225,IF(ABS(SUMIFS($F:$F,$C:$C,TRIM($C225))-SUMIFS($G:$G,$C:$C,TRIM($C225)))&lt;0.005,"OK","ERROR - veprimi nuk balancohet")))</f>
        <v/>
      </c>
      <c r="K225" s="97" t="str">
        <f aca="false">IF($D225="","",IFERROR(VLOOKUP($D225,PLANI_LLOGARIVE!$A:$J,10,FALSE()),FALSE()))</f>
        <v/>
      </c>
      <c r="L225" s="97" t="str">
        <f aca="false">IF($D225="","",IFERROR(VLOOKUP($D225,PLANI_LLOGARIVE!$A:$G,7,FALSE()),"NUK EKZISTON"))</f>
        <v/>
      </c>
      <c r="M225" s="98" t="str">
        <f aca="false">IF($D225="","",IF(COUNTIF(PLANI_LLOGARIVE!$A:$A,$D225)=0,"ERROR - llogaria nuk ekziston",IF($K225=TRUE(),"OK","ERROR - llogari jo-postuese/Header")))</f>
        <v/>
      </c>
      <c r="N225" s="99" t="str">
        <f aca="false">IF(TRIM($C225)="","",IF(ABS(SUMIFS($F:$F,$C:$C,TRIM($C225))-SUMIFS($G:$G,$C:$C,TRIM($C225)))&lt;0.005,"OK","ERROR - debi/kredi"))</f>
        <v/>
      </c>
      <c r="O225" s="88"/>
      <c r="P225" s="88"/>
      <c r="Q225" s="88"/>
      <c r="R225" s="88"/>
      <c r="S225" s="100" t="str">
        <f aca="false">IF(D225="","",LEFT(D225&amp;"",2))</f>
        <v/>
      </c>
      <c r="T225" s="101" t="str">
        <f aca="false">IF(D225="","",LEFT(D225&amp;"",3))</f>
        <v/>
      </c>
    </row>
    <row r="226" customFormat="false" ht="14.25" hidden="false" customHeight="true" outlineLevel="0" collapsed="false">
      <c r="A226" s="89"/>
      <c r="B226" s="90"/>
      <c r="C226" s="90"/>
      <c r="D226" s="90"/>
      <c r="E226" s="91" t="str">
        <f aca="false">IFERROR(VLOOKUP(D226,PLANI_LLOGARIVE!$A:$B,2,FALSE()),"")</f>
        <v/>
      </c>
      <c r="F226" s="92"/>
      <c r="G226" s="93"/>
      <c r="H226" s="94"/>
      <c r="I226" s="95"/>
      <c r="J226" s="96" t="str">
        <f aca="false">IF(TRIM($C226)="","",IF($M226&lt;&gt;"OK",$M226,IF(ABS(SUMIFS($F:$F,$C:$C,TRIM($C226))-SUMIFS($G:$G,$C:$C,TRIM($C226)))&lt;0.005,"OK","ERROR - veprimi nuk balancohet")))</f>
        <v/>
      </c>
      <c r="K226" s="97" t="str">
        <f aca="false">IF($D226="","",IFERROR(VLOOKUP($D226,PLANI_LLOGARIVE!$A:$J,10,FALSE()),FALSE()))</f>
        <v/>
      </c>
      <c r="L226" s="97" t="str">
        <f aca="false">IF($D226="","",IFERROR(VLOOKUP($D226,PLANI_LLOGARIVE!$A:$G,7,FALSE()),"NUK EKZISTON"))</f>
        <v/>
      </c>
      <c r="M226" s="98" t="str">
        <f aca="false">IF($D226="","",IF(COUNTIF(PLANI_LLOGARIVE!$A:$A,$D226)=0,"ERROR - llogaria nuk ekziston",IF($K226=TRUE(),"OK","ERROR - llogari jo-postuese/Header")))</f>
        <v/>
      </c>
      <c r="N226" s="99" t="str">
        <f aca="false">IF(TRIM($C226)="","",IF(ABS(SUMIFS($F:$F,$C:$C,TRIM($C226))-SUMIFS($G:$G,$C:$C,TRIM($C226)))&lt;0.005,"OK","ERROR - debi/kredi"))</f>
        <v/>
      </c>
      <c r="O226" s="88"/>
      <c r="P226" s="88"/>
      <c r="Q226" s="88"/>
      <c r="R226" s="88"/>
      <c r="S226" s="100" t="str">
        <f aca="false">IF(D226="","",LEFT(D226&amp;"",2))</f>
        <v/>
      </c>
      <c r="T226" s="101" t="str">
        <f aca="false">IF(D226="","",LEFT(D226&amp;"",3))</f>
        <v/>
      </c>
    </row>
    <row r="227" customFormat="false" ht="14.25" hidden="false" customHeight="true" outlineLevel="0" collapsed="false">
      <c r="A227" s="89"/>
      <c r="B227" s="90"/>
      <c r="C227" s="90"/>
      <c r="D227" s="90"/>
      <c r="E227" s="91" t="str">
        <f aca="false">IFERROR(VLOOKUP(D227,PLANI_LLOGARIVE!$A:$B,2,FALSE()),"")</f>
        <v/>
      </c>
      <c r="F227" s="92"/>
      <c r="G227" s="93"/>
      <c r="H227" s="94"/>
      <c r="I227" s="95"/>
      <c r="J227" s="96" t="str">
        <f aca="false">IF(TRIM($C227)="","",IF($M227&lt;&gt;"OK",$M227,IF(ABS(SUMIFS($F:$F,$C:$C,TRIM($C227))-SUMIFS($G:$G,$C:$C,TRIM($C227)))&lt;0.005,"OK","ERROR - veprimi nuk balancohet")))</f>
        <v/>
      </c>
      <c r="K227" s="97" t="str">
        <f aca="false">IF($D227="","",IFERROR(VLOOKUP($D227,PLANI_LLOGARIVE!$A:$J,10,FALSE()),FALSE()))</f>
        <v/>
      </c>
      <c r="L227" s="97" t="str">
        <f aca="false">IF($D227="","",IFERROR(VLOOKUP($D227,PLANI_LLOGARIVE!$A:$G,7,FALSE()),"NUK EKZISTON"))</f>
        <v/>
      </c>
      <c r="M227" s="98" t="str">
        <f aca="false">IF($D227="","",IF(COUNTIF(PLANI_LLOGARIVE!$A:$A,$D227)=0,"ERROR - llogaria nuk ekziston",IF($K227=TRUE(),"OK","ERROR - llogari jo-postuese/Header")))</f>
        <v/>
      </c>
      <c r="N227" s="99" t="str">
        <f aca="false">IF(TRIM($C227)="","",IF(ABS(SUMIFS($F:$F,$C:$C,TRIM($C227))-SUMIFS($G:$G,$C:$C,TRIM($C227)))&lt;0.005,"OK","ERROR - debi/kredi"))</f>
        <v/>
      </c>
      <c r="O227" s="88"/>
      <c r="P227" s="88"/>
      <c r="Q227" s="88"/>
      <c r="R227" s="88"/>
      <c r="S227" s="100" t="str">
        <f aca="false">IF(D227="","",LEFT(D227&amp;"",2))</f>
        <v/>
      </c>
      <c r="T227" s="101" t="str">
        <f aca="false">IF(D227="","",LEFT(D227&amp;"",3))</f>
        <v/>
      </c>
    </row>
    <row r="228" customFormat="false" ht="14.25" hidden="false" customHeight="true" outlineLevel="0" collapsed="false">
      <c r="A228" s="89"/>
      <c r="B228" s="90"/>
      <c r="C228" s="90"/>
      <c r="D228" s="90"/>
      <c r="E228" s="91" t="str">
        <f aca="false">IFERROR(VLOOKUP(D228,PLANI_LLOGARIVE!$A:$B,2,FALSE()),"")</f>
        <v/>
      </c>
      <c r="F228" s="92"/>
      <c r="G228" s="93"/>
      <c r="H228" s="94"/>
      <c r="I228" s="95"/>
      <c r="J228" s="96" t="str">
        <f aca="false">IF(TRIM($C228)="","",IF($M228&lt;&gt;"OK",$M228,IF(ABS(SUMIFS($F:$F,$C:$C,TRIM($C228))-SUMIFS($G:$G,$C:$C,TRIM($C228)))&lt;0.005,"OK","ERROR - veprimi nuk balancohet")))</f>
        <v/>
      </c>
      <c r="K228" s="97" t="str">
        <f aca="false">IF($D228="","",IFERROR(VLOOKUP($D228,PLANI_LLOGARIVE!$A:$J,10,FALSE()),FALSE()))</f>
        <v/>
      </c>
      <c r="L228" s="97" t="str">
        <f aca="false">IF($D228="","",IFERROR(VLOOKUP($D228,PLANI_LLOGARIVE!$A:$G,7,FALSE()),"NUK EKZISTON"))</f>
        <v/>
      </c>
      <c r="M228" s="98" t="str">
        <f aca="false">IF($D228="","",IF(COUNTIF(PLANI_LLOGARIVE!$A:$A,$D228)=0,"ERROR - llogaria nuk ekziston",IF($K228=TRUE(),"OK","ERROR - llogari jo-postuese/Header")))</f>
        <v/>
      </c>
      <c r="N228" s="99" t="str">
        <f aca="false">IF(TRIM($C228)="","",IF(ABS(SUMIFS($F:$F,$C:$C,TRIM($C228))-SUMIFS($G:$G,$C:$C,TRIM($C228)))&lt;0.005,"OK","ERROR - debi/kredi"))</f>
        <v/>
      </c>
      <c r="O228" s="88"/>
      <c r="P228" s="88"/>
      <c r="Q228" s="88"/>
      <c r="R228" s="88"/>
      <c r="S228" s="100" t="str">
        <f aca="false">IF(D228="","",LEFT(D228&amp;"",2))</f>
        <v/>
      </c>
      <c r="T228" s="101" t="str">
        <f aca="false">IF(D228="","",LEFT(D228&amp;"",3))</f>
        <v/>
      </c>
    </row>
    <row r="229" customFormat="false" ht="14.25" hidden="false" customHeight="true" outlineLevel="0" collapsed="false">
      <c r="A229" s="89"/>
      <c r="B229" s="90"/>
      <c r="C229" s="90"/>
      <c r="D229" s="90"/>
      <c r="E229" s="91" t="str">
        <f aca="false">IFERROR(VLOOKUP(D229,PLANI_LLOGARIVE!$A:$B,2,FALSE()),"")</f>
        <v/>
      </c>
      <c r="F229" s="92"/>
      <c r="G229" s="93"/>
      <c r="H229" s="94"/>
      <c r="I229" s="95"/>
      <c r="J229" s="96" t="str">
        <f aca="false">IF(TRIM($C229)="","",IF($M229&lt;&gt;"OK",$M229,IF(ABS(SUMIFS($F:$F,$C:$C,TRIM($C229))-SUMIFS($G:$G,$C:$C,TRIM($C229)))&lt;0.005,"OK","ERROR - veprimi nuk balancohet")))</f>
        <v/>
      </c>
      <c r="K229" s="97" t="str">
        <f aca="false">IF($D229="","",IFERROR(VLOOKUP($D229,PLANI_LLOGARIVE!$A:$J,10,FALSE()),FALSE()))</f>
        <v/>
      </c>
      <c r="L229" s="97" t="str">
        <f aca="false">IF($D229="","",IFERROR(VLOOKUP($D229,PLANI_LLOGARIVE!$A:$G,7,FALSE()),"NUK EKZISTON"))</f>
        <v/>
      </c>
      <c r="M229" s="98" t="str">
        <f aca="false">IF($D229="","",IF(COUNTIF(PLANI_LLOGARIVE!$A:$A,$D229)=0,"ERROR - llogaria nuk ekziston",IF($K229=TRUE(),"OK","ERROR - llogari jo-postuese/Header")))</f>
        <v/>
      </c>
      <c r="N229" s="99" t="str">
        <f aca="false">IF(TRIM($C229)="","",IF(ABS(SUMIFS($F:$F,$C:$C,TRIM($C229))-SUMIFS($G:$G,$C:$C,TRIM($C229)))&lt;0.005,"OK","ERROR - debi/kredi"))</f>
        <v/>
      </c>
      <c r="O229" s="88"/>
      <c r="P229" s="88"/>
      <c r="Q229" s="88"/>
      <c r="R229" s="88"/>
      <c r="S229" s="100" t="str">
        <f aca="false">IF(D229="","",LEFT(D229&amp;"",2))</f>
        <v/>
      </c>
      <c r="T229" s="101" t="str">
        <f aca="false">IF(D229="","",LEFT(D229&amp;"",3))</f>
        <v/>
      </c>
    </row>
    <row r="230" customFormat="false" ht="14.25" hidden="false" customHeight="true" outlineLevel="0" collapsed="false">
      <c r="A230" s="89"/>
      <c r="B230" s="90"/>
      <c r="C230" s="90"/>
      <c r="D230" s="90"/>
      <c r="E230" s="91" t="str">
        <f aca="false">IFERROR(VLOOKUP(D230,PLANI_LLOGARIVE!$A:$B,2,FALSE()),"")</f>
        <v/>
      </c>
      <c r="F230" s="92"/>
      <c r="G230" s="93"/>
      <c r="H230" s="94"/>
      <c r="I230" s="95"/>
      <c r="J230" s="96" t="str">
        <f aca="false">IF(TRIM($C230)="","",IF($M230&lt;&gt;"OK",$M230,IF(ABS(SUMIFS($F:$F,$C:$C,TRIM($C230))-SUMIFS($G:$G,$C:$C,TRIM($C230)))&lt;0.005,"OK","ERROR - veprimi nuk balancohet")))</f>
        <v/>
      </c>
      <c r="K230" s="97" t="str">
        <f aca="false">IF($D230="","",IFERROR(VLOOKUP($D230,PLANI_LLOGARIVE!$A:$J,10,FALSE()),FALSE()))</f>
        <v/>
      </c>
      <c r="L230" s="97" t="str">
        <f aca="false">IF($D230="","",IFERROR(VLOOKUP($D230,PLANI_LLOGARIVE!$A:$G,7,FALSE()),"NUK EKZISTON"))</f>
        <v/>
      </c>
      <c r="M230" s="98" t="str">
        <f aca="false">IF($D230="","",IF(COUNTIF(PLANI_LLOGARIVE!$A:$A,$D230)=0,"ERROR - llogaria nuk ekziston",IF($K230=TRUE(),"OK","ERROR - llogari jo-postuese/Header")))</f>
        <v/>
      </c>
      <c r="N230" s="99" t="str">
        <f aca="false">IF(TRIM($C230)="","",IF(ABS(SUMIFS($F:$F,$C:$C,TRIM($C230))-SUMIFS($G:$G,$C:$C,TRIM($C230)))&lt;0.005,"OK","ERROR - debi/kredi"))</f>
        <v/>
      </c>
      <c r="O230" s="88"/>
      <c r="P230" s="88"/>
      <c r="Q230" s="88"/>
      <c r="R230" s="88"/>
      <c r="S230" s="100" t="str">
        <f aca="false">IF(D230="","",LEFT(D230&amp;"",2))</f>
        <v/>
      </c>
      <c r="T230" s="101" t="str">
        <f aca="false">IF(D230="","",LEFT(D230&amp;"",3))</f>
        <v/>
      </c>
    </row>
    <row r="231" customFormat="false" ht="14.25" hidden="false" customHeight="true" outlineLevel="0" collapsed="false">
      <c r="A231" s="89"/>
      <c r="B231" s="90"/>
      <c r="C231" s="90"/>
      <c r="D231" s="90"/>
      <c r="E231" s="91" t="str">
        <f aca="false">IFERROR(VLOOKUP(D231,PLANI_LLOGARIVE!$A:$B,2,FALSE()),"")</f>
        <v/>
      </c>
      <c r="F231" s="92"/>
      <c r="G231" s="93"/>
      <c r="H231" s="94"/>
      <c r="I231" s="95"/>
      <c r="J231" s="96" t="str">
        <f aca="false">IF(TRIM($C231)="","",IF($M231&lt;&gt;"OK",$M231,IF(ABS(SUMIFS($F:$F,$C:$C,TRIM($C231))-SUMIFS($G:$G,$C:$C,TRIM($C231)))&lt;0.005,"OK","ERROR - veprimi nuk balancohet")))</f>
        <v/>
      </c>
      <c r="K231" s="97" t="str">
        <f aca="false">IF($D231="","",IFERROR(VLOOKUP($D231,PLANI_LLOGARIVE!$A:$J,10,FALSE()),FALSE()))</f>
        <v/>
      </c>
      <c r="L231" s="97" t="str">
        <f aca="false">IF($D231="","",IFERROR(VLOOKUP($D231,PLANI_LLOGARIVE!$A:$G,7,FALSE()),"NUK EKZISTON"))</f>
        <v/>
      </c>
      <c r="M231" s="98" t="str">
        <f aca="false">IF($D231="","",IF(COUNTIF(PLANI_LLOGARIVE!$A:$A,$D231)=0,"ERROR - llogaria nuk ekziston",IF($K231=TRUE(),"OK","ERROR - llogari jo-postuese/Header")))</f>
        <v/>
      </c>
      <c r="N231" s="99" t="str">
        <f aca="false">IF(TRIM($C231)="","",IF(ABS(SUMIFS($F:$F,$C:$C,TRIM($C231))-SUMIFS($G:$G,$C:$C,TRIM($C231)))&lt;0.005,"OK","ERROR - debi/kredi"))</f>
        <v/>
      </c>
      <c r="O231" s="88"/>
      <c r="P231" s="88"/>
      <c r="Q231" s="88"/>
      <c r="R231" s="88"/>
      <c r="S231" s="100" t="str">
        <f aca="false">IF(D231="","",LEFT(D231&amp;"",2))</f>
        <v/>
      </c>
      <c r="T231" s="101" t="str">
        <f aca="false">IF(D231="","",LEFT(D231&amp;"",3))</f>
        <v/>
      </c>
    </row>
    <row r="232" customFormat="false" ht="14.25" hidden="false" customHeight="true" outlineLevel="0" collapsed="false">
      <c r="A232" s="89"/>
      <c r="B232" s="90"/>
      <c r="C232" s="90"/>
      <c r="D232" s="90"/>
      <c r="E232" s="91" t="str">
        <f aca="false">IFERROR(VLOOKUP(D232,PLANI_LLOGARIVE!$A:$B,2,FALSE()),"")</f>
        <v/>
      </c>
      <c r="F232" s="92"/>
      <c r="G232" s="93"/>
      <c r="H232" s="94"/>
      <c r="I232" s="95"/>
      <c r="J232" s="96" t="str">
        <f aca="false">IF(TRIM($C232)="","",IF($M232&lt;&gt;"OK",$M232,IF(ABS(SUMIFS($F:$F,$C:$C,TRIM($C232))-SUMIFS($G:$G,$C:$C,TRIM($C232)))&lt;0.005,"OK","ERROR - veprimi nuk balancohet")))</f>
        <v/>
      </c>
      <c r="K232" s="97" t="str">
        <f aca="false">IF($D232="","",IFERROR(VLOOKUP($D232,PLANI_LLOGARIVE!$A:$J,10,FALSE()),FALSE()))</f>
        <v/>
      </c>
      <c r="L232" s="97" t="str">
        <f aca="false">IF($D232="","",IFERROR(VLOOKUP($D232,PLANI_LLOGARIVE!$A:$G,7,FALSE()),"NUK EKZISTON"))</f>
        <v/>
      </c>
      <c r="M232" s="98" t="str">
        <f aca="false">IF($D232="","",IF(COUNTIF(PLANI_LLOGARIVE!$A:$A,$D232)=0,"ERROR - llogaria nuk ekziston",IF($K232=TRUE(),"OK","ERROR - llogari jo-postuese/Header")))</f>
        <v/>
      </c>
      <c r="N232" s="99" t="str">
        <f aca="false">IF(TRIM($C232)="","",IF(ABS(SUMIFS($F:$F,$C:$C,TRIM($C232))-SUMIFS($G:$G,$C:$C,TRIM($C232)))&lt;0.005,"OK","ERROR - debi/kredi"))</f>
        <v/>
      </c>
      <c r="O232" s="88"/>
      <c r="P232" s="88"/>
      <c r="Q232" s="88"/>
      <c r="R232" s="88"/>
      <c r="S232" s="100" t="str">
        <f aca="false">IF(D232="","",LEFT(D232&amp;"",2))</f>
        <v/>
      </c>
      <c r="T232" s="101" t="str">
        <f aca="false">IF(D232="","",LEFT(D232&amp;"",3))</f>
        <v/>
      </c>
    </row>
    <row r="233" customFormat="false" ht="14.25" hidden="false" customHeight="true" outlineLevel="0" collapsed="false">
      <c r="A233" s="89"/>
      <c r="B233" s="90"/>
      <c r="C233" s="90"/>
      <c r="D233" s="90"/>
      <c r="E233" s="91" t="str">
        <f aca="false">IFERROR(VLOOKUP(D233,PLANI_LLOGARIVE!$A:$B,2,FALSE()),"")</f>
        <v/>
      </c>
      <c r="F233" s="92"/>
      <c r="G233" s="93"/>
      <c r="H233" s="94"/>
      <c r="I233" s="95"/>
      <c r="J233" s="96" t="str">
        <f aca="false">IF(TRIM($C233)="","",IF($M233&lt;&gt;"OK",$M233,IF(ABS(SUMIFS($F:$F,$C:$C,TRIM($C233))-SUMIFS($G:$G,$C:$C,TRIM($C233)))&lt;0.005,"OK","ERROR - veprimi nuk balancohet")))</f>
        <v/>
      </c>
      <c r="K233" s="97" t="str">
        <f aca="false">IF($D233="","",IFERROR(VLOOKUP($D233,PLANI_LLOGARIVE!$A:$J,10,FALSE()),FALSE()))</f>
        <v/>
      </c>
      <c r="L233" s="97" t="str">
        <f aca="false">IF($D233="","",IFERROR(VLOOKUP($D233,PLANI_LLOGARIVE!$A:$G,7,FALSE()),"NUK EKZISTON"))</f>
        <v/>
      </c>
      <c r="M233" s="98" t="str">
        <f aca="false">IF($D233="","",IF(COUNTIF(PLANI_LLOGARIVE!$A:$A,$D233)=0,"ERROR - llogaria nuk ekziston",IF($K233=TRUE(),"OK","ERROR - llogari jo-postuese/Header")))</f>
        <v/>
      </c>
      <c r="N233" s="99" t="str">
        <f aca="false">IF(TRIM($C233)="","",IF(ABS(SUMIFS($F:$F,$C:$C,TRIM($C233))-SUMIFS($G:$G,$C:$C,TRIM($C233)))&lt;0.005,"OK","ERROR - debi/kredi"))</f>
        <v/>
      </c>
      <c r="O233" s="88"/>
      <c r="P233" s="88"/>
      <c r="Q233" s="88"/>
      <c r="R233" s="88"/>
      <c r="S233" s="100" t="str">
        <f aca="false">IF(D233="","",LEFT(D233&amp;"",2))</f>
        <v/>
      </c>
      <c r="T233" s="101" t="str">
        <f aca="false">IF(D233="","",LEFT(D233&amp;"",3))</f>
        <v/>
      </c>
    </row>
    <row r="234" customFormat="false" ht="14.25" hidden="false" customHeight="true" outlineLevel="0" collapsed="false">
      <c r="A234" s="89"/>
      <c r="B234" s="90"/>
      <c r="C234" s="90"/>
      <c r="D234" s="90"/>
      <c r="E234" s="91" t="str">
        <f aca="false">IFERROR(VLOOKUP(D234,PLANI_LLOGARIVE!$A:$B,2,FALSE()),"")</f>
        <v/>
      </c>
      <c r="F234" s="92"/>
      <c r="G234" s="93"/>
      <c r="H234" s="94"/>
      <c r="I234" s="95"/>
      <c r="J234" s="96" t="str">
        <f aca="false">IF(TRIM($C234)="","",IF($M234&lt;&gt;"OK",$M234,IF(ABS(SUMIFS($F:$F,$C:$C,TRIM($C234))-SUMIFS($G:$G,$C:$C,TRIM($C234)))&lt;0.005,"OK","ERROR - veprimi nuk balancohet")))</f>
        <v/>
      </c>
      <c r="K234" s="97" t="str">
        <f aca="false">IF($D234="","",IFERROR(VLOOKUP($D234,PLANI_LLOGARIVE!$A:$J,10,FALSE()),FALSE()))</f>
        <v/>
      </c>
      <c r="L234" s="97" t="str">
        <f aca="false">IF($D234="","",IFERROR(VLOOKUP($D234,PLANI_LLOGARIVE!$A:$G,7,FALSE()),"NUK EKZISTON"))</f>
        <v/>
      </c>
      <c r="M234" s="98" t="str">
        <f aca="false">IF($D234="","",IF(COUNTIF(PLANI_LLOGARIVE!$A:$A,$D234)=0,"ERROR - llogaria nuk ekziston",IF($K234=TRUE(),"OK","ERROR - llogari jo-postuese/Header")))</f>
        <v/>
      </c>
      <c r="N234" s="99" t="str">
        <f aca="false">IF(TRIM($C234)="","",IF(ABS(SUMIFS($F:$F,$C:$C,TRIM($C234))-SUMIFS($G:$G,$C:$C,TRIM($C234)))&lt;0.005,"OK","ERROR - debi/kredi"))</f>
        <v/>
      </c>
      <c r="O234" s="88"/>
      <c r="P234" s="88"/>
      <c r="Q234" s="88"/>
      <c r="R234" s="88"/>
      <c r="S234" s="100" t="str">
        <f aca="false">IF(D234="","",LEFT(D234&amp;"",2))</f>
        <v/>
      </c>
      <c r="T234" s="101" t="str">
        <f aca="false">IF(D234="","",LEFT(D234&amp;"",3))</f>
        <v/>
      </c>
    </row>
    <row r="235" customFormat="false" ht="14.25" hidden="false" customHeight="true" outlineLevel="0" collapsed="false">
      <c r="A235" s="89"/>
      <c r="B235" s="90"/>
      <c r="C235" s="90"/>
      <c r="D235" s="90"/>
      <c r="E235" s="91" t="str">
        <f aca="false">IFERROR(VLOOKUP(D235,PLANI_LLOGARIVE!$A:$B,2,FALSE()),"")</f>
        <v/>
      </c>
      <c r="F235" s="92"/>
      <c r="G235" s="93"/>
      <c r="H235" s="94"/>
      <c r="I235" s="95"/>
      <c r="J235" s="96" t="str">
        <f aca="false">IF(TRIM($C235)="","",IF($M235&lt;&gt;"OK",$M235,IF(ABS(SUMIFS($F:$F,$C:$C,TRIM($C235))-SUMIFS($G:$G,$C:$C,TRIM($C235)))&lt;0.005,"OK","ERROR - veprimi nuk balancohet")))</f>
        <v/>
      </c>
      <c r="K235" s="97" t="str">
        <f aca="false">IF($D235="","",IFERROR(VLOOKUP($D235,PLANI_LLOGARIVE!$A:$J,10,FALSE()),FALSE()))</f>
        <v/>
      </c>
      <c r="L235" s="97" t="str">
        <f aca="false">IF($D235="","",IFERROR(VLOOKUP($D235,PLANI_LLOGARIVE!$A:$G,7,FALSE()),"NUK EKZISTON"))</f>
        <v/>
      </c>
      <c r="M235" s="98" t="str">
        <f aca="false">IF($D235="","",IF(COUNTIF(PLANI_LLOGARIVE!$A:$A,$D235)=0,"ERROR - llogaria nuk ekziston",IF($K235=TRUE(),"OK","ERROR - llogari jo-postuese/Header")))</f>
        <v/>
      </c>
      <c r="N235" s="99" t="str">
        <f aca="false">IF(TRIM($C235)="","",IF(ABS(SUMIFS($F:$F,$C:$C,TRIM($C235))-SUMIFS($G:$G,$C:$C,TRIM($C235)))&lt;0.005,"OK","ERROR - debi/kredi"))</f>
        <v/>
      </c>
      <c r="O235" s="88"/>
      <c r="P235" s="88"/>
      <c r="Q235" s="88"/>
      <c r="R235" s="88"/>
      <c r="S235" s="100" t="str">
        <f aca="false">IF(D235="","",LEFT(D235&amp;"",2))</f>
        <v/>
      </c>
      <c r="T235" s="101" t="str">
        <f aca="false">IF(D235="","",LEFT(D235&amp;"",3))</f>
        <v/>
      </c>
    </row>
    <row r="236" customFormat="false" ht="14.25" hidden="false" customHeight="true" outlineLevel="0" collapsed="false">
      <c r="A236" s="89"/>
      <c r="B236" s="90"/>
      <c r="C236" s="90"/>
      <c r="D236" s="90"/>
      <c r="E236" s="91" t="str">
        <f aca="false">IFERROR(VLOOKUP(D236,PLANI_LLOGARIVE!$A:$B,2,FALSE()),"")</f>
        <v/>
      </c>
      <c r="F236" s="92"/>
      <c r="G236" s="93"/>
      <c r="H236" s="94"/>
      <c r="I236" s="95"/>
      <c r="J236" s="96" t="str">
        <f aca="false">IF(TRIM($C236)="","",IF($M236&lt;&gt;"OK",$M236,IF(ABS(SUMIFS($F:$F,$C:$C,TRIM($C236))-SUMIFS($G:$G,$C:$C,TRIM($C236)))&lt;0.005,"OK","ERROR - veprimi nuk balancohet")))</f>
        <v/>
      </c>
      <c r="K236" s="97" t="str">
        <f aca="false">IF($D236="","",IFERROR(VLOOKUP($D236,PLANI_LLOGARIVE!$A:$J,10,FALSE()),FALSE()))</f>
        <v/>
      </c>
      <c r="L236" s="97" t="str">
        <f aca="false">IF($D236="","",IFERROR(VLOOKUP($D236,PLANI_LLOGARIVE!$A:$G,7,FALSE()),"NUK EKZISTON"))</f>
        <v/>
      </c>
      <c r="M236" s="98" t="str">
        <f aca="false">IF($D236="","",IF(COUNTIF(PLANI_LLOGARIVE!$A:$A,$D236)=0,"ERROR - llogaria nuk ekziston",IF($K236=TRUE(),"OK","ERROR - llogari jo-postuese/Header")))</f>
        <v/>
      </c>
      <c r="N236" s="99" t="str">
        <f aca="false">IF(TRIM($C236)="","",IF(ABS(SUMIFS($F:$F,$C:$C,TRIM($C236))-SUMIFS($G:$G,$C:$C,TRIM($C236)))&lt;0.005,"OK","ERROR - debi/kredi"))</f>
        <v/>
      </c>
      <c r="O236" s="88"/>
      <c r="P236" s="88"/>
      <c r="Q236" s="88"/>
      <c r="R236" s="88"/>
      <c r="S236" s="100" t="str">
        <f aca="false">IF(D236="","",LEFT(D236&amp;"",2))</f>
        <v/>
      </c>
      <c r="T236" s="101" t="str">
        <f aca="false">IF(D236="","",LEFT(D236&amp;"",3))</f>
        <v/>
      </c>
    </row>
    <row r="237" customFormat="false" ht="14.25" hidden="false" customHeight="true" outlineLevel="0" collapsed="false">
      <c r="A237" s="89"/>
      <c r="B237" s="90"/>
      <c r="C237" s="90"/>
      <c r="D237" s="90"/>
      <c r="E237" s="91" t="str">
        <f aca="false">IFERROR(VLOOKUP(D237,PLANI_LLOGARIVE!$A:$B,2,FALSE()),"")</f>
        <v/>
      </c>
      <c r="F237" s="92"/>
      <c r="G237" s="93"/>
      <c r="H237" s="94"/>
      <c r="I237" s="95"/>
      <c r="J237" s="96" t="str">
        <f aca="false">IF(TRIM($C237)="","",IF($M237&lt;&gt;"OK",$M237,IF(ABS(SUMIFS($F:$F,$C:$C,TRIM($C237))-SUMIFS($G:$G,$C:$C,TRIM($C237)))&lt;0.005,"OK","ERROR - veprimi nuk balancohet")))</f>
        <v/>
      </c>
      <c r="K237" s="97" t="str">
        <f aca="false">IF($D237="","",IFERROR(VLOOKUP($D237,PLANI_LLOGARIVE!$A:$J,10,FALSE()),FALSE()))</f>
        <v/>
      </c>
      <c r="L237" s="97" t="str">
        <f aca="false">IF($D237="","",IFERROR(VLOOKUP($D237,PLANI_LLOGARIVE!$A:$G,7,FALSE()),"NUK EKZISTON"))</f>
        <v/>
      </c>
      <c r="M237" s="98" t="str">
        <f aca="false">IF($D237="","",IF(COUNTIF(PLANI_LLOGARIVE!$A:$A,$D237)=0,"ERROR - llogaria nuk ekziston",IF($K237=TRUE(),"OK","ERROR - llogari jo-postuese/Header")))</f>
        <v/>
      </c>
      <c r="N237" s="99" t="str">
        <f aca="false">IF(TRIM($C237)="","",IF(ABS(SUMIFS($F:$F,$C:$C,TRIM($C237))-SUMIFS($G:$G,$C:$C,TRIM($C237)))&lt;0.005,"OK","ERROR - debi/kredi"))</f>
        <v/>
      </c>
      <c r="O237" s="88"/>
      <c r="P237" s="88"/>
      <c r="Q237" s="88"/>
      <c r="R237" s="88"/>
      <c r="S237" s="100" t="str">
        <f aca="false">IF(D237="","",LEFT(D237&amp;"",2))</f>
        <v/>
      </c>
      <c r="T237" s="101" t="str">
        <f aca="false">IF(D237="","",LEFT(D237&amp;"",3))</f>
        <v/>
      </c>
    </row>
    <row r="238" customFormat="false" ht="14.25" hidden="false" customHeight="true" outlineLevel="0" collapsed="false">
      <c r="A238" s="89"/>
      <c r="B238" s="90"/>
      <c r="C238" s="90"/>
      <c r="D238" s="90"/>
      <c r="E238" s="91" t="str">
        <f aca="false">IFERROR(VLOOKUP(D238,PLANI_LLOGARIVE!$A:$B,2,FALSE()),"")</f>
        <v/>
      </c>
      <c r="F238" s="92"/>
      <c r="G238" s="93"/>
      <c r="H238" s="94"/>
      <c r="I238" s="95"/>
      <c r="J238" s="96" t="str">
        <f aca="false">IF(TRIM($C238)="","",IF($M238&lt;&gt;"OK",$M238,IF(ABS(SUMIFS($F:$F,$C:$C,TRIM($C238))-SUMIFS($G:$G,$C:$C,TRIM($C238)))&lt;0.005,"OK","ERROR - veprimi nuk balancohet")))</f>
        <v/>
      </c>
      <c r="K238" s="97" t="str">
        <f aca="false">IF($D238="","",IFERROR(VLOOKUP($D238,PLANI_LLOGARIVE!$A:$J,10,FALSE()),FALSE()))</f>
        <v/>
      </c>
      <c r="L238" s="97" t="str">
        <f aca="false">IF($D238="","",IFERROR(VLOOKUP($D238,PLANI_LLOGARIVE!$A:$G,7,FALSE()),"NUK EKZISTON"))</f>
        <v/>
      </c>
      <c r="M238" s="98" t="str">
        <f aca="false">IF($D238="","",IF(COUNTIF(PLANI_LLOGARIVE!$A:$A,$D238)=0,"ERROR - llogaria nuk ekziston",IF($K238=TRUE(),"OK","ERROR - llogari jo-postuese/Header")))</f>
        <v/>
      </c>
      <c r="N238" s="99" t="str">
        <f aca="false">IF(TRIM($C238)="","",IF(ABS(SUMIFS($F:$F,$C:$C,TRIM($C238))-SUMIFS($G:$G,$C:$C,TRIM($C238)))&lt;0.005,"OK","ERROR - debi/kredi"))</f>
        <v/>
      </c>
      <c r="O238" s="88"/>
      <c r="P238" s="88"/>
      <c r="Q238" s="88"/>
      <c r="R238" s="88"/>
      <c r="S238" s="100" t="str">
        <f aca="false">IF(D238="","",LEFT(D238&amp;"",2))</f>
        <v/>
      </c>
      <c r="T238" s="101" t="str">
        <f aca="false">IF(D238="","",LEFT(D238&amp;"",3))</f>
        <v/>
      </c>
    </row>
    <row r="239" customFormat="false" ht="14.25" hidden="false" customHeight="true" outlineLevel="0" collapsed="false">
      <c r="A239" s="89"/>
      <c r="B239" s="90"/>
      <c r="C239" s="90"/>
      <c r="D239" s="90"/>
      <c r="E239" s="91" t="str">
        <f aca="false">IFERROR(VLOOKUP(D239,PLANI_LLOGARIVE!$A:$B,2,FALSE()),"")</f>
        <v/>
      </c>
      <c r="F239" s="92"/>
      <c r="G239" s="93"/>
      <c r="H239" s="94"/>
      <c r="I239" s="95"/>
      <c r="J239" s="96" t="str">
        <f aca="false">IF(TRIM($C239)="","",IF($M239&lt;&gt;"OK",$M239,IF(ABS(SUMIFS($F:$F,$C:$C,TRIM($C239))-SUMIFS($G:$G,$C:$C,TRIM($C239)))&lt;0.005,"OK","ERROR - veprimi nuk balancohet")))</f>
        <v/>
      </c>
      <c r="K239" s="97" t="str">
        <f aca="false">IF($D239="","",IFERROR(VLOOKUP($D239,PLANI_LLOGARIVE!$A:$J,10,FALSE()),FALSE()))</f>
        <v/>
      </c>
      <c r="L239" s="97" t="str">
        <f aca="false">IF($D239="","",IFERROR(VLOOKUP($D239,PLANI_LLOGARIVE!$A:$G,7,FALSE()),"NUK EKZISTON"))</f>
        <v/>
      </c>
      <c r="M239" s="98" t="str">
        <f aca="false">IF($D239="","",IF(COUNTIF(PLANI_LLOGARIVE!$A:$A,$D239)=0,"ERROR - llogaria nuk ekziston",IF($K239=TRUE(),"OK","ERROR - llogari jo-postuese/Header")))</f>
        <v/>
      </c>
      <c r="N239" s="99" t="str">
        <f aca="false">IF(TRIM($C239)="","",IF(ABS(SUMIFS($F:$F,$C:$C,TRIM($C239))-SUMIFS($G:$G,$C:$C,TRIM($C239)))&lt;0.005,"OK","ERROR - debi/kredi"))</f>
        <v/>
      </c>
      <c r="O239" s="88"/>
      <c r="P239" s="88"/>
      <c r="Q239" s="88"/>
      <c r="R239" s="88"/>
      <c r="S239" s="100" t="str">
        <f aca="false">IF(D239="","",LEFT(D239&amp;"",2))</f>
        <v/>
      </c>
      <c r="T239" s="101" t="str">
        <f aca="false">IF(D239="","",LEFT(D239&amp;"",3))</f>
        <v/>
      </c>
    </row>
    <row r="240" customFormat="false" ht="14.25" hidden="false" customHeight="true" outlineLevel="0" collapsed="false">
      <c r="A240" s="89"/>
      <c r="B240" s="90"/>
      <c r="C240" s="90"/>
      <c r="D240" s="90"/>
      <c r="E240" s="91" t="str">
        <f aca="false">IFERROR(VLOOKUP(D240,PLANI_LLOGARIVE!$A:$B,2,FALSE()),"")</f>
        <v/>
      </c>
      <c r="F240" s="92"/>
      <c r="G240" s="93"/>
      <c r="H240" s="94"/>
      <c r="I240" s="95"/>
      <c r="J240" s="96" t="str">
        <f aca="false">IF(TRIM($C240)="","",IF($M240&lt;&gt;"OK",$M240,IF(ABS(SUMIFS($F:$F,$C:$C,TRIM($C240))-SUMIFS($G:$G,$C:$C,TRIM($C240)))&lt;0.005,"OK","ERROR - veprimi nuk balancohet")))</f>
        <v/>
      </c>
      <c r="K240" s="97" t="str">
        <f aca="false">IF($D240="","",IFERROR(VLOOKUP($D240,PLANI_LLOGARIVE!$A:$J,10,FALSE()),FALSE()))</f>
        <v/>
      </c>
      <c r="L240" s="97" t="str">
        <f aca="false">IF($D240="","",IFERROR(VLOOKUP($D240,PLANI_LLOGARIVE!$A:$G,7,FALSE()),"NUK EKZISTON"))</f>
        <v/>
      </c>
      <c r="M240" s="98" t="str">
        <f aca="false">IF($D240="","",IF(COUNTIF(PLANI_LLOGARIVE!$A:$A,$D240)=0,"ERROR - llogaria nuk ekziston",IF($K240=TRUE(),"OK","ERROR - llogari jo-postuese/Header")))</f>
        <v/>
      </c>
      <c r="N240" s="99" t="str">
        <f aca="false">IF(TRIM($C240)="","",IF(ABS(SUMIFS($F:$F,$C:$C,TRIM($C240))-SUMIFS($G:$G,$C:$C,TRIM($C240)))&lt;0.005,"OK","ERROR - debi/kredi"))</f>
        <v/>
      </c>
      <c r="O240" s="88"/>
      <c r="P240" s="88"/>
      <c r="Q240" s="88"/>
      <c r="R240" s="88"/>
      <c r="S240" s="100" t="str">
        <f aca="false">IF(D240="","",LEFT(D240&amp;"",2))</f>
        <v/>
      </c>
      <c r="T240" s="101" t="str">
        <f aca="false">IF(D240="","",LEFT(D240&amp;"",3))</f>
        <v/>
      </c>
    </row>
    <row r="241" customFormat="false" ht="14.25" hidden="false" customHeight="true" outlineLevel="0" collapsed="false">
      <c r="A241" s="89"/>
      <c r="B241" s="90"/>
      <c r="C241" s="90"/>
      <c r="D241" s="90"/>
      <c r="E241" s="91" t="str">
        <f aca="false">IFERROR(VLOOKUP(D241,PLANI_LLOGARIVE!$A:$B,2,FALSE()),"")</f>
        <v/>
      </c>
      <c r="F241" s="92"/>
      <c r="G241" s="93"/>
      <c r="H241" s="94"/>
      <c r="I241" s="95"/>
      <c r="J241" s="96" t="str">
        <f aca="false">IF(TRIM($C241)="","",IF($M241&lt;&gt;"OK",$M241,IF(ABS(SUMIFS($F:$F,$C:$C,TRIM($C241))-SUMIFS($G:$G,$C:$C,TRIM($C241)))&lt;0.005,"OK","ERROR - veprimi nuk balancohet")))</f>
        <v/>
      </c>
      <c r="K241" s="97" t="str">
        <f aca="false">IF($D241="","",IFERROR(VLOOKUP($D241,PLANI_LLOGARIVE!$A:$J,10,FALSE()),FALSE()))</f>
        <v/>
      </c>
      <c r="L241" s="97" t="str">
        <f aca="false">IF($D241="","",IFERROR(VLOOKUP($D241,PLANI_LLOGARIVE!$A:$G,7,FALSE()),"NUK EKZISTON"))</f>
        <v/>
      </c>
      <c r="M241" s="98" t="str">
        <f aca="false">IF($D241="","",IF(COUNTIF(PLANI_LLOGARIVE!$A:$A,$D241)=0,"ERROR - llogaria nuk ekziston",IF($K241=TRUE(),"OK","ERROR - llogari jo-postuese/Header")))</f>
        <v/>
      </c>
      <c r="N241" s="99" t="str">
        <f aca="false">IF(TRIM($C241)="","",IF(ABS(SUMIFS($F:$F,$C:$C,TRIM($C241))-SUMIFS($G:$G,$C:$C,TRIM($C241)))&lt;0.005,"OK","ERROR - debi/kredi"))</f>
        <v/>
      </c>
      <c r="O241" s="88"/>
      <c r="P241" s="88"/>
      <c r="Q241" s="88"/>
      <c r="R241" s="88"/>
      <c r="S241" s="100" t="str">
        <f aca="false">IF(D241="","",LEFT(D241&amp;"",2))</f>
        <v/>
      </c>
      <c r="T241" s="101" t="str">
        <f aca="false">IF(D241="","",LEFT(D241&amp;"",3))</f>
        <v/>
      </c>
    </row>
    <row r="242" customFormat="false" ht="14.25" hidden="false" customHeight="true" outlineLevel="0" collapsed="false">
      <c r="A242" s="89"/>
      <c r="B242" s="90"/>
      <c r="C242" s="90"/>
      <c r="D242" s="90"/>
      <c r="E242" s="91" t="str">
        <f aca="false">IFERROR(VLOOKUP(D242,PLANI_LLOGARIVE!$A:$B,2,FALSE()),"")</f>
        <v/>
      </c>
      <c r="F242" s="92"/>
      <c r="G242" s="93"/>
      <c r="H242" s="94"/>
      <c r="I242" s="95"/>
      <c r="J242" s="96" t="str">
        <f aca="false">IF(TRIM($C242)="","",IF($M242&lt;&gt;"OK",$M242,IF(ABS(SUMIFS($F:$F,$C:$C,TRIM($C242))-SUMIFS($G:$G,$C:$C,TRIM($C242)))&lt;0.005,"OK","ERROR - veprimi nuk balancohet")))</f>
        <v/>
      </c>
      <c r="K242" s="97" t="str">
        <f aca="false">IF($D242="","",IFERROR(VLOOKUP($D242,PLANI_LLOGARIVE!$A:$J,10,FALSE()),FALSE()))</f>
        <v/>
      </c>
      <c r="L242" s="97" t="str">
        <f aca="false">IF($D242="","",IFERROR(VLOOKUP($D242,PLANI_LLOGARIVE!$A:$G,7,FALSE()),"NUK EKZISTON"))</f>
        <v/>
      </c>
      <c r="M242" s="98" t="str">
        <f aca="false">IF($D242="","",IF(COUNTIF(PLANI_LLOGARIVE!$A:$A,$D242)=0,"ERROR - llogaria nuk ekziston",IF($K242=TRUE(),"OK","ERROR - llogari jo-postuese/Header")))</f>
        <v/>
      </c>
      <c r="N242" s="99" t="str">
        <f aca="false">IF(TRIM($C242)="","",IF(ABS(SUMIFS($F:$F,$C:$C,TRIM($C242))-SUMIFS($G:$G,$C:$C,TRIM($C242)))&lt;0.005,"OK","ERROR - debi/kredi"))</f>
        <v/>
      </c>
      <c r="O242" s="88"/>
      <c r="P242" s="88"/>
      <c r="Q242" s="88"/>
      <c r="R242" s="88"/>
      <c r="S242" s="100" t="str">
        <f aca="false">IF(D242="","",LEFT(D242&amp;"",2))</f>
        <v/>
      </c>
      <c r="T242" s="101" t="str">
        <f aca="false">IF(D242="","",LEFT(D242&amp;"",3))</f>
        <v/>
      </c>
    </row>
    <row r="243" customFormat="false" ht="14.25" hidden="false" customHeight="true" outlineLevel="0" collapsed="false">
      <c r="A243" s="89"/>
      <c r="B243" s="90"/>
      <c r="C243" s="90"/>
      <c r="D243" s="90"/>
      <c r="E243" s="91" t="str">
        <f aca="false">IFERROR(VLOOKUP(D243,PLANI_LLOGARIVE!$A:$B,2,FALSE()),"")</f>
        <v/>
      </c>
      <c r="F243" s="92"/>
      <c r="G243" s="93"/>
      <c r="H243" s="94"/>
      <c r="I243" s="95"/>
      <c r="J243" s="96" t="str">
        <f aca="false">IF(TRIM($C243)="","",IF($M243&lt;&gt;"OK",$M243,IF(ABS(SUMIFS($F:$F,$C:$C,TRIM($C243))-SUMIFS($G:$G,$C:$C,TRIM($C243)))&lt;0.005,"OK","ERROR - veprimi nuk balancohet")))</f>
        <v/>
      </c>
      <c r="K243" s="97" t="str">
        <f aca="false">IF($D243="","",IFERROR(VLOOKUP($D243,PLANI_LLOGARIVE!$A:$J,10,FALSE()),FALSE()))</f>
        <v/>
      </c>
      <c r="L243" s="97" t="str">
        <f aca="false">IF($D243="","",IFERROR(VLOOKUP($D243,PLANI_LLOGARIVE!$A:$G,7,FALSE()),"NUK EKZISTON"))</f>
        <v/>
      </c>
      <c r="M243" s="98" t="str">
        <f aca="false">IF($D243="","",IF(COUNTIF(PLANI_LLOGARIVE!$A:$A,$D243)=0,"ERROR - llogaria nuk ekziston",IF($K243=TRUE(),"OK","ERROR - llogari jo-postuese/Header")))</f>
        <v/>
      </c>
      <c r="N243" s="99" t="str">
        <f aca="false">IF(TRIM($C243)="","",IF(ABS(SUMIFS($F:$F,$C:$C,TRIM($C243))-SUMIFS($G:$G,$C:$C,TRIM($C243)))&lt;0.005,"OK","ERROR - debi/kredi"))</f>
        <v/>
      </c>
      <c r="O243" s="88"/>
      <c r="P243" s="88"/>
      <c r="Q243" s="88"/>
      <c r="R243" s="88"/>
      <c r="S243" s="100" t="str">
        <f aca="false">IF(D243="","",LEFT(D243&amp;"",2))</f>
        <v/>
      </c>
      <c r="T243" s="101" t="str">
        <f aca="false">IF(D243="","",LEFT(D243&amp;"",3))</f>
        <v/>
      </c>
    </row>
    <row r="244" customFormat="false" ht="14.25" hidden="false" customHeight="true" outlineLevel="0" collapsed="false">
      <c r="A244" s="89"/>
      <c r="B244" s="90"/>
      <c r="C244" s="90"/>
      <c r="D244" s="90"/>
      <c r="E244" s="91" t="str">
        <f aca="false">IFERROR(VLOOKUP(D244,PLANI_LLOGARIVE!$A:$B,2,FALSE()),"")</f>
        <v/>
      </c>
      <c r="F244" s="92"/>
      <c r="G244" s="93"/>
      <c r="H244" s="94"/>
      <c r="I244" s="95"/>
      <c r="J244" s="96" t="str">
        <f aca="false">IF(TRIM($C244)="","",IF($M244&lt;&gt;"OK",$M244,IF(ABS(SUMIFS($F:$F,$C:$C,TRIM($C244))-SUMIFS($G:$G,$C:$C,TRIM($C244)))&lt;0.005,"OK","ERROR - veprimi nuk balancohet")))</f>
        <v/>
      </c>
      <c r="K244" s="97" t="str">
        <f aca="false">IF($D244="","",IFERROR(VLOOKUP($D244,PLANI_LLOGARIVE!$A:$J,10,FALSE()),FALSE()))</f>
        <v/>
      </c>
      <c r="L244" s="97" t="str">
        <f aca="false">IF($D244="","",IFERROR(VLOOKUP($D244,PLANI_LLOGARIVE!$A:$G,7,FALSE()),"NUK EKZISTON"))</f>
        <v/>
      </c>
      <c r="M244" s="98" t="str">
        <f aca="false">IF($D244="","",IF(COUNTIF(PLANI_LLOGARIVE!$A:$A,$D244)=0,"ERROR - llogaria nuk ekziston",IF($K244=TRUE(),"OK","ERROR - llogari jo-postuese/Header")))</f>
        <v/>
      </c>
      <c r="N244" s="99" t="str">
        <f aca="false">IF(TRIM($C244)="","",IF(ABS(SUMIFS($F:$F,$C:$C,TRIM($C244))-SUMIFS($G:$G,$C:$C,TRIM($C244)))&lt;0.005,"OK","ERROR - debi/kredi"))</f>
        <v/>
      </c>
      <c r="O244" s="88"/>
      <c r="P244" s="88"/>
      <c r="Q244" s="88"/>
      <c r="R244" s="88"/>
      <c r="S244" s="100" t="str">
        <f aca="false">IF(D244="","",LEFT(D244&amp;"",2))</f>
        <v/>
      </c>
      <c r="T244" s="101" t="str">
        <f aca="false">IF(D244="","",LEFT(D244&amp;"",3))</f>
        <v/>
      </c>
    </row>
    <row r="245" customFormat="false" ht="14.25" hidden="false" customHeight="true" outlineLevel="0" collapsed="false">
      <c r="A245" s="89"/>
      <c r="B245" s="90"/>
      <c r="C245" s="90"/>
      <c r="D245" s="90"/>
      <c r="E245" s="91" t="str">
        <f aca="false">IFERROR(VLOOKUP(D245,PLANI_LLOGARIVE!$A:$B,2,FALSE()),"")</f>
        <v/>
      </c>
      <c r="F245" s="92"/>
      <c r="G245" s="93"/>
      <c r="H245" s="94"/>
      <c r="I245" s="95"/>
      <c r="J245" s="96" t="str">
        <f aca="false">IF(TRIM($C245)="","",IF($M245&lt;&gt;"OK",$M245,IF(ABS(SUMIFS($F:$F,$C:$C,TRIM($C245))-SUMIFS($G:$G,$C:$C,TRIM($C245)))&lt;0.005,"OK","ERROR - veprimi nuk balancohet")))</f>
        <v/>
      </c>
      <c r="K245" s="97" t="str">
        <f aca="false">IF($D245="","",IFERROR(VLOOKUP($D245,PLANI_LLOGARIVE!$A:$J,10,FALSE()),FALSE()))</f>
        <v/>
      </c>
      <c r="L245" s="97" t="str">
        <f aca="false">IF($D245="","",IFERROR(VLOOKUP($D245,PLANI_LLOGARIVE!$A:$G,7,FALSE()),"NUK EKZISTON"))</f>
        <v/>
      </c>
      <c r="M245" s="98" t="str">
        <f aca="false">IF($D245="","",IF(COUNTIF(PLANI_LLOGARIVE!$A:$A,$D245)=0,"ERROR - llogaria nuk ekziston",IF($K245=TRUE(),"OK","ERROR - llogari jo-postuese/Header")))</f>
        <v/>
      </c>
      <c r="N245" s="99" t="str">
        <f aca="false">IF(TRIM($C245)="","",IF(ABS(SUMIFS($F:$F,$C:$C,TRIM($C245))-SUMIFS($G:$G,$C:$C,TRIM($C245)))&lt;0.005,"OK","ERROR - debi/kredi"))</f>
        <v/>
      </c>
      <c r="O245" s="88"/>
      <c r="P245" s="88"/>
      <c r="Q245" s="88"/>
      <c r="R245" s="88"/>
      <c r="S245" s="100" t="str">
        <f aca="false">IF(D245="","",LEFT(D245&amp;"",2))</f>
        <v/>
      </c>
      <c r="T245" s="101" t="str">
        <f aca="false">IF(D245="","",LEFT(D245&amp;"",3))</f>
        <v/>
      </c>
    </row>
    <row r="246" customFormat="false" ht="14.25" hidden="false" customHeight="true" outlineLevel="0" collapsed="false">
      <c r="A246" s="89"/>
      <c r="B246" s="90"/>
      <c r="C246" s="90"/>
      <c r="D246" s="90"/>
      <c r="E246" s="91" t="str">
        <f aca="false">IFERROR(VLOOKUP(D246,PLANI_LLOGARIVE!$A:$B,2,FALSE()),"")</f>
        <v/>
      </c>
      <c r="F246" s="92"/>
      <c r="G246" s="93"/>
      <c r="H246" s="94"/>
      <c r="I246" s="95"/>
      <c r="J246" s="96" t="str">
        <f aca="false">IF(TRIM($C246)="","",IF($M246&lt;&gt;"OK",$M246,IF(ABS(SUMIFS($F:$F,$C:$C,TRIM($C246))-SUMIFS($G:$G,$C:$C,TRIM($C246)))&lt;0.005,"OK","ERROR - veprimi nuk balancohet")))</f>
        <v/>
      </c>
      <c r="K246" s="97" t="str">
        <f aca="false">IF($D246="","",IFERROR(VLOOKUP($D246,PLANI_LLOGARIVE!$A:$J,10,FALSE()),FALSE()))</f>
        <v/>
      </c>
      <c r="L246" s="97" t="str">
        <f aca="false">IF($D246="","",IFERROR(VLOOKUP($D246,PLANI_LLOGARIVE!$A:$G,7,FALSE()),"NUK EKZISTON"))</f>
        <v/>
      </c>
      <c r="M246" s="98" t="str">
        <f aca="false">IF($D246="","",IF(COUNTIF(PLANI_LLOGARIVE!$A:$A,$D246)=0,"ERROR - llogaria nuk ekziston",IF($K246=TRUE(),"OK","ERROR - llogari jo-postuese/Header")))</f>
        <v/>
      </c>
      <c r="N246" s="99" t="str">
        <f aca="false">IF(TRIM($C246)="","",IF(ABS(SUMIFS($F:$F,$C:$C,TRIM($C246))-SUMIFS($G:$G,$C:$C,TRIM($C246)))&lt;0.005,"OK","ERROR - debi/kredi"))</f>
        <v/>
      </c>
      <c r="O246" s="88"/>
      <c r="P246" s="88"/>
      <c r="Q246" s="88"/>
      <c r="R246" s="88"/>
      <c r="S246" s="100" t="str">
        <f aca="false">IF(D246="","",LEFT(D246&amp;"",2))</f>
        <v/>
      </c>
      <c r="T246" s="101" t="str">
        <f aca="false">IF(D246="","",LEFT(D246&amp;"",3))</f>
        <v/>
      </c>
    </row>
    <row r="247" customFormat="false" ht="14.25" hidden="false" customHeight="true" outlineLevel="0" collapsed="false">
      <c r="A247" s="89"/>
      <c r="B247" s="90"/>
      <c r="C247" s="90"/>
      <c r="D247" s="90"/>
      <c r="E247" s="91" t="str">
        <f aca="false">IFERROR(VLOOKUP(D247,PLANI_LLOGARIVE!$A:$B,2,FALSE()),"")</f>
        <v/>
      </c>
      <c r="F247" s="92"/>
      <c r="G247" s="93"/>
      <c r="H247" s="94"/>
      <c r="I247" s="95"/>
      <c r="J247" s="96" t="str">
        <f aca="false">IF(TRIM($C247)="","",IF($M247&lt;&gt;"OK",$M247,IF(ABS(SUMIFS($F:$F,$C:$C,TRIM($C247))-SUMIFS($G:$G,$C:$C,TRIM($C247)))&lt;0.005,"OK","ERROR - veprimi nuk balancohet")))</f>
        <v/>
      </c>
      <c r="K247" s="97" t="str">
        <f aca="false">IF($D247="","",IFERROR(VLOOKUP($D247,PLANI_LLOGARIVE!$A:$J,10,FALSE()),FALSE()))</f>
        <v/>
      </c>
      <c r="L247" s="97" t="str">
        <f aca="false">IF($D247="","",IFERROR(VLOOKUP($D247,PLANI_LLOGARIVE!$A:$G,7,FALSE()),"NUK EKZISTON"))</f>
        <v/>
      </c>
      <c r="M247" s="98" t="str">
        <f aca="false">IF($D247="","",IF(COUNTIF(PLANI_LLOGARIVE!$A:$A,$D247)=0,"ERROR - llogaria nuk ekziston",IF($K247=TRUE(),"OK","ERROR - llogari jo-postuese/Header")))</f>
        <v/>
      </c>
      <c r="N247" s="99" t="str">
        <f aca="false">IF(TRIM($C247)="","",IF(ABS(SUMIFS($F:$F,$C:$C,TRIM($C247))-SUMIFS($G:$G,$C:$C,TRIM($C247)))&lt;0.005,"OK","ERROR - debi/kredi"))</f>
        <v/>
      </c>
      <c r="O247" s="88"/>
      <c r="P247" s="88"/>
      <c r="Q247" s="88"/>
      <c r="R247" s="88"/>
      <c r="S247" s="100" t="str">
        <f aca="false">IF(D247="","",LEFT(D247&amp;"",2))</f>
        <v/>
      </c>
      <c r="T247" s="101" t="str">
        <f aca="false">IF(D247="","",LEFT(D247&amp;"",3))</f>
        <v/>
      </c>
    </row>
    <row r="248" customFormat="false" ht="14.25" hidden="false" customHeight="true" outlineLevel="0" collapsed="false">
      <c r="A248" s="89"/>
      <c r="B248" s="90"/>
      <c r="C248" s="90"/>
      <c r="D248" s="90"/>
      <c r="E248" s="91" t="str">
        <f aca="false">IFERROR(VLOOKUP(D248,PLANI_LLOGARIVE!$A:$B,2,FALSE()),"")</f>
        <v/>
      </c>
      <c r="F248" s="92"/>
      <c r="G248" s="93"/>
      <c r="H248" s="94"/>
      <c r="I248" s="95"/>
      <c r="J248" s="96" t="str">
        <f aca="false">IF(TRIM($C248)="","",IF($M248&lt;&gt;"OK",$M248,IF(ABS(SUMIFS($F:$F,$C:$C,TRIM($C248))-SUMIFS($G:$G,$C:$C,TRIM($C248)))&lt;0.005,"OK","ERROR - veprimi nuk balancohet")))</f>
        <v/>
      </c>
      <c r="K248" s="97" t="str">
        <f aca="false">IF($D248="","",IFERROR(VLOOKUP($D248,PLANI_LLOGARIVE!$A:$J,10,FALSE()),FALSE()))</f>
        <v/>
      </c>
      <c r="L248" s="97" t="str">
        <f aca="false">IF($D248="","",IFERROR(VLOOKUP($D248,PLANI_LLOGARIVE!$A:$G,7,FALSE()),"NUK EKZISTON"))</f>
        <v/>
      </c>
      <c r="M248" s="98" t="str">
        <f aca="false">IF($D248="","",IF(COUNTIF(PLANI_LLOGARIVE!$A:$A,$D248)=0,"ERROR - llogaria nuk ekziston",IF($K248=TRUE(),"OK","ERROR - llogari jo-postuese/Header")))</f>
        <v/>
      </c>
      <c r="N248" s="99" t="str">
        <f aca="false">IF(TRIM($C248)="","",IF(ABS(SUMIFS($F:$F,$C:$C,TRIM($C248))-SUMIFS($G:$G,$C:$C,TRIM($C248)))&lt;0.005,"OK","ERROR - debi/kredi"))</f>
        <v/>
      </c>
      <c r="O248" s="88"/>
      <c r="P248" s="88"/>
      <c r="Q248" s="88"/>
      <c r="R248" s="88"/>
      <c r="S248" s="100" t="str">
        <f aca="false">IF(D248="","",LEFT(D248&amp;"",2))</f>
        <v/>
      </c>
      <c r="T248" s="101" t="str">
        <f aca="false">IF(D248="","",LEFT(D248&amp;"",3))</f>
        <v/>
      </c>
    </row>
    <row r="249" customFormat="false" ht="14.25" hidden="false" customHeight="true" outlineLevel="0" collapsed="false">
      <c r="A249" s="89"/>
      <c r="B249" s="90"/>
      <c r="C249" s="90"/>
      <c r="D249" s="90"/>
      <c r="E249" s="91" t="str">
        <f aca="false">IFERROR(VLOOKUP(D249,PLANI_LLOGARIVE!$A:$B,2,FALSE()),"")</f>
        <v/>
      </c>
      <c r="F249" s="92"/>
      <c r="G249" s="93"/>
      <c r="H249" s="94"/>
      <c r="I249" s="95"/>
      <c r="J249" s="96" t="str">
        <f aca="false">IF(TRIM($C249)="","",IF($M249&lt;&gt;"OK",$M249,IF(ABS(SUMIFS($F:$F,$C:$C,TRIM($C249))-SUMIFS($G:$G,$C:$C,TRIM($C249)))&lt;0.005,"OK","ERROR - veprimi nuk balancohet")))</f>
        <v/>
      </c>
      <c r="K249" s="97" t="str">
        <f aca="false">IF($D249="","",IFERROR(VLOOKUP($D249,PLANI_LLOGARIVE!$A:$J,10,FALSE()),FALSE()))</f>
        <v/>
      </c>
      <c r="L249" s="97" t="str">
        <f aca="false">IF($D249="","",IFERROR(VLOOKUP($D249,PLANI_LLOGARIVE!$A:$G,7,FALSE()),"NUK EKZISTON"))</f>
        <v/>
      </c>
      <c r="M249" s="98" t="str">
        <f aca="false">IF($D249="","",IF(COUNTIF(PLANI_LLOGARIVE!$A:$A,$D249)=0,"ERROR - llogaria nuk ekziston",IF($K249=TRUE(),"OK","ERROR - llogari jo-postuese/Header")))</f>
        <v/>
      </c>
      <c r="N249" s="99" t="str">
        <f aca="false">IF(TRIM($C249)="","",IF(ABS(SUMIFS($F:$F,$C:$C,TRIM($C249))-SUMIFS($G:$G,$C:$C,TRIM($C249)))&lt;0.005,"OK","ERROR - debi/kredi"))</f>
        <v/>
      </c>
      <c r="O249" s="88"/>
      <c r="P249" s="88"/>
      <c r="Q249" s="88"/>
      <c r="R249" s="88"/>
      <c r="S249" s="100" t="str">
        <f aca="false">IF(D249="","",LEFT(D249&amp;"",2))</f>
        <v/>
      </c>
      <c r="T249" s="101" t="str">
        <f aca="false">IF(D249="","",LEFT(D249&amp;"",3))</f>
        <v/>
      </c>
    </row>
    <row r="250" customFormat="false" ht="14.25" hidden="false" customHeight="true" outlineLevel="0" collapsed="false">
      <c r="A250" s="89"/>
      <c r="B250" s="90"/>
      <c r="C250" s="90"/>
      <c r="D250" s="90"/>
      <c r="E250" s="91" t="str">
        <f aca="false">IFERROR(VLOOKUP(D250,PLANI_LLOGARIVE!$A:$B,2,FALSE()),"")</f>
        <v/>
      </c>
      <c r="F250" s="92"/>
      <c r="G250" s="93"/>
      <c r="H250" s="94"/>
      <c r="I250" s="95"/>
      <c r="J250" s="96" t="str">
        <f aca="false">IF(TRIM($C250)="","",IF($M250&lt;&gt;"OK",$M250,IF(ABS(SUMIFS($F:$F,$C:$C,TRIM($C250))-SUMIFS($G:$G,$C:$C,TRIM($C250)))&lt;0.005,"OK","ERROR - veprimi nuk balancohet")))</f>
        <v/>
      </c>
      <c r="K250" s="97" t="str">
        <f aca="false">IF($D250="","",IFERROR(VLOOKUP($D250,PLANI_LLOGARIVE!$A:$J,10,FALSE()),FALSE()))</f>
        <v/>
      </c>
      <c r="L250" s="97" t="str">
        <f aca="false">IF($D250="","",IFERROR(VLOOKUP($D250,PLANI_LLOGARIVE!$A:$G,7,FALSE()),"NUK EKZISTON"))</f>
        <v/>
      </c>
      <c r="M250" s="98" t="str">
        <f aca="false">IF($D250="","",IF(COUNTIF(PLANI_LLOGARIVE!$A:$A,$D250)=0,"ERROR - llogaria nuk ekziston",IF($K250=TRUE(),"OK","ERROR - llogari jo-postuese/Header")))</f>
        <v/>
      </c>
      <c r="N250" s="99" t="str">
        <f aca="false">IF(TRIM($C250)="","",IF(ABS(SUMIFS($F:$F,$C:$C,TRIM($C250))-SUMIFS($G:$G,$C:$C,TRIM($C250)))&lt;0.005,"OK","ERROR - debi/kredi"))</f>
        <v/>
      </c>
      <c r="O250" s="88"/>
      <c r="P250" s="88"/>
      <c r="Q250" s="88"/>
      <c r="R250" s="88"/>
      <c r="S250" s="100" t="str">
        <f aca="false">IF(D250="","",LEFT(D250&amp;"",2))</f>
        <v/>
      </c>
      <c r="T250" s="101" t="str">
        <f aca="false">IF(D250="","",LEFT(D250&amp;"",3))</f>
        <v/>
      </c>
    </row>
    <row r="251" customFormat="false" ht="14.25" hidden="false" customHeight="true" outlineLevel="0" collapsed="false">
      <c r="A251" s="89"/>
      <c r="B251" s="90"/>
      <c r="C251" s="90"/>
      <c r="D251" s="90"/>
      <c r="E251" s="91" t="str">
        <f aca="false">IFERROR(VLOOKUP(D251,PLANI_LLOGARIVE!$A:$B,2,FALSE()),"")</f>
        <v/>
      </c>
      <c r="F251" s="92"/>
      <c r="G251" s="93"/>
      <c r="H251" s="94"/>
      <c r="I251" s="95"/>
      <c r="J251" s="96" t="str">
        <f aca="false">IF(TRIM($C251)="","",IF($M251&lt;&gt;"OK",$M251,IF(ABS(SUMIFS($F:$F,$C:$C,TRIM($C251))-SUMIFS($G:$G,$C:$C,TRIM($C251)))&lt;0.005,"OK","ERROR - veprimi nuk balancohet")))</f>
        <v/>
      </c>
      <c r="K251" s="97" t="str">
        <f aca="false">IF($D251="","",IFERROR(VLOOKUP($D251,PLANI_LLOGARIVE!$A:$J,10,FALSE()),FALSE()))</f>
        <v/>
      </c>
      <c r="L251" s="97" t="str">
        <f aca="false">IF($D251="","",IFERROR(VLOOKUP($D251,PLANI_LLOGARIVE!$A:$G,7,FALSE()),"NUK EKZISTON"))</f>
        <v/>
      </c>
      <c r="M251" s="98" t="str">
        <f aca="false">IF($D251="","",IF(COUNTIF(PLANI_LLOGARIVE!$A:$A,$D251)=0,"ERROR - llogaria nuk ekziston",IF($K251=TRUE(),"OK","ERROR - llogari jo-postuese/Header")))</f>
        <v/>
      </c>
      <c r="N251" s="99" t="str">
        <f aca="false">IF(TRIM($C251)="","",IF(ABS(SUMIFS($F:$F,$C:$C,TRIM($C251))-SUMIFS($G:$G,$C:$C,TRIM($C251)))&lt;0.005,"OK","ERROR - debi/kredi"))</f>
        <v/>
      </c>
      <c r="O251" s="88"/>
      <c r="P251" s="88"/>
      <c r="Q251" s="88"/>
      <c r="R251" s="88"/>
      <c r="S251" s="100" t="str">
        <f aca="false">IF(D251="","",LEFT(D251&amp;"",2))</f>
        <v/>
      </c>
      <c r="T251" s="101" t="str">
        <f aca="false">IF(D251="","",LEFT(D251&amp;"",3))</f>
        <v/>
      </c>
    </row>
    <row r="252" customFormat="false" ht="14.25" hidden="false" customHeight="true" outlineLevel="0" collapsed="false">
      <c r="A252" s="89"/>
      <c r="B252" s="90"/>
      <c r="C252" s="90"/>
      <c r="D252" s="90"/>
      <c r="E252" s="91" t="str">
        <f aca="false">IFERROR(VLOOKUP(D252,PLANI_LLOGARIVE!$A:$B,2,FALSE()),"")</f>
        <v/>
      </c>
      <c r="F252" s="92"/>
      <c r="G252" s="93"/>
      <c r="H252" s="94"/>
      <c r="I252" s="95"/>
      <c r="J252" s="96" t="str">
        <f aca="false">IF(TRIM($C252)="","",IF($M252&lt;&gt;"OK",$M252,IF(ABS(SUMIFS($F:$F,$C:$C,TRIM($C252))-SUMIFS($G:$G,$C:$C,TRIM($C252)))&lt;0.005,"OK","ERROR - veprimi nuk balancohet")))</f>
        <v/>
      </c>
      <c r="K252" s="97" t="str">
        <f aca="false">IF($D252="","",IFERROR(VLOOKUP($D252,PLANI_LLOGARIVE!$A:$J,10,FALSE()),FALSE()))</f>
        <v/>
      </c>
      <c r="L252" s="97" t="str">
        <f aca="false">IF($D252="","",IFERROR(VLOOKUP($D252,PLANI_LLOGARIVE!$A:$G,7,FALSE()),"NUK EKZISTON"))</f>
        <v/>
      </c>
      <c r="M252" s="98" t="str">
        <f aca="false">IF($D252="","",IF(COUNTIF(PLANI_LLOGARIVE!$A:$A,$D252)=0,"ERROR - llogaria nuk ekziston",IF($K252=TRUE(),"OK","ERROR - llogari jo-postuese/Header")))</f>
        <v/>
      </c>
      <c r="N252" s="99" t="str">
        <f aca="false">IF(TRIM($C252)="","",IF(ABS(SUMIFS($F:$F,$C:$C,TRIM($C252))-SUMIFS($G:$G,$C:$C,TRIM($C252)))&lt;0.005,"OK","ERROR - debi/kredi"))</f>
        <v/>
      </c>
      <c r="O252" s="88"/>
      <c r="P252" s="88"/>
      <c r="Q252" s="88"/>
      <c r="R252" s="88"/>
      <c r="S252" s="100" t="str">
        <f aca="false">IF(D252="","",LEFT(D252&amp;"",2))</f>
        <v/>
      </c>
      <c r="T252" s="101" t="str">
        <f aca="false">IF(D252="","",LEFT(D252&amp;"",3))</f>
        <v/>
      </c>
    </row>
    <row r="253" customFormat="false" ht="14.25" hidden="false" customHeight="true" outlineLevel="0" collapsed="false">
      <c r="A253" s="89"/>
      <c r="B253" s="90"/>
      <c r="C253" s="90"/>
      <c r="D253" s="90"/>
      <c r="E253" s="91" t="str">
        <f aca="false">IFERROR(VLOOKUP(D253,PLANI_LLOGARIVE!$A:$B,2,FALSE()),"")</f>
        <v/>
      </c>
      <c r="F253" s="92"/>
      <c r="G253" s="93"/>
      <c r="H253" s="94"/>
      <c r="I253" s="95"/>
      <c r="J253" s="96" t="str">
        <f aca="false">IF(TRIM($C253)="","",IF($M253&lt;&gt;"OK",$M253,IF(ABS(SUMIFS($F:$F,$C:$C,TRIM($C253))-SUMIFS($G:$G,$C:$C,TRIM($C253)))&lt;0.005,"OK","ERROR - veprimi nuk balancohet")))</f>
        <v/>
      </c>
      <c r="K253" s="97" t="str">
        <f aca="false">IF($D253="","",IFERROR(VLOOKUP($D253,PLANI_LLOGARIVE!$A:$J,10,FALSE()),FALSE()))</f>
        <v/>
      </c>
      <c r="L253" s="97" t="str">
        <f aca="false">IF($D253="","",IFERROR(VLOOKUP($D253,PLANI_LLOGARIVE!$A:$G,7,FALSE()),"NUK EKZISTON"))</f>
        <v/>
      </c>
      <c r="M253" s="98" t="str">
        <f aca="false">IF($D253="","",IF(COUNTIF(PLANI_LLOGARIVE!$A:$A,$D253)=0,"ERROR - llogaria nuk ekziston",IF($K253=TRUE(),"OK","ERROR - llogari jo-postuese/Header")))</f>
        <v/>
      </c>
      <c r="N253" s="99" t="str">
        <f aca="false">IF(TRIM($C253)="","",IF(ABS(SUMIFS($F:$F,$C:$C,TRIM($C253))-SUMIFS($G:$G,$C:$C,TRIM($C253)))&lt;0.005,"OK","ERROR - debi/kredi"))</f>
        <v/>
      </c>
      <c r="O253" s="88"/>
      <c r="P253" s="88"/>
      <c r="Q253" s="88"/>
      <c r="R253" s="88"/>
      <c r="S253" s="100" t="str">
        <f aca="false">IF(D253="","",LEFT(D253&amp;"",2))</f>
        <v/>
      </c>
      <c r="T253" s="101" t="str">
        <f aca="false">IF(D253="","",LEFT(D253&amp;"",3))</f>
        <v/>
      </c>
    </row>
    <row r="254" customFormat="false" ht="14.25" hidden="false" customHeight="true" outlineLevel="0" collapsed="false">
      <c r="A254" s="89"/>
      <c r="B254" s="90"/>
      <c r="C254" s="90"/>
      <c r="D254" s="90"/>
      <c r="E254" s="91" t="str">
        <f aca="false">IFERROR(VLOOKUP(D254,PLANI_LLOGARIVE!$A:$B,2,FALSE()),"")</f>
        <v/>
      </c>
      <c r="F254" s="92"/>
      <c r="G254" s="93"/>
      <c r="H254" s="94"/>
      <c r="I254" s="95"/>
      <c r="J254" s="96" t="str">
        <f aca="false">IF(TRIM($C254)="","",IF($M254&lt;&gt;"OK",$M254,IF(ABS(SUMIFS($F:$F,$C:$C,TRIM($C254))-SUMIFS($G:$G,$C:$C,TRIM($C254)))&lt;0.005,"OK","ERROR - veprimi nuk balancohet")))</f>
        <v/>
      </c>
      <c r="K254" s="97" t="str">
        <f aca="false">IF($D254="","",IFERROR(VLOOKUP($D254,PLANI_LLOGARIVE!$A:$J,10,FALSE()),FALSE()))</f>
        <v/>
      </c>
      <c r="L254" s="97" t="str">
        <f aca="false">IF($D254="","",IFERROR(VLOOKUP($D254,PLANI_LLOGARIVE!$A:$G,7,FALSE()),"NUK EKZISTON"))</f>
        <v/>
      </c>
      <c r="M254" s="98" t="str">
        <f aca="false">IF($D254="","",IF(COUNTIF(PLANI_LLOGARIVE!$A:$A,$D254)=0,"ERROR - llogaria nuk ekziston",IF($K254=TRUE(),"OK","ERROR - llogari jo-postuese/Header")))</f>
        <v/>
      </c>
      <c r="N254" s="99" t="str">
        <f aca="false">IF(TRIM($C254)="","",IF(ABS(SUMIFS($F:$F,$C:$C,TRIM($C254))-SUMIFS($G:$G,$C:$C,TRIM($C254)))&lt;0.005,"OK","ERROR - debi/kredi"))</f>
        <v/>
      </c>
      <c r="O254" s="88"/>
      <c r="P254" s="88"/>
      <c r="Q254" s="88"/>
      <c r="R254" s="88"/>
      <c r="S254" s="100" t="str">
        <f aca="false">IF(D254="","",LEFT(D254&amp;"",2))</f>
        <v/>
      </c>
      <c r="T254" s="101" t="str">
        <f aca="false">IF(D254="","",LEFT(D254&amp;"",3))</f>
        <v/>
      </c>
    </row>
    <row r="255" customFormat="false" ht="14.25" hidden="false" customHeight="true" outlineLevel="0" collapsed="false">
      <c r="A255" s="89"/>
      <c r="B255" s="90"/>
      <c r="C255" s="90"/>
      <c r="D255" s="90"/>
      <c r="E255" s="91" t="str">
        <f aca="false">IFERROR(VLOOKUP(D255,PLANI_LLOGARIVE!$A:$B,2,FALSE()),"")</f>
        <v/>
      </c>
      <c r="F255" s="92"/>
      <c r="G255" s="93"/>
      <c r="H255" s="94"/>
      <c r="I255" s="95"/>
      <c r="J255" s="96" t="str">
        <f aca="false">IF(TRIM($C255)="","",IF($M255&lt;&gt;"OK",$M255,IF(ABS(SUMIFS($F:$F,$C:$C,TRIM($C255))-SUMIFS($G:$G,$C:$C,TRIM($C255)))&lt;0.005,"OK","ERROR - veprimi nuk balancohet")))</f>
        <v/>
      </c>
      <c r="K255" s="97" t="str">
        <f aca="false">IF($D255="","",IFERROR(VLOOKUP($D255,PLANI_LLOGARIVE!$A:$J,10,FALSE()),FALSE()))</f>
        <v/>
      </c>
      <c r="L255" s="97" t="str">
        <f aca="false">IF($D255="","",IFERROR(VLOOKUP($D255,PLANI_LLOGARIVE!$A:$G,7,FALSE()),"NUK EKZISTON"))</f>
        <v/>
      </c>
      <c r="M255" s="98" t="str">
        <f aca="false">IF($D255="","",IF(COUNTIF(PLANI_LLOGARIVE!$A:$A,$D255)=0,"ERROR - llogaria nuk ekziston",IF($K255=TRUE(),"OK","ERROR - llogari jo-postuese/Header")))</f>
        <v/>
      </c>
      <c r="N255" s="99" t="str">
        <f aca="false">IF(TRIM($C255)="","",IF(ABS(SUMIFS($F:$F,$C:$C,TRIM($C255))-SUMIFS($G:$G,$C:$C,TRIM($C255)))&lt;0.005,"OK","ERROR - debi/kredi"))</f>
        <v/>
      </c>
      <c r="O255" s="88"/>
      <c r="P255" s="88"/>
      <c r="Q255" s="88"/>
      <c r="R255" s="88"/>
      <c r="S255" s="100" t="str">
        <f aca="false">IF(D255="","",LEFT(D255&amp;"",2))</f>
        <v/>
      </c>
      <c r="T255" s="101" t="str">
        <f aca="false">IF(D255="","",LEFT(D255&amp;"",3))</f>
        <v/>
      </c>
    </row>
    <row r="256" customFormat="false" ht="14.25" hidden="false" customHeight="true" outlineLevel="0" collapsed="false">
      <c r="A256" s="89"/>
      <c r="B256" s="90"/>
      <c r="C256" s="90"/>
      <c r="D256" s="90"/>
      <c r="E256" s="91" t="str">
        <f aca="false">IFERROR(VLOOKUP(D256,PLANI_LLOGARIVE!$A:$B,2,FALSE()),"")</f>
        <v/>
      </c>
      <c r="F256" s="92"/>
      <c r="G256" s="93"/>
      <c r="H256" s="94"/>
      <c r="I256" s="95"/>
      <c r="J256" s="96" t="str">
        <f aca="false">IF(TRIM($C256)="","",IF($M256&lt;&gt;"OK",$M256,IF(ABS(SUMIFS($F:$F,$C:$C,TRIM($C256))-SUMIFS($G:$G,$C:$C,TRIM($C256)))&lt;0.005,"OK","ERROR - veprimi nuk balancohet")))</f>
        <v/>
      </c>
      <c r="K256" s="97" t="str">
        <f aca="false">IF($D256="","",IFERROR(VLOOKUP($D256,PLANI_LLOGARIVE!$A:$J,10,FALSE()),FALSE()))</f>
        <v/>
      </c>
      <c r="L256" s="97" t="str">
        <f aca="false">IF($D256="","",IFERROR(VLOOKUP($D256,PLANI_LLOGARIVE!$A:$G,7,FALSE()),"NUK EKZISTON"))</f>
        <v/>
      </c>
      <c r="M256" s="98" t="str">
        <f aca="false">IF($D256="","",IF(COUNTIF(PLANI_LLOGARIVE!$A:$A,$D256)=0,"ERROR - llogaria nuk ekziston",IF($K256=TRUE(),"OK","ERROR - llogari jo-postuese/Header")))</f>
        <v/>
      </c>
      <c r="N256" s="99" t="str">
        <f aca="false">IF(TRIM($C256)="","",IF(ABS(SUMIFS($F:$F,$C:$C,TRIM($C256))-SUMIFS($G:$G,$C:$C,TRIM($C256)))&lt;0.005,"OK","ERROR - debi/kredi"))</f>
        <v/>
      </c>
      <c r="O256" s="88"/>
      <c r="P256" s="88"/>
      <c r="Q256" s="88"/>
      <c r="R256" s="88"/>
      <c r="S256" s="100" t="str">
        <f aca="false">IF(D256="","",LEFT(D256&amp;"",2))</f>
        <v/>
      </c>
      <c r="T256" s="101" t="str">
        <f aca="false">IF(D256="","",LEFT(D256&amp;"",3))</f>
        <v/>
      </c>
    </row>
    <row r="257" customFormat="false" ht="14.25" hidden="false" customHeight="true" outlineLevel="0" collapsed="false">
      <c r="A257" s="89"/>
      <c r="B257" s="90"/>
      <c r="C257" s="90"/>
      <c r="D257" s="90"/>
      <c r="E257" s="91" t="str">
        <f aca="false">IFERROR(VLOOKUP(D257,PLANI_LLOGARIVE!$A:$B,2,FALSE()),"")</f>
        <v/>
      </c>
      <c r="F257" s="92"/>
      <c r="G257" s="93"/>
      <c r="H257" s="94"/>
      <c r="I257" s="95"/>
      <c r="J257" s="96" t="str">
        <f aca="false">IF(TRIM($C257)="","",IF($M257&lt;&gt;"OK",$M257,IF(ABS(SUMIFS($F:$F,$C:$C,TRIM($C257))-SUMIFS($G:$G,$C:$C,TRIM($C257)))&lt;0.005,"OK","ERROR - veprimi nuk balancohet")))</f>
        <v/>
      </c>
      <c r="K257" s="97" t="str">
        <f aca="false">IF($D257="","",IFERROR(VLOOKUP($D257,PLANI_LLOGARIVE!$A:$J,10,FALSE()),FALSE()))</f>
        <v/>
      </c>
      <c r="L257" s="97" t="str">
        <f aca="false">IF($D257="","",IFERROR(VLOOKUP($D257,PLANI_LLOGARIVE!$A:$G,7,FALSE()),"NUK EKZISTON"))</f>
        <v/>
      </c>
      <c r="M257" s="98" t="str">
        <f aca="false">IF($D257="","",IF(COUNTIF(PLANI_LLOGARIVE!$A:$A,$D257)=0,"ERROR - llogaria nuk ekziston",IF($K257=TRUE(),"OK","ERROR - llogari jo-postuese/Header")))</f>
        <v/>
      </c>
      <c r="N257" s="99" t="str">
        <f aca="false">IF(TRIM($C257)="","",IF(ABS(SUMIFS($F:$F,$C:$C,TRIM($C257))-SUMIFS($G:$G,$C:$C,TRIM($C257)))&lt;0.005,"OK","ERROR - debi/kredi"))</f>
        <v/>
      </c>
      <c r="O257" s="88"/>
      <c r="P257" s="88"/>
      <c r="Q257" s="88"/>
      <c r="R257" s="88"/>
      <c r="S257" s="100" t="str">
        <f aca="false">IF(D257="","",LEFT(D257&amp;"",2))</f>
        <v/>
      </c>
      <c r="T257" s="101" t="str">
        <f aca="false">IF(D257="","",LEFT(D257&amp;"",3))</f>
        <v/>
      </c>
    </row>
    <row r="258" customFormat="false" ht="14.25" hidden="false" customHeight="true" outlineLevel="0" collapsed="false">
      <c r="A258" s="89"/>
      <c r="B258" s="90"/>
      <c r="C258" s="90"/>
      <c r="D258" s="90"/>
      <c r="E258" s="91" t="str">
        <f aca="false">IFERROR(VLOOKUP(D258,PLANI_LLOGARIVE!$A:$B,2,FALSE()),"")</f>
        <v/>
      </c>
      <c r="F258" s="92"/>
      <c r="G258" s="93"/>
      <c r="H258" s="94"/>
      <c r="I258" s="95"/>
      <c r="J258" s="96" t="str">
        <f aca="false">IF(TRIM($C258)="","",IF($M258&lt;&gt;"OK",$M258,IF(ABS(SUMIFS($F:$F,$C:$C,TRIM($C258))-SUMIFS($G:$G,$C:$C,TRIM($C258)))&lt;0.005,"OK","ERROR - veprimi nuk balancohet")))</f>
        <v/>
      </c>
      <c r="K258" s="97" t="str">
        <f aca="false">IF($D258="","",IFERROR(VLOOKUP($D258,PLANI_LLOGARIVE!$A:$J,10,FALSE()),FALSE()))</f>
        <v/>
      </c>
      <c r="L258" s="97" t="str">
        <f aca="false">IF($D258="","",IFERROR(VLOOKUP($D258,PLANI_LLOGARIVE!$A:$G,7,FALSE()),"NUK EKZISTON"))</f>
        <v/>
      </c>
      <c r="M258" s="98" t="str">
        <f aca="false">IF($D258="","",IF(COUNTIF(PLANI_LLOGARIVE!$A:$A,$D258)=0,"ERROR - llogaria nuk ekziston",IF($K258=TRUE(),"OK","ERROR - llogari jo-postuese/Header")))</f>
        <v/>
      </c>
      <c r="N258" s="99" t="str">
        <f aca="false">IF(TRIM($C258)="","",IF(ABS(SUMIFS($F:$F,$C:$C,TRIM($C258))-SUMIFS($G:$G,$C:$C,TRIM($C258)))&lt;0.005,"OK","ERROR - debi/kredi"))</f>
        <v/>
      </c>
      <c r="O258" s="88"/>
      <c r="P258" s="88"/>
      <c r="Q258" s="88"/>
      <c r="R258" s="88"/>
      <c r="S258" s="100" t="str">
        <f aca="false">IF(D258="","",LEFT(D258&amp;"",2))</f>
        <v/>
      </c>
      <c r="T258" s="101" t="str">
        <f aca="false">IF(D258="","",LEFT(D258&amp;"",3))</f>
        <v/>
      </c>
    </row>
    <row r="259" customFormat="false" ht="14.25" hidden="false" customHeight="true" outlineLevel="0" collapsed="false">
      <c r="A259" s="89"/>
      <c r="B259" s="90"/>
      <c r="C259" s="90"/>
      <c r="D259" s="90"/>
      <c r="E259" s="91" t="str">
        <f aca="false">IFERROR(VLOOKUP(D259,PLANI_LLOGARIVE!$A:$B,2,FALSE()),"")</f>
        <v/>
      </c>
      <c r="F259" s="92"/>
      <c r="G259" s="93"/>
      <c r="H259" s="94"/>
      <c r="I259" s="95"/>
      <c r="J259" s="96" t="str">
        <f aca="false">IF(TRIM($C259)="","",IF($M259&lt;&gt;"OK",$M259,IF(ABS(SUMIFS($F:$F,$C:$C,TRIM($C259))-SUMIFS($G:$G,$C:$C,TRIM($C259)))&lt;0.005,"OK","ERROR - veprimi nuk balancohet")))</f>
        <v/>
      </c>
      <c r="K259" s="97" t="str">
        <f aca="false">IF($D259="","",IFERROR(VLOOKUP($D259,PLANI_LLOGARIVE!$A:$J,10,FALSE()),FALSE()))</f>
        <v/>
      </c>
      <c r="L259" s="97" t="str">
        <f aca="false">IF($D259="","",IFERROR(VLOOKUP($D259,PLANI_LLOGARIVE!$A:$G,7,FALSE()),"NUK EKZISTON"))</f>
        <v/>
      </c>
      <c r="M259" s="98" t="str">
        <f aca="false">IF($D259="","",IF(COUNTIF(PLANI_LLOGARIVE!$A:$A,$D259)=0,"ERROR - llogaria nuk ekziston",IF($K259=TRUE(),"OK","ERROR - llogari jo-postuese/Header")))</f>
        <v/>
      </c>
      <c r="N259" s="99" t="str">
        <f aca="false">IF(TRIM($C259)="","",IF(ABS(SUMIFS($F:$F,$C:$C,TRIM($C259))-SUMIFS($G:$G,$C:$C,TRIM($C259)))&lt;0.005,"OK","ERROR - debi/kredi"))</f>
        <v/>
      </c>
      <c r="O259" s="88"/>
      <c r="P259" s="88"/>
      <c r="Q259" s="88"/>
      <c r="R259" s="88"/>
      <c r="S259" s="100" t="str">
        <f aca="false">IF(D259="","",LEFT(D259&amp;"",2))</f>
        <v/>
      </c>
      <c r="T259" s="101" t="str">
        <f aca="false">IF(D259="","",LEFT(D259&amp;"",3))</f>
        <v/>
      </c>
    </row>
    <row r="260" customFormat="false" ht="14.25" hidden="false" customHeight="true" outlineLevel="0" collapsed="false">
      <c r="A260" s="89"/>
      <c r="B260" s="90"/>
      <c r="C260" s="90"/>
      <c r="D260" s="90"/>
      <c r="E260" s="91" t="str">
        <f aca="false">IFERROR(VLOOKUP(D260,PLANI_LLOGARIVE!$A:$B,2,FALSE()),"")</f>
        <v/>
      </c>
      <c r="F260" s="92"/>
      <c r="G260" s="93"/>
      <c r="H260" s="94"/>
      <c r="I260" s="95"/>
      <c r="J260" s="96" t="str">
        <f aca="false">IF(TRIM($C260)="","",IF($M260&lt;&gt;"OK",$M260,IF(ABS(SUMIFS($F:$F,$C:$C,TRIM($C260))-SUMIFS($G:$G,$C:$C,TRIM($C260)))&lt;0.005,"OK","ERROR - veprimi nuk balancohet")))</f>
        <v/>
      </c>
      <c r="K260" s="97" t="str">
        <f aca="false">IF($D260="","",IFERROR(VLOOKUP($D260,PLANI_LLOGARIVE!$A:$J,10,FALSE()),FALSE()))</f>
        <v/>
      </c>
      <c r="L260" s="97" t="str">
        <f aca="false">IF($D260="","",IFERROR(VLOOKUP($D260,PLANI_LLOGARIVE!$A:$G,7,FALSE()),"NUK EKZISTON"))</f>
        <v/>
      </c>
      <c r="M260" s="98" t="str">
        <f aca="false">IF($D260="","",IF(COUNTIF(PLANI_LLOGARIVE!$A:$A,$D260)=0,"ERROR - llogaria nuk ekziston",IF($K260=TRUE(),"OK","ERROR - llogari jo-postuese/Header")))</f>
        <v/>
      </c>
      <c r="N260" s="99" t="str">
        <f aca="false">IF(TRIM($C260)="","",IF(ABS(SUMIFS($F:$F,$C:$C,TRIM($C260))-SUMIFS($G:$G,$C:$C,TRIM($C260)))&lt;0.005,"OK","ERROR - debi/kredi"))</f>
        <v/>
      </c>
      <c r="O260" s="88"/>
      <c r="P260" s="88"/>
      <c r="Q260" s="88"/>
      <c r="R260" s="88"/>
      <c r="S260" s="100" t="str">
        <f aca="false">IF(D260="","",LEFT(D260&amp;"",2))</f>
        <v/>
      </c>
      <c r="T260" s="101" t="str">
        <f aca="false">IF(D260="","",LEFT(D260&amp;"",3))</f>
        <v/>
      </c>
    </row>
    <row r="261" customFormat="false" ht="14.25" hidden="false" customHeight="true" outlineLevel="0" collapsed="false">
      <c r="A261" s="89"/>
      <c r="B261" s="90"/>
      <c r="C261" s="90"/>
      <c r="D261" s="90"/>
      <c r="E261" s="91" t="str">
        <f aca="false">IFERROR(VLOOKUP(D261,PLANI_LLOGARIVE!$A:$B,2,FALSE()),"")</f>
        <v/>
      </c>
      <c r="F261" s="92"/>
      <c r="G261" s="93"/>
      <c r="H261" s="94"/>
      <c r="I261" s="95"/>
      <c r="J261" s="96" t="str">
        <f aca="false">IF(TRIM($C261)="","",IF($M261&lt;&gt;"OK",$M261,IF(ABS(SUMIFS($F:$F,$C:$C,TRIM($C261))-SUMIFS($G:$G,$C:$C,TRIM($C261)))&lt;0.005,"OK","ERROR - veprimi nuk balancohet")))</f>
        <v/>
      </c>
      <c r="K261" s="97" t="str">
        <f aca="false">IF($D261="","",IFERROR(VLOOKUP($D261,PLANI_LLOGARIVE!$A:$J,10,FALSE()),FALSE()))</f>
        <v/>
      </c>
      <c r="L261" s="97" t="str">
        <f aca="false">IF($D261="","",IFERROR(VLOOKUP($D261,PLANI_LLOGARIVE!$A:$G,7,FALSE()),"NUK EKZISTON"))</f>
        <v/>
      </c>
      <c r="M261" s="98" t="str">
        <f aca="false">IF($D261="","",IF(COUNTIF(PLANI_LLOGARIVE!$A:$A,$D261)=0,"ERROR - llogaria nuk ekziston",IF($K261=TRUE(),"OK","ERROR - llogari jo-postuese/Header")))</f>
        <v/>
      </c>
      <c r="N261" s="99" t="str">
        <f aca="false">IF(TRIM($C261)="","",IF(ABS(SUMIFS($F:$F,$C:$C,TRIM($C261))-SUMIFS($G:$G,$C:$C,TRIM($C261)))&lt;0.005,"OK","ERROR - debi/kredi"))</f>
        <v/>
      </c>
      <c r="O261" s="88"/>
      <c r="P261" s="88"/>
      <c r="Q261" s="88"/>
      <c r="R261" s="88"/>
      <c r="S261" s="100" t="str">
        <f aca="false">IF(D261="","",LEFT(D261&amp;"",2))</f>
        <v/>
      </c>
      <c r="T261" s="101" t="str">
        <f aca="false">IF(D261="","",LEFT(D261&amp;"",3))</f>
        <v/>
      </c>
    </row>
    <row r="262" customFormat="false" ht="14.25" hidden="false" customHeight="true" outlineLevel="0" collapsed="false">
      <c r="A262" s="89"/>
      <c r="B262" s="90"/>
      <c r="C262" s="90"/>
      <c r="D262" s="90"/>
      <c r="E262" s="91" t="str">
        <f aca="false">IFERROR(VLOOKUP(D262,PLANI_LLOGARIVE!$A:$B,2,FALSE()),"")</f>
        <v/>
      </c>
      <c r="F262" s="92"/>
      <c r="G262" s="93"/>
      <c r="H262" s="94"/>
      <c r="I262" s="95"/>
      <c r="J262" s="96" t="str">
        <f aca="false">IF(TRIM($C262)="","",IF($M262&lt;&gt;"OK",$M262,IF(ABS(SUMIFS($F:$F,$C:$C,TRIM($C262))-SUMIFS($G:$G,$C:$C,TRIM($C262)))&lt;0.005,"OK","ERROR - veprimi nuk balancohet")))</f>
        <v/>
      </c>
      <c r="K262" s="97" t="str">
        <f aca="false">IF($D262="","",IFERROR(VLOOKUP($D262,PLANI_LLOGARIVE!$A:$J,10,FALSE()),FALSE()))</f>
        <v/>
      </c>
      <c r="L262" s="97" t="str">
        <f aca="false">IF($D262="","",IFERROR(VLOOKUP($D262,PLANI_LLOGARIVE!$A:$G,7,FALSE()),"NUK EKZISTON"))</f>
        <v/>
      </c>
      <c r="M262" s="98" t="str">
        <f aca="false">IF($D262="","",IF(COUNTIF(PLANI_LLOGARIVE!$A:$A,$D262)=0,"ERROR - llogaria nuk ekziston",IF($K262=TRUE(),"OK","ERROR - llogari jo-postuese/Header")))</f>
        <v/>
      </c>
      <c r="N262" s="99" t="str">
        <f aca="false">IF(TRIM($C262)="","",IF(ABS(SUMIFS($F:$F,$C:$C,TRIM($C262))-SUMIFS($G:$G,$C:$C,TRIM($C262)))&lt;0.005,"OK","ERROR - debi/kredi"))</f>
        <v/>
      </c>
      <c r="O262" s="88"/>
      <c r="P262" s="88"/>
      <c r="Q262" s="88"/>
      <c r="R262" s="88"/>
      <c r="S262" s="100" t="str">
        <f aca="false">IF(D262="","",LEFT(D262&amp;"",2))</f>
        <v/>
      </c>
      <c r="T262" s="101" t="str">
        <f aca="false">IF(D262="","",LEFT(D262&amp;"",3))</f>
        <v/>
      </c>
    </row>
    <row r="263" customFormat="false" ht="14.25" hidden="false" customHeight="true" outlineLevel="0" collapsed="false">
      <c r="A263" s="89"/>
      <c r="B263" s="90"/>
      <c r="C263" s="90"/>
      <c r="D263" s="90"/>
      <c r="E263" s="91" t="str">
        <f aca="false">IFERROR(VLOOKUP(D263,PLANI_LLOGARIVE!$A:$B,2,FALSE()),"")</f>
        <v/>
      </c>
      <c r="F263" s="92"/>
      <c r="G263" s="93"/>
      <c r="H263" s="94"/>
      <c r="I263" s="95"/>
      <c r="J263" s="96" t="str">
        <f aca="false">IF(TRIM($C263)="","",IF($M263&lt;&gt;"OK",$M263,IF(ABS(SUMIFS($F:$F,$C:$C,TRIM($C263))-SUMIFS($G:$G,$C:$C,TRIM($C263)))&lt;0.005,"OK","ERROR - veprimi nuk balancohet")))</f>
        <v/>
      </c>
      <c r="K263" s="97" t="str">
        <f aca="false">IF($D263="","",IFERROR(VLOOKUP($D263,PLANI_LLOGARIVE!$A:$J,10,FALSE()),FALSE()))</f>
        <v/>
      </c>
      <c r="L263" s="97" t="str">
        <f aca="false">IF($D263="","",IFERROR(VLOOKUP($D263,PLANI_LLOGARIVE!$A:$G,7,FALSE()),"NUK EKZISTON"))</f>
        <v/>
      </c>
      <c r="M263" s="98" t="str">
        <f aca="false">IF($D263="","",IF(COUNTIF(PLANI_LLOGARIVE!$A:$A,$D263)=0,"ERROR - llogaria nuk ekziston",IF($K263=TRUE(),"OK","ERROR - llogari jo-postuese/Header")))</f>
        <v/>
      </c>
      <c r="N263" s="99" t="str">
        <f aca="false">IF(TRIM($C263)="","",IF(ABS(SUMIFS($F:$F,$C:$C,TRIM($C263))-SUMIFS($G:$G,$C:$C,TRIM($C263)))&lt;0.005,"OK","ERROR - debi/kredi"))</f>
        <v/>
      </c>
      <c r="O263" s="88"/>
      <c r="P263" s="88"/>
      <c r="Q263" s="88"/>
      <c r="R263" s="88"/>
      <c r="S263" s="100" t="str">
        <f aca="false">IF(D263="","",LEFT(D263&amp;"",2))</f>
        <v/>
      </c>
      <c r="T263" s="101" t="str">
        <f aca="false">IF(D263="","",LEFT(D263&amp;"",3))</f>
        <v/>
      </c>
    </row>
    <row r="264" customFormat="false" ht="14.25" hidden="false" customHeight="true" outlineLevel="0" collapsed="false">
      <c r="A264" s="89"/>
      <c r="B264" s="90"/>
      <c r="C264" s="90"/>
      <c r="D264" s="90"/>
      <c r="E264" s="91" t="str">
        <f aca="false">IFERROR(VLOOKUP(D264,PLANI_LLOGARIVE!$A:$B,2,FALSE()),"")</f>
        <v/>
      </c>
      <c r="F264" s="92"/>
      <c r="G264" s="93"/>
      <c r="H264" s="94"/>
      <c r="I264" s="95"/>
      <c r="J264" s="96" t="str">
        <f aca="false">IF(TRIM($C264)="","",IF($M264&lt;&gt;"OK",$M264,IF(ABS(SUMIFS($F:$F,$C:$C,TRIM($C264))-SUMIFS($G:$G,$C:$C,TRIM($C264)))&lt;0.005,"OK","ERROR - veprimi nuk balancohet")))</f>
        <v/>
      </c>
      <c r="K264" s="97" t="str">
        <f aca="false">IF($D264="","",IFERROR(VLOOKUP($D264,PLANI_LLOGARIVE!$A:$J,10,FALSE()),FALSE()))</f>
        <v/>
      </c>
      <c r="L264" s="97" t="str">
        <f aca="false">IF($D264="","",IFERROR(VLOOKUP($D264,PLANI_LLOGARIVE!$A:$G,7,FALSE()),"NUK EKZISTON"))</f>
        <v/>
      </c>
      <c r="M264" s="98" t="str">
        <f aca="false">IF($D264="","",IF(COUNTIF(PLANI_LLOGARIVE!$A:$A,$D264)=0,"ERROR - llogaria nuk ekziston",IF($K264=TRUE(),"OK","ERROR - llogari jo-postuese/Header")))</f>
        <v/>
      </c>
      <c r="N264" s="99" t="str">
        <f aca="false">IF(TRIM($C264)="","",IF(ABS(SUMIFS($F:$F,$C:$C,TRIM($C264))-SUMIFS($G:$G,$C:$C,TRIM($C264)))&lt;0.005,"OK","ERROR - debi/kredi"))</f>
        <v/>
      </c>
      <c r="O264" s="88"/>
      <c r="P264" s="88"/>
      <c r="Q264" s="88"/>
      <c r="R264" s="88"/>
      <c r="S264" s="100" t="str">
        <f aca="false">IF(D264="","",LEFT(D264&amp;"",2))</f>
        <v/>
      </c>
      <c r="T264" s="101" t="str">
        <f aca="false">IF(D264="","",LEFT(D264&amp;"",3))</f>
        <v/>
      </c>
    </row>
    <row r="265" customFormat="false" ht="14.25" hidden="false" customHeight="true" outlineLevel="0" collapsed="false">
      <c r="A265" s="89"/>
      <c r="B265" s="90"/>
      <c r="C265" s="90"/>
      <c r="D265" s="90"/>
      <c r="E265" s="91" t="str">
        <f aca="false">IFERROR(VLOOKUP(D265,PLANI_LLOGARIVE!$A:$B,2,FALSE()),"")</f>
        <v/>
      </c>
      <c r="F265" s="92"/>
      <c r="G265" s="93"/>
      <c r="H265" s="94"/>
      <c r="I265" s="95"/>
      <c r="J265" s="96" t="str">
        <f aca="false">IF(TRIM($C265)="","",IF($M265&lt;&gt;"OK",$M265,IF(ABS(SUMIFS($F:$F,$C:$C,TRIM($C265))-SUMIFS($G:$G,$C:$C,TRIM($C265)))&lt;0.005,"OK","ERROR - veprimi nuk balancohet")))</f>
        <v/>
      </c>
      <c r="K265" s="97" t="str">
        <f aca="false">IF($D265="","",IFERROR(VLOOKUP($D265,PLANI_LLOGARIVE!$A:$J,10,FALSE()),FALSE()))</f>
        <v/>
      </c>
      <c r="L265" s="97" t="str">
        <f aca="false">IF($D265="","",IFERROR(VLOOKUP($D265,PLANI_LLOGARIVE!$A:$G,7,FALSE()),"NUK EKZISTON"))</f>
        <v/>
      </c>
      <c r="M265" s="98" t="str">
        <f aca="false">IF($D265="","",IF(COUNTIF(PLANI_LLOGARIVE!$A:$A,$D265)=0,"ERROR - llogaria nuk ekziston",IF($K265=TRUE(),"OK","ERROR - llogari jo-postuese/Header")))</f>
        <v/>
      </c>
      <c r="N265" s="99" t="str">
        <f aca="false">IF(TRIM($C265)="","",IF(ABS(SUMIFS($F:$F,$C:$C,TRIM($C265))-SUMIFS($G:$G,$C:$C,TRIM($C265)))&lt;0.005,"OK","ERROR - debi/kredi"))</f>
        <v/>
      </c>
      <c r="O265" s="88"/>
      <c r="P265" s="88"/>
      <c r="Q265" s="88"/>
      <c r="R265" s="88"/>
      <c r="S265" s="100" t="str">
        <f aca="false">IF(D265="","",LEFT(D265&amp;"",2))</f>
        <v/>
      </c>
      <c r="T265" s="101" t="str">
        <f aca="false">IF(D265="","",LEFT(D265&amp;"",3))</f>
        <v/>
      </c>
    </row>
    <row r="266" customFormat="false" ht="14.25" hidden="false" customHeight="true" outlineLevel="0" collapsed="false">
      <c r="A266" s="89"/>
      <c r="B266" s="90"/>
      <c r="C266" s="90"/>
      <c r="D266" s="90"/>
      <c r="E266" s="91" t="str">
        <f aca="false">IFERROR(VLOOKUP(D266,PLANI_LLOGARIVE!$A:$B,2,FALSE()),"")</f>
        <v/>
      </c>
      <c r="F266" s="92"/>
      <c r="G266" s="93"/>
      <c r="H266" s="94"/>
      <c r="I266" s="95"/>
      <c r="J266" s="96" t="str">
        <f aca="false">IF(TRIM($C266)="","",IF($M266&lt;&gt;"OK",$M266,IF(ABS(SUMIFS($F:$F,$C:$C,TRIM($C266))-SUMIFS($G:$G,$C:$C,TRIM($C266)))&lt;0.005,"OK","ERROR - veprimi nuk balancohet")))</f>
        <v/>
      </c>
      <c r="K266" s="97" t="str">
        <f aca="false">IF($D266="","",IFERROR(VLOOKUP($D266,PLANI_LLOGARIVE!$A:$J,10,FALSE()),FALSE()))</f>
        <v/>
      </c>
      <c r="L266" s="97" t="str">
        <f aca="false">IF($D266="","",IFERROR(VLOOKUP($D266,PLANI_LLOGARIVE!$A:$G,7,FALSE()),"NUK EKZISTON"))</f>
        <v/>
      </c>
      <c r="M266" s="98" t="str">
        <f aca="false">IF($D266="","",IF(COUNTIF(PLANI_LLOGARIVE!$A:$A,$D266)=0,"ERROR - llogaria nuk ekziston",IF($K266=TRUE(),"OK","ERROR - llogari jo-postuese/Header")))</f>
        <v/>
      </c>
      <c r="N266" s="99" t="str">
        <f aca="false">IF(TRIM($C266)="","",IF(ABS(SUMIFS($F:$F,$C:$C,TRIM($C266))-SUMIFS($G:$G,$C:$C,TRIM($C266)))&lt;0.005,"OK","ERROR - debi/kredi"))</f>
        <v/>
      </c>
      <c r="O266" s="88"/>
      <c r="P266" s="88"/>
      <c r="Q266" s="88"/>
      <c r="R266" s="88"/>
      <c r="S266" s="100" t="str">
        <f aca="false">IF(D266="","",LEFT(D266&amp;"",2))</f>
        <v/>
      </c>
      <c r="T266" s="101" t="str">
        <f aca="false">IF(D266="","",LEFT(D266&amp;"",3))</f>
        <v/>
      </c>
    </row>
    <row r="267" customFormat="false" ht="14.25" hidden="false" customHeight="true" outlineLevel="0" collapsed="false">
      <c r="A267" s="89"/>
      <c r="B267" s="90"/>
      <c r="C267" s="90"/>
      <c r="D267" s="90"/>
      <c r="E267" s="91" t="str">
        <f aca="false">IFERROR(VLOOKUP(D267,PLANI_LLOGARIVE!$A:$B,2,FALSE()),"")</f>
        <v/>
      </c>
      <c r="F267" s="92"/>
      <c r="G267" s="93"/>
      <c r="H267" s="94"/>
      <c r="I267" s="95"/>
      <c r="J267" s="96" t="str">
        <f aca="false">IF(TRIM($C267)="","",IF($M267&lt;&gt;"OK",$M267,IF(ABS(SUMIFS($F:$F,$C:$C,TRIM($C267))-SUMIFS($G:$G,$C:$C,TRIM($C267)))&lt;0.005,"OK","ERROR - veprimi nuk balancohet")))</f>
        <v/>
      </c>
      <c r="K267" s="97" t="str">
        <f aca="false">IF($D267="","",IFERROR(VLOOKUP($D267,PLANI_LLOGARIVE!$A:$J,10,FALSE()),FALSE()))</f>
        <v/>
      </c>
      <c r="L267" s="97" t="str">
        <f aca="false">IF($D267="","",IFERROR(VLOOKUP($D267,PLANI_LLOGARIVE!$A:$G,7,FALSE()),"NUK EKZISTON"))</f>
        <v/>
      </c>
      <c r="M267" s="98" t="str">
        <f aca="false">IF($D267="","",IF(COUNTIF(PLANI_LLOGARIVE!$A:$A,$D267)=0,"ERROR - llogaria nuk ekziston",IF($K267=TRUE(),"OK","ERROR - llogari jo-postuese/Header")))</f>
        <v/>
      </c>
      <c r="N267" s="99" t="str">
        <f aca="false">IF(TRIM($C267)="","",IF(ABS(SUMIFS($F:$F,$C:$C,TRIM($C267))-SUMIFS($G:$G,$C:$C,TRIM($C267)))&lt;0.005,"OK","ERROR - debi/kredi"))</f>
        <v/>
      </c>
      <c r="O267" s="88"/>
      <c r="P267" s="88"/>
      <c r="Q267" s="88"/>
      <c r="R267" s="88"/>
      <c r="S267" s="100" t="str">
        <f aca="false">IF(D267="","",LEFT(D267&amp;"",2))</f>
        <v/>
      </c>
      <c r="T267" s="101" t="str">
        <f aca="false">IF(D267="","",LEFT(D267&amp;"",3))</f>
        <v/>
      </c>
    </row>
    <row r="268" customFormat="false" ht="14.25" hidden="false" customHeight="true" outlineLevel="0" collapsed="false">
      <c r="A268" s="89"/>
      <c r="B268" s="90"/>
      <c r="C268" s="90"/>
      <c r="D268" s="90"/>
      <c r="E268" s="91" t="str">
        <f aca="false">IFERROR(VLOOKUP(D268,PLANI_LLOGARIVE!$A:$B,2,FALSE()),"")</f>
        <v/>
      </c>
      <c r="F268" s="92"/>
      <c r="G268" s="93"/>
      <c r="H268" s="94"/>
      <c r="I268" s="95"/>
      <c r="J268" s="96" t="str">
        <f aca="false">IF(TRIM($C268)="","",IF($M268&lt;&gt;"OK",$M268,IF(ABS(SUMIFS($F:$F,$C:$C,TRIM($C268))-SUMIFS($G:$G,$C:$C,TRIM($C268)))&lt;0.005,"OK","ERROR - veprimi nuk balancohet")))</f>
        <v/>
      </c>
      <c r="K268" s="97" t="str">
        <f aca="false">IF($D268="","",IFERROR(VLOOKUP($D268,PLANI_LLOGARIVE!$A:$J,10,FALSE()),FALSE()))</f>
        <v/>
      </c>
      <c r="L268" s="97" t="str">
        <f aca="false">IF($D268="","",IFERROR(VLOOKUP($D268,PLANI_LLOGARIVE!$A:$G,7,FALSE()),"NUK EKZISTON"))</f>
        <v/>
      </c>
      <c r="M268" s="98" t="str">
        <f aca="false">IF($D268="","",IF(COUNTIF(PLANI_LLOGARIVE!$A:$A,$D268)=0,"ERROR - llogaria nuk ekziston",IF($K268=TRUE(),"OK","ERROR - llogari jo-postuese/Header")))</f>
        <v/>
      </c>
      <c r="N268" s="99" t="str">
        <f aca="false">IF(TRIM($C268)="","",IF(ABS(SUMIFS($F:$F,$C:$C,TRIM($C268))-SUMIFS($G:$G,$C:$C,TRIM($C268)))&lt;0.005,"OK","ERROR - debi/kredi"))</f>
        <v/>
      </c>
      <c r="O268" s="88"/>
      <c r="P268" s="88"/>
      <c r="Q268" s="88"/>
      <c r="R268" s="88"/>
      <c r="S268" s="100" t="str">
        <f aca="false">IF(D268="","",LEFT(D268&amp;"",2))</f>
        <v/>
      </c>
      <c r="T268" s="101" t="str">
        <f aca="false">IF(D268="","",LEFT(D268&amp;"",3))</f>
        <v/>
      </c>
    </row>
    <row r="269" customFormat="false" ht="14.25" hidden="false" customHeight="true" outlineLevel="0" collapsed="false">
      <c r="A269" s="89"/>
      <c r="B269" s="90"/>
      <c r="C269" s="90"/>
      <c r="D269" s="90"/>
      <c r="E269" s="91" t="str">
        <f aca="false">IFERROR(VLOOKUP(D269,PLANI_LLOGARIVE!$A:$B,2,FALSE()),"")</f>
        <v/>
      </c>
      <c r="F269" s="92"/>
      <c r="G269" s="93"/>
      <c r="H269" s="94"/>
      <c r="I269" s="95"/>
      <c r="J269" s="96" t="str">
        <f aca="false">IF(TRIM($C269)="","",IF($M269&lt;&gt;"OK",$M269,IF(ABS(SUMIFS($F:$F,$C:$C,TRIM($C269))-SUMIFS($G:$G,$C:$C,TRIM($C269)))&lt;0.005,"OK","ERROR - veprimi nuk balancohet")))</f>
        <v/>
      </c>
      <c r="K269" s="97" t="str">
        <f aca="false">IF($D269="","",IFERROR(VLOOKUP($D269,PLANI_LLOGARIVE!$A:$J,10,FALSE()),FALSE()))</f>
        <v/>
      </c>
      <c r="L269" s="97" t="str">
        <f aca="false">IF($D269="","",IFERROR(VLOOKUP($D269,PLANI_LLOGARIVE!$A:$G,7,FALSE()),"NUK EKZISTON"))</f>
        <v/>
      </c>
      <c r="M269" s="98" t="str">
        <f aca="false">IF($D269="","",IF(COUNTIF(PLANI_LLOGARIVE!$A:$A,$D269)=0,"ERROR - llogaria nuk ekziston",IF($K269=TRUE(),"OK","ERROR - llogari jo-postuese/Header")))</f>
        <v/>
      </c>
      <c r="N269" s="99" t="str">
        <f aca="false">IF(TRIM($C269)="","",IF(ABS(SUMIFS($F:$F,$C:$C,TRIM($C269))-SUMIFS($G:$G,$C:$C,TRIM($C269)))&lt;0.005,"OK","ERROR - debi/kredi"))</f>
        <v/>
      </c>
      <c r="O269" s="88"/>
      <c r="P269" s="88"/>
      <c r="Q269" s="88"/>
      <c r="R269" s="88"/>
      <c r="S269" s="100" t="str">
        <f aca="false">IF(D269="","",LEFT(D269&amp;"",2))</f>
        <v/>
      </c>
      <c r="T269" s="101" t="str">
        <f aca="false">IF(D269="","",LEFT(D269&amp;"",3))</f>
        <v/>
      </c>
    </row>
    <row r="270" customFormat="false" ht="14.25" hidden="false" customHeight="true" outlineLevel="0" collapsed="false">
      <c r="A270" s="89"/>
      <c r="B270" s="90"/>
      <c r="C270" s="90"/>
      <c r="D270" s="90"/>
      <c r="E270" s="91" t="str">
        <f aca="false">IFERROR(VLOOKUP(D270,PLANI_LLOGARIVE!$A:$B,2,FALSE()),"")</f>
        <v/>
      </c>
      <c r="F270" s="92"/>
      <c r="G270" s="93"/>
      <c r="H270" s="94"/>
      <c r="I270" s="95"/>
      <c r="J270" s="96" t="str">
        <f aca="false">IF(TRIM($C270)="","",IF($M270&lt;&gt;"OK",$M270,IF(ABS(SUMIFS($F:$F,$C:$C,TRIM($C270))-SUMIFS($G:$G,$C:$C,TRIM($C270)))&lt;0.005,"OK","ERROR - veprimi nuk balancohet")))</f>
        <v/>
      </c>
      <c r="K270" s="97" t="str">
        <f aca="false">IF($D270="","",IFERROR(VLOOKUP($D270,PLANI_LLOGARIVE!$A:$J,10,FALSE()),FALSE()))</f>
        <v/>
      </c>
      <c r="L270" s="97" t="str">
        <f aca="false">IF($D270="","",IFERROR(VLOOKUP($D270,PLANI_LLOGARIVE!$A:$G,7,FALSE()),"NUK EKZISTON"))</f>
        <v/>
      </c>
      <c r="M270" s="98" t="str">
        <f aca="false">IF($D270="","",IF(COUNTIF(PLANI_LLOGARIVE!$A:$A,$D270)=0,"ERROR - llogaria nuk ekziston",IF($K270=TRUE(),"OK","ERROR - llogari jo-postuese/Header")))</f>
        <v/>
      </c>
      <c r="N270" s="99" t="str">
        <f aca="false">IF(TRIM($C270)="","",IF(ABS(SUMIFS($F:$F,$C:$C,TRIM($C270))-SUMIFS($G:$G,$C:$C,TRIM($C270)))&lt;0.005,"OK","ERROR - debi/kredi"))</f>
        <v/>
      </c>
      <c r="O270" s="88"/>
      <c r="P270" s="88"/>
      <c r="Q270" s="88"/>
      <c r="R270" s="88"/>
      <c r="S270" s="100" t="str">
        <f aca="false">IF(D270="","",LEFT(D270&amp;"",2))</f>
        <v/>
      </c>
      <c r="T270" s="101" t="str">
        <f aca="false">IF(D270="","",LEFT(D270&amp;"",3))</f>
        <v/>
      </c>
    </row>
    <row r="271" customFormat="false" ht="14.25" hidden="false" customHeight="true" outlineLevel="0" collapsed="false">
      <c r="A271" s="89"/>
      <c r="B271" s="90"/>
      <c r="C271" s="90"/>
      <c r="D271" s="90"/>
      <c r="E271" s="91" t="str">
        <f aca="false">IFERROR(VLOOKUP(D271,PLANI_LLOGARIVE!$A:$B,2,FALSE()),"")</f>
        <v/>
      </c>
      <c r="F271" s="92"/>
      <c r="G271" s="93"/>
      <c r="H271" s="94"/>
      <c r="I271" s="95"/>
      <c r="J271" s="96" t="str">
        <f aca="false">IF(TRIM($C271)="","",IF($M271&lt;&gt;"OK",$M271,IF(ABS(SUMIFS($F:$F,$C:$C,TRIM($C271))-SUMIFS($G:$G,$C:$C,TRIM($C271)))&lt;0.005,"OK","ERROR - veprimi nuk balancohet")))</f>
        <v/>
      </c>
      <c r="K271" s="97" t="str">
        <f aca="false">IF($D271="","",IFERROR(VLOOKUP($D271,PLANI_LLOGARIVE!$A:$J,10,FALSE()),FALSE()))</f>
        <v/>
      </c>
      <c r="L271" s="97" t="str">
        <f aca="false">IF($D271="","",IFERROR(VLOOKUP($D271,PLANI_LLOGARIVE!$A:$G,7,FALSE()),"NUK EKZISTON"))</f>
        <v/>
      </c>
      <c r="M271" s="98" t="str">
        <f aca="false">IF($D271="","",IF(COUNTIF(PLANI_LLOGARIVE!$A:$A,$D271)=0,"ERROR - llogaria nuk ekziston",IF($K271=TRUE(),"OK","ERROR - llogari jo-postuese/Header")))</f>
        <v/>
      </c>
      <c r="N271" s="99" t="str">
        <f aca="false">IF(TRIM($C271)="","",IF(ABS(SUMIFS($F:$F,$C:$C,TRIM($C271))-SUMIFS($G:$G,$C:$C,TRIM($C271)))&lt;0.005,"OK","ERROR - debi/kredi"))</f>
        <v/>
      </c>
      <c r="O271" s="88"/>
      <c r="P271" s="88"/>
      <c r="Q271" s="88"/>
      <c r="R271" s="88"/>
      <c r="S271" s="100" t="str">
        <f aca="false">IF(D271="","",LEFT(D271&amp;"",2))</f>
        <v/>
      </c>
      <c r="T271" s="101" t="str">
        <f aca="false">IF(D271="","",LEFT(D271&amp;"",3))</f>
        <v/>
      </c>
    </row>
    <row r="272" customFormat="false" ht="14.25" hidden="false" customHeight="true" outlineLevel="0" collapsed="false">
      <c r="A272" s="89"/>
      <c r="B272" s="90"/>
      <c r="C272" s="90"/>
      <c r="D272" s="90"/>
      <c r="E272" s="91" t="str">
        <f aca="false">IFERROR(VLOOKUP(D272,PLANI_LLOGARIVE!$A:$B,2,FALSE()),"")</f>
        <v/>
      </c>
      <c r="F272" s="92"/>
      <c r="G272" s="93"/>
      <c r="H272" s="94"/>
      <c r="I272" s="95"/>
      <c r="J272" s="96" t="str">
        <f aca="false">IF(TRIM($C272)="","",IF($M272&lt;&gt;"OK",$M272,IF(ABS(SUMIFS($F:$F,$C:$C,TRIM($C272))-SUMIFS($G:$G,$C:$C,TRIM($C272)))&lt;0.005,"OK","ERROR - veprimi nuk balancohet")))</f>
        <v/>
      </c>
      <c r="K272" s="97" t="str">
        <f aca="false">IF($D272="","",IFERROR(VLOOKUP($D272,PLANI_LLOGARIVE!$A:$J,10,FALSE()),FALSE()))</f>
        <v/>
      </c>
      <c r="L272" s="97" t="str">
        <f aca="false">IF($D272="","",IFERROR(VLOOKUP($D272,PLANI_LLOGARIVE!$A:$G,7,FALSE()),"NUK EKZISTON"))</f>
        <v/>
      </c>
      <c r="M272" s="98" t="str">
        <f aca="false">IF($D272="","",IF(COUNTIF(PLANI_LLOGARIVE!$A:$A,$D272)=0,"ERROR - llogaria nuk ekziston",IF($K272=TRUE(),"OK","ERROR - llogari jo-postuese/Header")))</f>
        <v/>
      </c>
      <c r="N272" s="99" t="str">
        <f aca="false">IF(TRIM($C272)="","",IF(ABS(SUMIFS($F:$F,$C:$C,TRIM($C272))-SUMIFS($G:$G,$C:$C,TRIM($C272)))&lt;0.005,"OK","ERROR - debi/kredi"))</f>
        <v/>
      </c>
      <c r="O272" s="88"/>
      <c r="P272" s="88"/>
      <c r="Q272" s="88"/>
      <c r="R272" s="88"/>
      <c r="S272" s="100" t="str">
        <f aca="false">IF(D272="","",LEFT(D272&amp;"",2))</f>
        <v/>
      </c>
      <c r="T272" s="101" t="str">
        <f aca="false">IF(D272="","",LEFT(D272&amp;"",3))</f>
        <v/>
      </c>
    </row>
    <row r="273" customFormat="false" ht="14.25" hidden="false" customHeight="true" outlineLevel="0" collapsed="false">
      <c r="A273" s="89"/>
      <c r="B273" s="90"/>
      <c r="C273" s="90"/>
      <c r="D273" s="90"/>
      <c r="E273" s="91" t="str">
        <f aca="false">IFERROR(VLOOKUP(D273,PLANI_LLOGARIVE!$A:$B,2,FALSE()),"")</f>
        <v/>
      </c>
      <c r="F273" s="92"/>
      <c r="G273" s="93"/>
      <c r="H273" s="94"/>
      <c r="I273" s="95"/>
      <c r="J273" s="96" t="str">
        <f aca="false">IF(TRIM($C273)="","",IF($M273&lt;&gt;"OK",$M273,IF(ABS(SUMIFS($F:$F,$C:$C,TRIM($C273))-SUMIFS($G:$G,$C:$C,TRIM($C273)))&lt;0.005,"OK","ERROR - veprimi nuk balancohet")))</f>
        <v/>
      </c>
      <c r="K273" s="97" t="str">
        <f aca="false">IF($D273="","",IFERROR(VLOOKUP($D273,PLANI_LLOGARIVE!$A:$J,10,FALSE()),FALSE()))</f>
        <v/>
      </c>
      <c r="L273" s="97" t="str">
        <f aca="false">IF($D273="","",IFERROR(VLOOKUP($D273,PLANI_LLOGARIVE!$A:$G,7,FALSE()),"NUK EKZISTON"))</f>
        <v/>
      </c>
      <c r="M273" s="98" t="str">
        <f aca="false">IF($D273="","",IF(COUNTIF(PLANI_LLOGARIVE!$A:$A,$D273)=0,"ERROR - llogaria nuk ekziston",IF($K273=TRUE(),"OK","ERROR - llogari jo-postuese/Header")))</f>
        <v/>
      </c>
      <c r="N273" s="99" t="str">
        <f aca="false">IF(TRIM($C273)="","",IF(ABS(SUMIFS($F:$F,$C:$C,TRIM($C273))-SUMIFS($G:$G,$C:$C,TRIM($C273)))&lt;0.005,"OK","ERROR - debi/kredi"))</f>
        <v/>
      </c>
      <c r="O273" s="88"/>
      <c r="P273" s="88"/>
      <c r="Q273" s="88"/>
      <c r="R273" s="88"/>
      <c r="S273" s="100" t="str">
        <f aca="false">IF(D273="","",LEFT(D273&amp;"",2))</f>
        <v/>
      </c>
      <c r="T273" s="101" t="str">
        <f aca="false">IF(D273="","",LEFT(D273&amp;"",3))</f>
        <v/>
      </c>
    </row>
    <row r="274" customFormat="false" ht="14.25" hidden="false" customHeight="true" outlineLevel="0" collapsed="false">
      <c r="A274" s="89"/>
      <c r="B274" s="90"/>
      <c r="C274" s="90"/>
      <c r="D274" s="90"/>
      <c r="E274" s="91" t="str">
        <f aca="false">IFERROR(VLOOKUP(D274,PLANI_LLOGARIVE!$A:$B,2,FALSE()),"")</f>
        <v/>
      </c>
      <c r="F274" s="92"/>
      <c r="G274" s="93"/>
      <c r="H274" s="94"/>
      <c r="I274" s="95"/>
      <c r="J274" s="96" t="str">
        <f aca="false">IF(TRIM($C274)="","",IF($M274&lt;&gt;"OK",$M274,IF(ABS(SUMIFS($F:$F,$C:$C,TRIM($C274))-SUMIFS($G:$G,$C:$C,TRIM($C274)))&lt;0.005,"OK","ERROR - veprimi nuk balancohet")))</f>
        <v/>
      </c>
      <c r="K274" s="97" t="str">
        <f aca="false">IF($D274="","",IFERROR(VLOOKUP($D274,PLANI_LLOGARIVE!$A:$J,10,FALSE()),FALSE()))</f>
        <v/>
      </c>
      <c r="L274" s="97" t="str">
        <f aca="false">IF($D274="","",IFERROR(VLOOKUP($D274,PLANI_LLOGARIVE!$A:$G,7,FALSE()),"NUK EKZISTON"))</f>
        <v/>
      </c>
      <c r="M274" s="98" t="str">
        <f aca="false">IF($D274="","",IF(COUNTIF(PLANI_LLOGARIVE!$A:$A,$D274)=0,"ERROR - llogaria nuk ekziston",IF($K274=TRUE(),"OK","ERROR - llogari jo-postuese/Header")))</f>
        <v/>
      </c>
      <c r="N274" s="99" t="str">
        <f aca="false">IF(TRIM($C274)="","",IF(ABS(SUMIFS($F:$F,$C:$C,TRIM($C274))-SUMIFS($G:$G,$C:$C,TRIM($C274)))&lt;0.005,"OK","ERROR - debi/kredi"))</f>
        <v/>
      </c>
      <c r="O274" s="88"/>
      <c r="P274" s="88"/>
      <c r="Q274" s="88"/>
      <c r="R274" s="88"/>
      <c r="S274" s="100" t="str">
        <f aca="false">IF(D274="","",LEFT(D274&amp;"",2))</f>
        <v/>
      </c>
      <c r="T274" s="101" t="str">
        <f aca="false">IF(D274="","",LEFT(D274&amp;"",3))</f>
        <v/>
      </c>
    </row>
    <row r="275" customFormat="false" ht="14.25" hidden="false" customHeight="true" outlineLevel="0" collapsed="false">
      <c r="A275" s="89"/>
      <c r="B275" s="90"/>
      <c r="C275" s="90"/>
      <c r="D275" s="90"/>
      <c r="E275" s="91" t="str">
        <f aca="false">IFERROR(VLOOKUP(D275,PLANI_LLOGARIVE!$A:$B,2,FALSE()),"")</f>
        <v/>
      </c>
      <c r="F275" s="92"/>
      <c r="G275" s="93"/>
      <c r="H275" s="94"/>
      <c r="I275" s="95"/>
      <c r="J275" s="96" t="str">
        <f aca="false">IF(TRIM($C275)="","",IF($M275&lt;&gt;"OK",$M275,IF(ABS(SUMIFS($F:$F,$C:$C,TRIM($C275))-SUMIFS($G:$G,$C:$C,TRIM($C275)))&lt;0.005,"OK","ERROR - veprimi nuk balancohet")))</f>
        <v/>
      </c>
      <c r="K275" s="97" t="str">
        <f aca="false">IF($D275="","",IFERROR(VLOOKUP($D275,PLANI_LLOGARIVE!$A:$J,10,FALSE()),FALSE()))</f>
        <v/>
      </c>
      <c r="L275" s="97" t="str">
        <f aca="false">IF($D275="","",IFERROR(VLOOKUP($D275,PLANI_LLOGARIVE!$A:$G,7,FALSE()),"NUK EKZISTON"))</f>
        <v/>
      </c>
      <c r="M275" s="98" t="str">
        <f aca="false">IF($D275="","",IF(COUNTIF(PLANI_LLOGARIVE!$A:$A,$D275)=0,"ERROR - llogaria nuk ekziston",IF($K275=TRUE(),"OK","ERROR - llogari jo-postuese/Header")))</f>
        <v/>
      </c>
      <c r="N275" s="99" t="str">
        <f aca="false">IF(TRIM($C275)="","",IF(ABS(SUMIFS($F:$F,$C:$C,TRIM($C275))-SUMIFS($G:$G,$C:$C,TRIM($C275)))&lt;0.005,"OK","ERROR - debi/kredi"))</f>
        <v/>
      </c>
      <c r="O275" s="88"/>
      <c r="P275" s="88"/>
      <c r="Q275" s="88"/>
      <c r="R275" s="88"/>
      <c r="S275" s="100" t="str">
        <f aca="false">IF(D275="","",LEFT(D275&amp;"",2))</f>
        <v/>
      </c>
      <c r="T275" s="101" t="str">
        <f aca="false">IF(D275="","",LEFT(D275&amp;"",3))</f>
        <v/>
      </c>
    </row>
    <row r="276" customFormat="false" ht="14.25" hidden="false" customHeight="true" outlineLevel="0" collapsed="false">
      <c r="A276" s="89"/>
      <c r="B276" s="90"/>
      <c r="C276" s="90"/>
      <c r="D276" s="90"/>
      <c r="E276" s="91" t="str">
        <f aca="false">IFERROR(VLOOKUP(D276,PLANI_LLOGARIVE!$A:$B,2,FALSE()),"")</f>
        <v/>
      </c>
      <c r="F276" s="92"/>
      <c r="G276" s="93"/>
      <c r="H276" s="94"/>
      <c r="I276" s="95"/>
      <c r="J276" s="96" t="str">
        <f aca="false">IF(TRIM($C276)="","",IF($M276&lt;&gt;"OK",$M276,IF(ABS(SUMIFS($F:$F,$C:$C,TRIM($C276))-SUMIFS($G:$G,$C:$C,TRIM($C276)))&lt;0.005,"OK","ERROR - veprimi nuk balancohet")))</f>
        <v/>
      </c>
      <c r="K276" s="97" t="str">
        <f aca="false">IF($D276="","",IFERROR(VLOOKUP($D276,PLANI_LLOGARIVE!$A:$J,10,FALSE()),FALSE()))</f>
        <v/>
      </c>
      <c r="L276" s="97" t="str">
        <f aca="false">IF($D276="","",IFERROR(VLOOKUP($D276,PLANI_LLOGARIVE!$A:$G,7,FALSE()),"NUK EKZISTON"))</f>
        <v/>
      </c>
      <c r="M276" s="98" t="str">
        <f aca="false">IF($D276="","",IF(COUNTIF(PLANI_LLOGARIVE!$A:$A,$D276)=0,"ERROR - llogaria nuk ekziston",IF($K276=TRUE(),"OK","ERROR - llogari jo-postuese/Header")))</f>
        <v/>
      </c>
      <c r="N276" s="99" t="str">
        <f aca="false">IF(TRIM($C276)="","",IF(ABS(SUMIFS($F:$F,$C:$C,TRIM($C276))-SUMIFS($G:$G,$C:$C,TRIM($C276)))&lt;0.005,"OK","ERROR - debi/kredi"))</f>
        <v/>
      </c>
      <c r="O276" s="88"/>
      <c r="P276" s="88"/>
      <c r="Q276" s="88"/>
      <c r="R276" s="88"/>
      <c r="S276" s="100" t="str">
        <f aca="false">IF(D276="","",LEFT(D276&amp;"",2))</f>
        <v/>
      </c>
      <c r="T276" s="101" t="str">
        <f aca="false">IF(D276="","",LEFT(D276&amp;"",3))</f>
        <v/>
      </c>
    </row>
    <row r="277" customFormat="false" ht="14.25" hidden="false" customHeight="true" outlineLevel="0" collapsed="false">
      <c r="A277" s="89"/>
      <c r="B277" s="90"/>
      <c r="C277" s="90"/>
      <c r="D277" s="90"/>
      <c r="E277" s="91" t="str">
        <f aca="false">IFERROR(VLOOKUP(D277,PLANI_LLOGARIVE!$A:$B,2,FALSE()),"")</f>
        <v/>
      </c>
      <c r="F277" s="92"/>
      <c r="G277" s="93"/>
      <c r="H277" s="94"/>
      <c r="I277" s="95"/>
      <c r="J277" s="96" t="str">
        <f aca="false">IF(TRIM($C277)="","",IF($M277&lt;&gt;"OK",$M277,IF(ABS(SUMIFS($F:$F,$C:$C,TRIM($C277))-SUMIFS($G:$G,$C:$C,TRIM($C277)))&lt;0.005,"OK","ERROR - veprimi nuk balancohet")))</f>
        <v/>
      </c>
      <c r="K277" s="97" t="str">
        <f aca="false">IF($D277="","",IFERROR(VLOOKUP($D277,PLANI_LLOGARIVE!$A:$J,10,FALSE()),FALSE()))</f>
        <v/>
      </c>
      <c r="L277" s="97" t="str">
        <f aca="false">IF($D277="","",IFERROR(VLOOKUP($D277,PLANI_LLOGARIVE!$A:$G,7,FALSE()),"NUK EKZISTON"))</f>
        <v/>
      </c>
      <c r="M277" s="98" t="str">
        <f aca="false">IF($D277="","",IF(COUNTIF(PLANI_LLOGARIVE!$A:$A,$D277)=0,"ERROR - llogaria nuk ekziston",IF($K277=TRUE(),"OK","ERROR - llogari jo-postuese/Header")))</f>
        <v/>
      </c>
      <c r="N277" s="99" t="str">
        <f aca="false">IF(TRIM($C277)="","",IF(ABS(SUMIFS($F:$F,$C:$C,TRIM($C277))-SUMIFS($G:$G,$C:$C,TRIM($C277)))&lt;0.005,"OK","ERROR - debi/kredi"))</f>
        <v/>
      </c>
      <c r="O277" s="88"/>
      <c r="P277" s="88"/>
      <c r="Q277" s="88"/>
      <c r="R277" s="88"/>
      <c r="S277" s="100" t="str">
        <f aca="false">IF(D277="","",LEFT(D277&amp;"",2))</f>
        <v/>
      </c>
      <c r="T277" s="101" t="str">
        <f aca="false">IF(D277="","",LEFT(D277&amp;"",3))</f>
        <v/>
      </c>
    </row>
    <row r="278" customFormat="false" ht="14.25" hidden="false" customHeight="true" outlineLevel="0" collapsed="false">
      <c r="A278" s="89"/>
      <c r="B278" s="90"/>
      <c r="C278" s="90"/>
      <c r="D278" s="90"/>
      <c r="E278" s="91" t="str">
        <f aca="false">IFERROR(VLOOKUP(D278,PLANI_LLOGARIVE!$A:$B,2,FALSE()),"")</f>
        <v/>
      </c>
      <c r="F278" s="92"/>
      <c r="G278" s="93"/>
      <c r="H278" s="94"/>
      <c r="I278" s="95"/>
      <c r="J278" s="96" t="str">
        <f aca="false">IF(TRIM($C278)="","",IF($M278&lt;&gt;"OK",$M278,IF(ABS(SUMIFS($F:$F,$C:$C,TRIM($C278))-SUMIFS($G:$G,$C:$C,TRIM($C278)))&lt;0.005,"OK","ERROR - veprimi nuk balancohet")))</f>
        <v/>
      </c>
      <c r="K278" s="97" t="str">
        <f aca="false">IF($D278="","",IFERROR(VLOOKUP($D278,PLANI_LLOGARIVE!$A:$J,10,FALSE()),FALSE()))</f>
        <v/>
      </c>
      <c r="L278" s="97" t="str">
        <f aca="false">IF($D278="","",IFERROR(VLOOKUP($D278,PLANI_LLOGARIVE!$A:$G,7,FALSE()),"NUK EKZISTON"))</f>
        <v/>
      </c>
      <c r="M278" s="98" t="str">
        <f aca="false">IF($D278="","",IF(COUNTIF(PLANI_LLOGARIVE!$A:$A,$D278)=0,"ERROR - llogaria nuk ekziston",IF($K278=TRUE(),"OK","ERROR - llogari jo-postuese/Header")))</f>
        <v/>
      </c>
      <c r="N278" s="99" t="str">
        <f aca="false">IF(TRIM($C278)="","",IF(ABS(SUMIFS($F:$F,$C:$C,TRIM($C278))-SUMIFS($G:$G,$C:$C,TRIM($C278)))&lt;0.005,"OK","ERROR - debi/kredi"))</f>
        <v/>
      </c>
      <c r="O278" s="88"/>
      <c r="P278" s="88"/>
      <c r="Q278" s="88"/>
      <c r="R278" s="88"/>
      <c r="S278" s="100" t="str">
        <f aca="false">IF(D278="","",LEFT(D278&amp;"",2))</f>
        <v/>
      </c>
      <c r="T278" s="101" t="str">
        <f aca="false">IF(D278="","",LEFT(D278&amp;"",3))</f>
        <v/>
      </c>
    </row>
    <row r="279" customFormat="false" ht="14.25" hidden="false" customHeight="true" outlineLevel="0" collapsed="false">
      <c r="A279" s="89"/>
      <c r="B279" s="90"/>
      <c r="C279" s="90"/>
      <c r="D279" s="90"/>
      <c r="E279" s="91" t="str">
        <f aca="false">IFERROR(VLOOKUP(D279,PLANI_LLOGARIVE!$A:$B,2,FALSE()),"")</f>
        <v/>
      </c>
      <c r="F279" s="92"/>
      <c r="G279" s="93"/>
      <c r="H279" s="94"/>
      <c r="I279" s="95"/>
      <c r="J279" s="96" t="str">
        <f aca="false">IF(TRIM($C279)="","",IF($M279&lt;&gt;"OK",$M279,IF(ABS(SUMIFS($F:$F,$C:$C,TRIM($C279))-SUMIFS($G:$G,$C:$C,TRIM($C279)))&lt;0.005,"OK","ERROR - veprimi nuk balancohet")))</f>
        <v/>
      </c>
      <c r="K279" s="97" t="str">
        <f aca="false">IF($D279="","",IFERROR(VLOOKUP($D279,PLANI_LLOGARIVE!$A:$J,10,FALSE()),FALSE()))</f>
        <v/>
      </c>
      <c r="L279" s="97" t="str">
        <f aca="false">IF($D279="","",IFERROR(VLOOKUP($D279,PLANI_LLOGARIVE!$A:$G,7,FALSE()),"NUK EKZISTON"))</f>
        <v/>
      </c>
      <c r="M279" s="98" t="str">
        <f aca="false">IF($D279="","",IF(COUNTIF(PLANI_LLOGARIVE!$A:$A,$D279)=0,"ERROR - llogaria nuk ekziston",IF($K279=TRUE(),"OK","ERROR - llogari jo-postuese/Header")))</f>
        <v/>
      </c>
      <c r="N279" s="99" t="str">
        <f aca="false">IF(TRIM($C279)="","",IF(ABS(SUMIFS($F:$F,$C:$C,TRIM($C279))-SUMIFS($G:$G,$C:$C,TRIM($C279)))&lt;0.005,"OK","ERROR - debi/kredi"))</f>
        <v/>
      </c>
      <c r="O279" s="88"/>
      <c r="P279" s="88"/>
      <c r="Q279" s="88"/>
      <c r="R279" s="88"/>
      <c r="S279" s="100" t="str">
        <f aca="false">IF(D279="","",LEFT(D279&amp;"",2))</f>
        <v/>
      </c>
      <c r="T279" s="101" t="str">
        <f aca="false">IF(D279="","",LEFT(D279&amp;"",3))</f>
        <v/>
      </c>
    </row>
    <row r="280" customFormat="false" ht="14.25" hidden="false" customHeight="true" outlineLevel="0" collapsed="false">
      <c r="A280" s="89"/>
      <c r="B280" s="90"/>
      <c r="C280" s="90"/>
      <c r="D280" s="90"/>
      <c r="E280" s="91" t="str">
        <f aca="false">IFERROR(VLOOKUP(D280,PLANI_LLOGARIVE!$A:$B,2,FALSE()),"")</f>
        <v/>
      </c>
      <c r="F280" s="92"/>
      <c r="G280" s="93"/>
      <c r="H280" s="94"/>
      <c r="I280" s="95"/>
      <c r="J280" s="96" t="str">
        <f aca="false">IF(TRIM($C280)="","",IF($M280&lt;&gt;"OK",$M280,IF(ABS(SUMIFS($F:$F,$C:$C,TRIM($C280))-SUMIFS($G:$G,$C:$C,TRIM($C280)))&lt;0.005,"OK","ERROR - veprimi nuk balancohet")))</f>
        <v/>
      </c>
      <c r="K280" s="97" t="str">
        <f aca="false">IF($D280="","",IFERROR(VLOOKUP($D280,PLANI_LLOGARIVE!$A:$J,10,FALSE()),FALSE()))</f>
        <v/>
      </c>
      <c r="L280" s="97" t="str">
        <f aca="false">IF($D280="","",IFERROR(VLOOKUP($D280,PLANI_LLOGARIVE!$A:$G,7,FALSE()),"NUK EKZISTON"))</f>
        <v/>
      </c>
      <c r="M280" s="98" t="str">
        <f aca="false">IF($D280="","",IF(COUNTIF(PLANI_LLOGARIVE!$A:$A,$D280)=0,"ERROR - llogaria nuk ekziston",IF($K280=TRUE(),"OK","ERROR - llogari jo-postuese/Header")))</f>
        <v/>
      </c>
      <c r="N280" s="99" t="str">
        <f aca="false">IF(TRIM($C280)="","",IF(ABS(SUMIFS($F:$F,$C:$C,TRIM($C280))-SUMIFS($G:$G,$C:$C,TRIM($C280)))&lt;0.005,"OK","ERROR - debi/kredi"))</f>
        <v/>
      </c>
      <c r="O280" s="88"/>
      <c r="P280" s="88"/>
      <c r="Q280" s="88"/>
      <c r="R280" s="88"/>
      <c r="S280" s="100" t="str">
        <f aca="false">IF(D280="","",LEFT(D280&amp;"",2))</f>
        <v/>
      </c>
      <c r="T280" s="101" t="str">
        <f aca="false">IF(D280="","",LEFT(D280&amp;"",3))</f>
        <v/>
      </c>
    </row>
    <row r="281" customFormat="false" ht="14.25" hidden="false" customHeight="true" outlineLevel="0" collapsed="false">
      <c r="A281" s="89"/>
      <c r="B281" s="90"/>
      <c r="C281" s="90"/>
      <c r="D281" s="90"/>
      <c r="E281" s="91" t="str">
        <f aca="false">IFERROR(VLOOKUP(D281,PLANI_LLOGARIVE!$A:$B,2,FALSE()),"")</f>
        <v/>
      </c>
      <c r="F281" s="92"/>
      <c r="G281" s="93"/>
      <c r="H281" s="94"/>
      <c r="I281" s="95"/>
      <c r="J281" s="96" t="str">
        <f aca="false">IF(TRIM($C281)="","",IF($M281&lt;&gt;"OK",$M281,IF(ABS(SUMIFS($F:$F,$C:$C,TRIM($C281))-SUMIFS($G:$G,$C:$C,TRIM($C281)))&lt;0.005,"OK","ERROR - veprimi nuk balancohet")))</f>
        <v/>
      </c>
      <c r="K281" s="97" t="str">
        <f aca="false">IF($D281="","",IFERROR(VLOOKUP($D281,PLANI_LLOGARIVE!$A:$J,10,FALSE()),FALSE()))</f>
        <v/>
      </c>
      <c r="L281" s="97" t="str">
        <f aca="false">IF($D281="","",IFERROR(VLOOKUP($D281,PLANI_LLOGARIVE!$A:$G,7,FALSE()),"NUK EKZISTON"))</f>
        <v/>
      </c>
      <c r="M281" s="98" t="str">
        <f aca="false">IF($D281="","",IF(COUNTIF(PLANI_LLOGARIVE!$A:$A,$D281)=0,"ERROR - llogaria nuk ekziston",IF($K281=TRUE(),"OK","ERROR - llogari jo-postuese/Header")))</f>
        <v/>
      </c>
      <c r="N281" s="99" t="str">
        <f aca="false">IF(TRIM($C281)="","",IF(ABS(SUMIFS($F:$F,$C:$C,TRIM($C281))-SUMIFS($G:$G,$C:$C,TRIM($C281)))&lt;0.005,"OK","ERROR - debi/kredi"))</f>
        <v/>
      </c>
      <c r="O281" s="88"/>
      <c r="P281" s="88"/>
      <c r="Q281" s="88"/>
      <c r="R281" s="88"/>
      <c r="S281" s="100" t="str">
        <f aca="false">IF(D281="","",LEFT(D281&amp;"",2))</f>
        <v/>
      </c>
      <c r="T281" s="101" t="str">
        <f aca="false">IF(D281="","",LEFT(D281&amp;"",3))</f>
        <v/>
      </c>
    </row>
    <row r="282" customFormat="false" ht="14.25" hidden="false" customHeight="true" outlineLevel="0" collapsed="false">
      <c r="A282" s="89"/>
      <c r="B282" s="90"/>
      <c r="C282" s="90"/>
      <c r="D282" s="90"/>
      <c r="E282" s="91" t="str">
        <f aca="false">IFERROR(VLOOKUP(D282,PLANI_LLOGARIVE!$A:$B,2,FALSE()),"")</f>
        <v/>
      </c>
      <c r="F282" s="92"/>
      <c r="G282" s="93"/>
      <c r="H282" s="94"/>
      <c r="I282" s="95"/>
      <c r="J282" s="96" t="str">
        <f aca="false">IF(TRIM($C282)="","",IF($M282&lt;&gt;"OK",$M282,IF(ABS(SUMIFS($F:$F,$C:$C,TRIM($C282))-SUMIFS($G:$G,$C:$C,TRIM($C282)))&lt;0.005,"OK","ERROR - veprimi nuk balancohet")))</f>
        <v/>
      </c>
      <c r="K282" s="97" t="str">
        <f aca="false">IF($D282="","",IFERROR(VLOOKUP($D282,PLANI_LLOGARIVE!$A:$J,10,FALSE()),FALSE()))</f>
        <v/>
      </c>
      <c r="L282" s="97" t="str">
        <f aca="false">IF($D282="","",IFERROR(VLOOKUP($D282,PLANI_LLOGARIVE!$A:$G,7,FALSE()),"NUK EKZISTON"))</f>
        <v/>
      </c>
      <c r="M282" s="98" t="str">
        <f aca="false">IF($D282="","",IF(COUNTIF(PLANI_LLOGARIVE!$A:$A,$D282)=0,"ERROR - llogaria nuk ekziston",IF($K282=TRUE(),"OK","ERROR - llogari jo-postuese/Header")))</f>
        <v/>
      </c>
      <c r="N282" s="99" t="str">
        <f aca="false">IF(TRIM($C282)="","",IF(ABS(SUMIFS($F:$F,$C:$C,TRIM($C282))-SUMIFS($G:$G,$C:$C,TRIM($C282)))&lt;0.005,"OK","ERROR - debi/kredi"))</f>
        <v/>
      </c>
      <c r="O282" s="88"/>
      <c r="P282" s="88"/>
      <c r="Q282" s="88"/>
      <c r="R282" s="88"/>
      <c r="S282" s="100" t="str">
        <f aca="false">IF(D282="","",LEFT(D282&amp;"",2))</f>
        <v/>
      </c>
      <c r="T282" s="101" t="str">
        <f aca="false">IF(D282="","",LEFT(D282&amp;"",3))</f>
        <v/>
      </c>
    </row>
    <row r="283" customFormat="false" ht="14.25" hidden="false" customHeight="true" outlineLevel="0" collapsed="false">
      <c r="A283" s="89"/>
      <c r="B283" s="90"/>
      <c r="C283" s="90"/>
      <c r="D283" s="90"/>
      <c r="E283" s="91" t="str">
        <f aca="false">IFERROR(VLOOKUP(D283,PLANI_LLOGARIVE!$A:$B,2,FALSE()),"")</f>
        <v/>
      </c>
      <c r="F283" s="92"/>
      <c r="G283" s="93"/>
      <c r="H283" s="94"/>
      <c r="I283" s="95"/>
      <c r="J283" s="96" t="str">
        <f aca="false">IF(TRIM($C283)="","",IF($M283&lt;&gt;"OK",$M283,IF(ABS(SUMIFS($F:$F,$C:$C,TRIM($C283))-SUMIFS($G:$G,$C:$C,TRIM($C283)))&lt;0.005,"OK","ERROR - veprimi nuk balancohet")))</f>
        <v/>
      </c>
      <c r="K283" s="97" t="str">
        <f aca="false">IF($D283="","",IFERROR(VLOOKUP($D283,PLANI_LLOGARIVE!$A:$J,10,FALSE()),FALSE()))</f>
        <v/>
      </c>
      <c r="L283" s="97" t="str">
        <f aca="false">IF($D283="","",IFERROR(VLOOKUP($D283,PLANI_LLOGARIVE!$A:$G,7,FALSE()),"NUK EKZISTON"))</f>
        <v/>
      </c>
      <c r="M283" s="98" t="str">
        <f aca="false">IF($D283="","",IF(COUNTIF(PLANI_LLOGARIVE!$A:$A,$D283)=0,"ERROR - llogaria nuk ekziston",IF($K283=TRUE(),"OK","ERROR - llogari jo-postuese/Header")))</f>
        <v/>
      </c>
      <c r="N283" s="99" t="str">
        <f aca="false">IF(TRIM($C283)="","",IF(ABS(SUMIFS($F:$F,$C:$C,TRIM($C283))-SUMIFS($G:$G,$C:$C,TRIM($C283)))&lt;0.005,"OK","ERROR - debi/kredi"))</f>
        <v/>
      </c>
      <c r="O283" s="88"/>
      <c r="P283" s="88"/>
      <c r="Q283" s="88"/>
      <c r="R283" s="88"/>
      <c r="S283" s="100" t="str">
        <f aca="false">IF(D283="","",LEFT(D283&amp;"",2))</f>
        <v/>
      </c>
      <c r="T283" s="101" t="str">
        <f aca="false">IF(D283="","",LEFT(D283&amp;"",3))</f>
        <v/>
      </c>
    </row>
    <row r="284" customFormat="false" ht="14.25" hidden="false" customHeight="true" outlineLevel="0" collapsed="false">
      <c r="A284" s="89"/>
      <c r="B284" s="90"/>
      <c r="C284" s="90"/>
      <c r="D284" s="90"/>
      <c r="E284" s="91" t="str">
        <f aca="false">IFERROR(VLOOKUP(D284,PLANI_LLOGARIVE!$A:$B,2,FALSE()),"")</f>
        <v/>
      </c>
      <c r="F284" s="92"/>
      <c r="G284" s="93"/>
      <c r="H284" s="94"/>
      <c r="I284" s="95"/>
      <c r="J284" s="96" t="str">
        <f aca="false">IF(TRIM($C284)="","",IF($M284&lt;&gt;"OK",$M284,IF(ABS(SUMIFS($F:$F,$C:$C,TRIM($C284))-SUMIFS($G:$G,$C:$C,TRIM($C284)))&lt;0.005,"OK","ERROR - veprimi nuk balancohet")))</f>
        <v/>
      </c>
      <c r="K284" s="97" t="str">
        <f aca="false">IF($D284="","",IFERROR(VLOOKUP($D284,PLANI_LLOGARIVE!$A:$J,10,FALSE()),FALSE()))</f>
        <v/>
      </c>
      <c r="L284" s="97" t="str">
        <f aca="false">IF($D284="","",IFERROR(VLOOKUP($D284,PLANI_LLOGARIVE!$A:$G,7,FALSE()),"NUK EKZISTON"))</f>
        <v/>
      </c>
      <c r="M284" s="98" t="str">
        <f aca="false">IF($D284="","",IF(COUNTIF(PLANI_LLOGARIVE!$A:$A,$D284)=0,"ERROR - llogaria nuk ekziston",IF($K284=TRUE(),"OK","ERROR - llogari jo-postuese/Header")))</f>
        <v/>
      </c>
      <c r="N284" s="99" t="str">
        <f aca="false">IF(TRIM($C284)="","",IF(ABS(SUMIFS($F:$F,$C:$C,TRIM($C284))-SUMIFS($G:$G,$C:$C,TRIM($C284)))&lt;0.005,"OK","ERROR - debi/kredi"))</f>
        <v/>
      </c>
      <c r="O284" s="88"/>
      <c r="P284" s="88"/>
      <c r="Q284" s="88"/>
      <c r="R284" s="88"/>
      <c r="S284" s="100" t="str">
        <f aca="false">IF(D284="","",LEFT(D284&amp;"",2))</f>
        <v/>
      </c>
      <c r="T284" s="101" t="str">
        <f aca="false">IF(D284="","",LEFT(D284&amp;"",3))</f>
        <v/>
      </c>
    </row>
    <row r="285" customFormat="false" ht="14.25" hidden="false" customHeight="true" outlineLevel="0" collapsed="false">
      <c r="A285" s="89"/>
      <c r="B285" s="90"/>
      <c r="C285" s="90"/>
      <c r="D285" s="90"/>
      <c r="E285" s="91" t="str">
        <f aca="false">IFERROR(VLOOKUP(D285,PLANI_LLOGARIVE!$A:$B,2,FALSE()),"")</f>
        <v/>
      </c>
      <c r="F285" s="92"/>
      <c r="G285" s="93"/>
      <c r="H285" s="94"/>
      <c r="I285" s="95"/>
      <c r="J285" s="96" t="str">
        <f aca="false">IF(TRIM($C285)="","",IF($M285&lt;&gt;"OK",$M285,IF(ABS(SUMIFS($F:$F,$C:$C,TRIM($C285))-SUMIFS($G:$G,$C:$C,TRIM($C285)))&lt;0.005,"OK","ERROR - veprimi nuk balancohet")))</f>
        <v/>
      </c>
      <c r="K285" s="97" t="str">
        <f aca="false">IF($D285="","",IFERROR(VLOOKUP($D285,PLANI_LLOGARIVE!$A:$J,10,FALSE()),FALSE()))</f>
        <v/>
      </c>
      <c r="L285" s="97" t="str">
        <f aca="false">IF($D285="","",IFERROR(VLOOKUP($D285,PLANI_LLOGARIVE!$A:$G,7,FALSE()),"NUK EKZISTON"))</f>
        <v/>
      </c>
      <c r="M285" s="98" t="str">
        <f aca="false">IF($D285="","",IF(COUNTIF(PLANI_LLOGARIVE!$A:$A,$D285)=0,"ERROR - llogaria nuk ekziston",IF($K285=TRUE(),"OK","ERROR - llogari jo-postuese/Header")))</f>
        <v/>
      </c>
      <c r="N285" s="99" t="str">
        <f aca="false">IF(TRIM($C285)="","",IF(ABS(SUMIFS($F:$F,$C:$C,TRIM($C285))-SUMIFS($G:$G,$C:$C,TRIM($C285)))&lt;0.005,"OK","ERROR - debi/kredi"))</f>
        <v/>
      </c>
      <c r="O285" s="88"/>
      <c r="P285" s="88"/>
      <c r="Q285" s="88"/>
      <c r="R285" s="88"/>
      <c r="S285" s="100" t="str">
        <f aca="false">IF(D285="","",LEFT(D285&amp;"",2))</f>
        <v/>
      </c>
      <c r="T285" s="101" t="str">
        <f aca="false">IF(D285="","",LEFT(D285&amp;"",3))</f>
        <v/>
      </c>
    </row>
    <row r="286" customFormat="false" ht="14.25" hidden="false" customHeight="true" outlineLevel="0" collapsed="false">
      <c r="A286" s="89"/>
      <c r="B286" s="90"/>
      <c r="C286" s="90"/>
      <c r="D286" s="90"/>
      <c r="E286" s="91" t="str">
        <f aca="false">IFERROR(VLOOKUP(D286,PLANI_LLOGARIVE!$A:$B,2,FALSE()),"")</f>
        <v/>
      </c>
      <c r="F286" s="92"/>
      <c r="G286" s="93"/>
      <c r="H286" s="94"/>
      <c r="I286" s="95"/>
      <c r="J286" s="96" t="str">
        <f aca="false">IF(TRIM($C286)="","",IF($M286&lt;&gt;"OK",$M286,IF(ABS(SUMIFS($F:$F,$C:$C,TRIM($C286))-SUMIFS($G:$G,$C:$C,TRIM($C286)))&lt;0.005,"OK","ERROR - veprimi nuk balancohet")))</f>
        <v/>
      </c>
      <c r="K286" s="97" t="str">
        <f aca="false">IF($D286="","",IFERROR(VLOOKUP($D286,PLANI_LLOGARIVE!$A:$J,10,FALSE()),FALSE()))</f>
        <v/>
      </c>
      <c r="L286" s="97" t="str">
        <f aca="false">IF($D286="","",IFERROR(VLOOKUP($D286,PLANI_LLOGARIVE!$A:$G,7,FALSE()),"NUK EKZISTON"))</f>
        <v/>
      </c>
      <c r="M286" s="98" t="str">
        <f aca="false">IF($D286="","",IF(COUNTIF(PLANI_LLOGARIVE!$A:$A,$D286)=0,"ERROR - llogaria nuk ekziston",IF($K286=TRUE(),"OK","ERROR - llogari jo-postuese/Header")))</f>
        <v/>
      </c>
      <c r="N286" s="99" t="str">
        <f aca="false">IF(TRIM($C286)="","",IF(ABS(SUMIFS($F:$F,$C:$C,TRIM($C286))-SUMIFS($G:$G,$C:$C,TRIM($C286)))&lt;0.005,"OK","ERROR - debi/kredi"))</f>
        <v/>
      </c>
      <c r="O286" s="88"/>
      <c r="P286" s="88"/>
      <c r="Q286" s="88"/>
      <c r="R286" s="88"/>
      <c r="S286" s="100" t="str">
        <f aca="false">IF(D286="","",LEFT(D286&amp;"",2))</f>
        <v/>
      </c>
      <c r="T286" s="101" t="str">
        <f aca="false">IF(D286="","",LEFT(D286&amp;"",3))</f>
        <v/>
      </c>
    </row>
    <row r="287" customFormat="false" ht="14.25" hidden="false" customHeight="true" outlineLevel="0" collapsed="false">
      <c r="A287" s="89"/>
      <c r="B287" s="90"/>
      <c r="C287" s="90"/>
      <c r="D287" s="90"/>
      <c r="E287" s="91" t="str">
        <f aca="false">IFERROR(VLOOKUP(D287,PLANI_LLOGARIVE!$A:$B,2,FALSE()),"")</f>
        <v/>
      </c>
      <c r="F287" s="92"/>
      <c r="G287" s="93"/>
      <c r="H287" s="94"/>
      <c r="I287" s="95"/>
      <c r="J287" s="96" t="str">
        <f aca="false">IF(TRIM($C287)="","",IF($M287&lt;&gt;"OK",$M287,IF(ABS(SUMIFS($F:$F,$C:$C,TRIM($C287))-SUMIFS($G:$G,$C:$C,TRIM($C287)))&lt;0.005,"OK","ERROR - veprimi nuk balancohet")))</f>
        <v/>
      </c>
      <c r="K287" s="97" t="str">
        <f aca="false">IF($D287="","",IFERROR(VLOOKUP($D287,PLANI_LLOGARIVE!$A:$J,10,FALSE()),FALSE()))</f>
        <v/>
      </c>
      <c r="L287" s="97" t="str">
        <f aca="false">IF($D287="","",IFERROR(VLOOKUP($D287,PLANI_LLOGARIVE!$A:$G,7,FALSE()),"NUK EKZISTON"))</f>
        <v/>
      </c>
      <c r="M287" s="98" t="str">
        <f aca="false">IF($D287="","",IF(COUNTIF(PLANI_LLOGARIVE!$A:$A,$D287)=0,"ERROR - llogaria nuk ekziston",IF($K287=TRUE(),"OK","ERROR - llogari jo-postuese/Header")))</f>
        <v/>
      </c>
      <c r="N287" s="99" t="str">
        <f aca="false">IF(TRIM($C287)="","",IF(ABS(SUMIFS($F:$F,$C:$C,TRIM($C287))-SUMIFS($G:$G,$C:$C,TRIM($C287)))&lt;0.005,"OK","ERROR - debi/kredi"))</f>
        <v/>
      </c>
      <c r="O287" s="88"/>
      <c r="P287" s="88"/>
      <c r="Q287" s="88"/>
      <c r="R287" s="88"/>
      <c r="S287" s="100" t="str">
        <f aca="false">IF(D287="","",LEFT(D287&amp;"",2))</f>
        <v/>
      </c>
      <c r="T287" s="101" t="str">
        <f aca="false">IF(D287="","",LEFT(D287&amp;"",3))</f>
        <v/>
      </c>
    </row>
    <row r="288" customFormat="false" ht="14.25" hidden="false" customHeight="true" outlineLevel="0" collapsed="false">
      <c r="A288" s="89"/>
      <c r="B288" s="90"/>
      <c r="C288" s="90"/>
      <c r="D288" s="90"/>
      <c r="E288" s="91" t="str">
        <f aca="false">IFERROR(VLOOKUP(D288,PLANI_LLOGARIVE!$A:$B,2,FALSE()),"")</f>
        <v/>
      </c>
      <c r="F288" s="92"/>
      <c r="G288" s="93"/>
      <c r="H288" s="94"/>
      <c r="I288" s="95"/>
      <c r="J288" s="96" t="str">
        <f aca="false">IF(TRIM($C288)="","",IF($M288&lt;&gt;"OK",$M288,IF(ABS(SUMIFS($F:$F,$C:$C,TRIM($C288))-SUMIFS($G:$G,$C:$C,TRIM($C288)))&lt;0.005,"OK","ERROR - veprimi nuk balancohet")))</f>
        <v/>
      </c>
      <c r="K288" s="97" t="str">
        <f aca="false">IF($D288="","",IFERROR(VLOOKUP($D288,PLANI_LLOGARIVE!$A:$J,10,FALSE()),FALSE()))</f>
        <v/>
      </c>
      <c r="L288" s="97" t="str">
        <f aca="false">IF($D288="","",IFERROR(VLOOKUP($D288,PLANI_LLOGARIVE!$A:$G,7,FALSE()),"NUK EKZISTON"))</f>
        <v/>
      </c>
      <c r="M288" s="98" t="str">
        <f aca="false">IF($D288="","",IF(COUNTIF(PLANI_LLOGARIVE!$A:$A,$D288)=0,"ERROR - llogaria nuk ekziston",IF($K288=TRUE(),"OK","ERROR - llogari jo-postuese/Header")))</f>
        <v/>
      </c>
      <c r="N288" s="99" t="str">
        <f aca="false">IF(TRIM($C288)="","",IF(ABS(SUMIFS($F:$F,$C:$C,TRIM($C288))-SUMIFS($G:$G,$C:$C,TRIM($C288)))&lt;0.005,"OK","ERROR - debi/kredi"))</f>
        <v/>
      </c>
      <c r="O288" s="88"/>
      <c r="P288" s="88"/>
      <c r="Q288" s="88"/>
      <c r="R288" s="88"/>
      <c r="S288" s="100" t="str">
        <f aca="false">IF(D288="","",LEFT(D288&amp;"",2))</f>
        <v/>
      </c>
      <c r="T288" s="101" t="str">
        <f aca="false">IF(D288="","",LEFT(D288&amp;"",3))</f>
        <v/>
      </c>
    </row>
    <row r="289" customFormat="false" ht="14.25" hidden="false" customHeight="true" outlineLevel="0" collapsed="false">
      <c r="A289" s="89"/>
      <c r="B289" s="90"/>
      <c r="C289" s="90"/>
      <c r="D289" s="90"/>
      <c r="E289" s="91" t="str">
        <f aca="false">IFERROR(VLOOKUP(D289,PLANI_LLOGARIVE!$A:$B,2,FALSE()),"")</f>
        <v/>
      </c>
      <c r="F289" s="92"/>
      <c r="G289" s="93"/>
      <c r="H289" s="94"/>
      <c r="I289" s="95"/>
      <c r="J289" s="96" t="str">
        <f aca="false">IF(TRIM($C289)="","",IF($M289&lt;&gt;"OK",$M289,IF(ABS(SUMIFS($F:$F,$C:$C,TRIM($C289))-SUMIFS($G:$G,$C:$C,TRIM($C289)))&lt;0.005,"OK","ERROR - veprimi nuk balancohet")))</f>
        <v/>
      </c>
      <c r="K289" s="97" t="str">
        <f aca="false">IF($D289="","",IFERROR(VLOOKUP($D289,PLANI_LLOGARIVE!$A:$J,10,FALSE()),FALSE()))</f>
        <v/>
      </c>
      <c r="L289" s="97" t="str">
        <f aca="false">IF($D289="","",IFERROR(VLOOKUP($D289,PLANI_LLOGARIVE!$A:$G,7,FALSE()),"NUK EKZISTON"))</f>
        <v/>
      </c>
      <c r="M289" s="98" t="str">
        <f aca="false">IF($D289="","",IF(COUNTIF(PLANI_LLOGARIVE!$A:$A,$D289)=0,"ERROR - llogaria nuk ekziston",IF($K289=TRUE(),"OK","ERROR - llogari jo-postuese/Header")))</f>
        <v/>
      </c>
      <c r="N289" s="99" t="str">
        <f aca="false">IF(TRIM($C289)="","",IF(ABS(SUMIFS($F:$F,$C:$C,TRIM($C289))-SUMIFS($G:$G,$C:$C,TRIM($C289)))&lt;0.005,"OK","ERROR - debi/kredi"))</f>
        <v/>
      </c>
      <c r="O289" s="88"/>
      <c r="P289" s="88"/>
      <c r="Q289" s="88"/>
      <c r="R289" s="88"/>
      <c r="S289" s="100" t="str">
        <f aca="false">IF(D289="","",LEFT(D289&amp;"",2))</f>
        <v/>
      </c>
      <c r="T289" s="101" t="str">
        <f aca="false">IF(D289="","",LEFT(D289&amp;"",3))</f>
        <v/>
      </c>
    </row>
    <row r="290" customFormat="false" ht="14.25" hidden="false" customHeight="true" outlineLevel="0" collapsed="false">
      <c r="A290" s="89"/>
      <c r="B290" s="90"/>
      <c r="C290" s="90"/>
      <c r="D290" s="90"/>
      <c r="E290" s="91" t="str">
        <f aca="false">IFERROR(VLOOKUP(D290,PLANI_LLOGARIVE!$A:$B,2,FALSE()),"")</f>
        <v/>
      </c>
      <c r="F290" s="92"/>
      <c r="G290" s="93"/>
      <c r="H290" s="94"/>
      <c r="I290" s="95"/>
      <c r="J290" s="96" t="str">
        <f aca="false">IF(TRIM($C290)="","",IF($M290&lt;&gt;"OK",$M290,IF(ABS(SUMIFS($F:$F,$C:$C,TRIM($C290))-SUMIFS($G:$G,$C:$C,TRIM($C290)))&lt;0.005,"OK","ERROR - veprimi nuk balancohet")))</f>
        <v/>
      </c>
      <c r="K290" s="97" t="str">
        <f aca="false">IF($D290="","",IFERROR(VLOOKUP($D290,PLANI_LLOGARIVE!$A:$J,10,FALSE()),FALSE()))</f>
        <v/>
      </c>
      <c r="L290" s="97" t="str">
        <f aca="false">IF($D290="","",IFERROR(VLOOKUP($D290,PLANI_LLOGARIVE!$A:$G,7,FALSE()),"NUK EKZISTON"))</f>
        <v/>
      </c>
      <c r="M290" s="98" t="str">
        <f aca="false">IF($D290="","",IF(COUNTIF(PLANI_LLOGARIVE!$A:$A,$D290)=0,"ERROR - llogaria nuk ekziston",IF($K290=TRUE(),"OK","ERROR - llogari jo-postuese/Header")))</f>
        <v/>
      </c>
      <c r="N290" s="99" t="str">
        <f aca="false">IF(TRIM($C290)="","",IF(ABS(SUMIFS($F:$F,$C:$C,TRIM($C290))-SUMIFS($G:$G,$C:$C,TRIM($C290)))&lt;0.005,"OK","ERROR - debi/kredi"))</f>
        <v/>
      </c>
      <c r="O290" s="88"/>
      <c r="P290" s="88"/>
      <c r="Q290" s="88"/>
      <c r="R290" s="88"/>
      <c r="S290" s="100" t="str">
        <f aca="false">IF(D290="","",LEFT(D290&amp;"",2))</f>
        <v/>
      </c>
      <c r="T290" s="101" t="str">
        <f aca="false">IF(D290="","",LEFT(D290&amp;"",3))</f>
        <v/>
      </c>
    </row>
    <row r="291" customFormat="false" ht="14.25" hidden="false" customHeight="true" outlineLevel="0" collapsed="false">
      <c r="A291" s="89"/>
      <c r="B291" s="90"/>
      <c r="C291" s="90"/>
      <c r="D291" s="90"/>
      <c r="E291" s="91" t="str">
        <f aca="false">IFERROR(VLOOKUP(D291,PLANI_LLOGARIVE!$A:$B,2,FALSE()),"")</f>
        <v/>
      </c>
      <c r="F291" s="92"/>
      <c r="G291" s="93"/>
      <c r="H291" s="94"/>
      <c r="I291" s="95"/>
      <c r="J291" s="96" t="str">
        <f aca="false">IF(TRIM($C291)="","",IF($M291&lt;&gt;"OK",$M291,IF(ABS(SUMIFS($F:$F,$C:$C,TRIM($C291))-SUMIFS($G:$G,$C:$C,TRIM($C291)))&lt;0.005,"OK","ERROR - veprimi nuk balancohet")))</f>
        <v/>
      </c>
      <c r="K291" s="97" t="str">
        <f aca="false">IF($D291="","",IFERROR(VLOOKUP($D291,PLANI_LLOGARIVE!$A:$J,10,FALSE()),FALSE()))</f>
        <v/>
      </c>
      <c r="L291" s="97" t="str">
        <f aca="false">IF($D291="","",IFERROR(VLOOKUP($D291,PLANI_LLOGARIVE!$A:$G,7,FALSE()),"NUK EKZISTON"))</f>
        <v/>
      </c>
      <c r="M291" s="98" t="str">
        <f aca="false">IF($D291="","",IF(COUNTIF(PLANI_LLOGARIVE!$A:$A,$D291)=0,"ERROR - llogaria nuk ekziston",IF($K291=TRUE(),"OK","ERROR - llogari jo-postuese/Header")))</f>
        <v/>
      </c>
      <c r="N291" s="99" t="str">
        <f aca="false">IF(TRIM($C291)="","",IF(ABS(SUMIFS($F:$F,$C:$C,TRIM($C291))-SUMIFS($G:$G,$C:$C,TRIM($C291)))&lt;0.005,"OK","ERROR - debi/kredi"))</f>
        <v/>
      </c>
      <c r="O291" s="88"/>
      <c r="P291" s="88"/>
      <c r="Q291" s="88"/>
      <c r="R291" s="88"/>
      <c r="S291" s="100" t="str">
        <f aca="false">IF(D291="","",LEFT(D291&amp;"",2))</f>
        <v/>
      </c>
      <c r="T291" s="101" t="str">
        <f aca="false">IF(D291="","",LEFT(D291&amp;"",3))</f>
        <v/>
      </c>
    </row>
    <row r="292" customFormat="false" ht="14.25" hidden="false" customHeight="true" outlineLevel="0" collapsed="false">
      <c r="A292" s="89"/>
      <c r="B292" s="90"/>
      <c r="C292" s="90"/>
      <c r="D292" s="90"/>
      <c r="E292" s="91" t="str">
        <f aca="false">IFERROR(VLOOKUP(D292,PLANI_LLOGARIVE!$A:$B,2,FALSE()),"")</f>
        <v/>
      </c>
      <c r="F292" s="92"/>
      <c r="G292" s="93"/>
      <c r="H292" s="94"/>
      <c r="I292" s="95"/>
      <c r="J292" s="96" t="str">
        <f aca="false">IF(TRIM($C292)="","",IF($M292&lt;&gt;"OK",$M292,IF(ABS(SUMIFS($F:$F,$C:$C,TRIM($C292))-SUMIFS($G:$G,$C:$C,TRIM($C292)))&lt;0.005,"OK","ERROR - veprimi nuk balancohet")))</f>
        <v/>
      </c>
      <c r="K292" s="97" t="str">
        <f aca="false">IF($D292="","",IFERROR(VLOOKUP($D292,PLANI_LLOGARIVE!$A:$J,10,FALSE()),FALSE()))</f>
        <v/>
      </c>
      <c r="L292" s="97" t="str">
        <f aca="false">IF($D292="","",IFERROR(VLOOKUP($D292,PLANI_LLOGARIVE!$A:$G,7,FALSE()),"NUK EKZISTON"))</f>
        <v/>
      </c>
      <c r="M292" s="98" t="str">
        <f aca="false">IF($D292="","",IF(COUNTIF(PLANI_LLOGARIVE!$A:$A,$D292)=0,"ERROR - llogaria nuk ekziston",IF($K292=TRUE(),"OK","ERROR - llogari jo-postuese/Header")))</f>
        <v/>
      </c>
      <c r="N292" s="99" t="str">
        <f aca="false">IF(TRIM($C292)="","",IF(ABS(SUMIFS($F:$F,$C:$C,TRIM($C292))-SUMIFS($G:$G,$C:$C,TRIM($C292)))&lt;0.005,"OK","ERROR - debi/kredi"))</f>
        <v/>
      </c>
      <c r="O292" s="88"/>
      <c r="P292" s="88"/>
      <c r="Q292" s="88"/>
      <c r="R292" s="88"/>
      <c r="S292" s="100" t="str">
        <f aca="false">IF(D292="","",LEFT(D292&amp;"",2))</f>
        <v/>
      </c>
      <c r="T292" s="101" t="str">
        <f aca="false">IF(D292="","",LEFT(D292&amp;"",3))</f>
        <v/>
      </c>
    </row>
    <row r="293" customFormat="false" ht="14.25" hidden="false" customHeight="true" outlineLevel="0" collapsed="false">
      <c r="A293" s="89"/>
      <c r="B293" s="90"/>
      <c r="C293" s="90"/>
      <c r="D293" s="90"/>
      <c r="E293" s="91" t="str">
        <f aca="false">IFERROR(VLOOKUP(D293,PLANI_LLOGARIVE!$A:$B,2,FALSE()),"")</f>
        <v/>
      </c>
      <c r="F293" s="92"/>
      <c r="G293" s="93"/>
      <c r="H293" s="94"/>
      <c r="I293" s="95"/>
      <c r="J293" s="96" t="str">
        <f aca="false">IF(TRIM($C293)="","",IF($M293&lt;&gt;"OK",$M293,IF(ABS(SUMIFS($F:$F,$C:$C,TRIM($C293))-SUMIFS($G:$G,$C:$C,TRIM($C293)))&lt;0.005,"OK","ERROR - veprimi nuk balancohet")))</f>
        <v/>
      </c>
      <c r="K293" s="97" t="str">
        <f aca="false">IF($D293="","",IFERROR(VLOOKUP($D293,PLANI_LLOGARIVE!$A:$J,10,FALSE()),FALSE()))</f>
        <v/>
      </c>
      <c r="L293" s="97" t="str">
        <f aca="false">IF($D293="","",IFERROR(VLOOKUP($D293,PLANI_LLOGARIVE!$A:$G,7,FALSE()),"NUK EKZISTON"))</f>
        <v/>
      </c>
      <c r="M293" s="98" t="str">
        <f aca="false">IF($D293="","",IF(COUNTIF(PLANI_LLOGARIVE!$A:$A,$D293)=0,"ERROR - llogaria nuk ekziston",IF($K293=TRUE(),"OK","ERROR - llogari jo-postuese/Header")))</f>
        <v/>
      </c>
      <c r="N293" s="99" t="str">
        <f aca="false">IF(TRIM($C293)="","",IF(ABS(SUMIFS($F:$F,$C:$C,TRIM($C293))-SUMIFS($G:$G,$C:$C,TRIM($C293)))&lt;0.005,"OK","ERROR - debi/kredi"))</f>
        <v/>
      </c>
      <c r="O293" s="88"/>
      <c r="P293" s="88"/>
      <c r="Q293" s="88"/>
      <c r="R293" s="88"/>
      <c r="S293" s="100" t="str">
        <f aca="false">IF(D293="","",LEFT(D293&amp;"",2))</f>
        <v/>
      </c>
      <c r="T293" s="101" t="str">
        <f aca="false">IF(D293="","",LEFT(D293&amp;"",3))</f>
        <v/>
      </c>
    </row>
    <row r="294" customFormat="false" ht="14.25" hidden="false" customHeight="true" outlineLevel="0" collapsed="false">
      <c r="A294" s="89"/>
      <c r="B294" s="90"/>
      <c r="C294" s="90"/>
      <c r="D294" s="90"/>
      <c r="E294" s="91" t="str">
        <f aca="false">IFERROR(VLOOKUP(D294,PLANI_LLOGARIVE!$A:$B,2,FALSE()),"")</f>
        <v/>
      </c>
      <c r="F294" s="92"/>
      <c r="G294" s="93"/>
      <c r="H294" s="94"/>
      <c r="I294" s="95"/>
      <c r="J294" s="96" t="str">
        <f aca="false">IF(TRIM($C294)="","",IF($M294&lt;&gt;"OK",$M294,IF(ABS(SUMIFS($F:$F,$C:$C,TRIM($C294))-SUMIFS($G:$G,$C:$C,TRIM($C294)))&lt;0.005,"OK","ERROR - veprimi nuk balancohet")))</f>
        <v/>
      </c>
      <c r="K294" s="97" t="str">
        <f aca="false">IF($D294="","",IFERROR(VLOOKUP($D294,PLANI_LLOGARIVE!$A:$J,10,FALSE()),FALSE()))</f>
        <v/>
      </c>
      <c r="L294" s="97" t="str">
        <f aca="false">IF($D294="","",IFERROR(VLOOKUP($D294,PLANI_LLOGARIVE!$A:$G,7,FALSE()),"NUK EKZISTON"))</f>
        <v/>
      </c>
      <c r="M294" s="98" t="str">
        <f aca="false">IF($D294="","",IF(COUNTIF(PLANI_LLOGARIVE!$A:$A,$D294)=0,"ERROR - llogaria nuk ekziston",IF($K294=TRUE(),"OK","ERROR - llogari jo-postuese/Header")))</f>
        <v/>
      </c>
      <c r="N294" s="99" t="str">
        <f aca="false">IF(TRIM($C294)="","",IF(ABS(SUMIFS($F:$F,$C:$C,TRIM($C294))-SUMIFS($G:$G,$C:$C,TRIM($C294)))&lt;0.005,"OK","ERROR - debi/kredi"))</f>
        <v/>
      </c>
      <c r="O294" s="88"/>
      <c r="P294" s="88"/>
      <c r="Q294" s="88"/>
      <c r="R294" s="88"/>
      <c r="S294" s="100" t="str">
        <f aca="false">IF(D294="","",LEFT(D294&amp;"",2))</f>
        <v/>
      </c>
      <c r="T294" s="101" t="str">
        <f aca="false">IF(D294="","",LEFT(D294&amp;"",3))</f>
        <v/>
      </c>
    </row>
    <row r="295" customFormat="false" ht="14.25" hidden="false" customHeight="true" outlineLevel="0" collapsed="false">
      <c r="A295" s="89"/>
      <c r="B295" s="90"/>
      <c r="C295" s="90"/>
      <c r="D295" s="90"/>
      <c r="E295" s="91" t="str">
        <f aca="false">IFERROR(VLOOKUP(D295,PLANI_LLOGARIVE!$A:$B,2,FALSE()),"")</f>
        <v/>
      </c>
      <c r="F295" s="92"/>
      <c r="G295" s="93"/>
      <c r="H295" s="94"/>
      <c r="I295" s="95"/>
      <c r="J295" s="96" t="str">
        <f aca="false">IF(TRIM($C295)="","",IF($M295&lt;&gt;"OK",$M295,IF(ABS(SUMIFS($F:$F,$C:$C,TRIM($C295))-SUMIFS($G:$G,$C:$C,TRIM($C295)))&lt;0.005,"OK","ERROR - veprimi nuk balancohet")))</f>
        <v/>
      </c>
      <c r="K295" s="97" t="str">
        <f aca="false">IF($D295="","",IFERROR(VLOOKUP($D295,PLANI_LLOGARIVE!$A:$J,10,FALSE()),FALSE()))</f>
        <v/>
      </c>
      <c r="L295" s="97" t="str">
        <f aca="false">IF($D295="","",IFERROR(VLOOKUP($D295,PLANI_LLOGARIVE!$A:$G,7,FALSE()),"NUK EKZISTON"))</f>
        <v/>
      </c>
      <c r="M295" s="98" t="str">
        <f aca="false">IF($D295="","",IF(COUNTIF(PLANI_LLOGARIVE!$A:$A,$D295)=0,"ERROR - llogaria nuk ekziston",IF($K295=TRUE(),"OK","ERROR - llogari jo-postuese/Header")))</f>
        <v/>
      </c>
      <c r="N295" s="99" t="str">
        <f aca="false">IF(TRIM($C295)="","",IF(ABS(SUMIFS($F:$F,$C:$C,TRIM($C295))-SUMIFS($G:$G,$C:$C,TRIM($C295)))&lt;0.005,"OK","ERROR - debi/kredi"))</f>
        <v/>
      </c>
      <c r="O295" s="88"/>
      <c r="P295" s="88"/>
      <c r="Q295" s="88"/>
      <c r="R295" s="88"/>
      <c r="S295" s="100" t="str">
        <f aca="false">IF(D295="","",LEFT(D295&amp;"",2))</f>
        <v/>
      </c>
      <c r="T295" s="101" t="str">
        <f aca="false">IF(D295="","",LEFT(D295&amp;"",3))</f>
        <v/>
      </c>
    </row>
    <row r="296" customFormat="false" ht="14.25" hidden="false" customHeight="true" outlineLevel="0" collapsed="false">
      <c r="A296" s="89"/>
      <c r="B296" s="90"/>
      <c r="C296" s="90"/>
      <c r="D296" s="90"/>
      <c r="E296" s="91" t="str">
        <f aca="false">IFERROR(VLOOKUP(D296,PLANI_LLOGARIVE!$A:$B,2,FALSE()),"")</f>
        <v/>
      </c>
      <c r="F296" s="92"/>
      <c r="G296" s="93"/>
      <c r="H296" s="94"/>
      <c r="I296" s="95"/>
      <c r="J296" s="96" t="str">
        <f aca="false">IF(TRIM($C296)="","",IF($M296&lt;&gt;"OK",$M296,IF(ABS(SUMIFS($F:$F,$C:$C,TRIM($C296))-SUMIFS($G:$G,$C:$C,TRIM($C296)))&lt;0.005,"OK","ERROR - veprimi nuk balancohet")))</f>
        <v/>
      </c>
      <c r="K296" s="97" t="str">
        <f aca="false">IF($D296="","",IFERROR(VLOOKUP($D296,PLANI_LLOGARIVE!$A:$J,10,FALSE()),FALSE()))</f>
        <v/>
      </c>
      <c r="L296" s="97" t="str">
        <f aca="false">IF($D296="","",IFERROR(VLOOKUP($D296,PLANI_LLOGARIVE!$A:$G,7,FALSE()),"NUK EKZISTON"))</f>
        <v/>
      </c>
      <c r="M296" s="98" t="str">
        <f aca="false">IF($D296="","",IF(COUNTIF(PLANI_LLOGARIVE!$A:$A,$D296)=0,"ERROR - llogaria nuk ekziston",IF($K296=TRUE(),"OK","ERROR - llogari jo-postuese/Header")))</f>
        <v/>
      </c>
      <c r="N296" s="99" t="str">
        <f aca="false">IF(TRIM($C296)="","",IF(ABS(SUMIFS($F:$F,$C:$C,TRIM($C296))-SUMIFS($G:$G,$C:$C,TRIM($C296)))&lt;0.005,"OK","ERROR - debi/kredi"))</f>
        <v/>
      </c>
      <c r="O296" s="88"/>
      <c r="P296" s="88"/>
      <c r="Q296" s="88"/>
      <c r="R296" s="88"/>
      <c r="S296" s="100" t="str">
        <f aca="false">IF(D296="","",LEFT(D296&amp;"",2))</f>
        <v/>
      </c>
      <c r="T296" s="101" t="str">
        <f aca="false">IF(D296="","",LEFT(D296&amp;"",3))</f>
        <v/>
      </c>
    </row>
    <row r="297" customFormat="false" ht="14.25" hidden="false" customHeight="true" outlineLevel="0" collapsed="false">
      <c r="A297" s="89"/>
      <c r="B297" s="90"/>
      <c r="C297" s="90"/>
      <c r="D297" s="90"/>
      <c r="E297" s="91" t="str">
        <f aca="false">IFERROR(VLOOKUP(D297,PLANI_LLOGARIVE!$A:$B,2,FALSE()),"")</f>
        <v/>
      </c>
      <c r="F297" s="92"/>
      <c r="G297" s="93"/>
      <c r="H297" s="94"/>
      <c r="I297" s="95"/>
      <c r="J297" s="96" t="str">
        <f aca="false">IF(TRIM($C297)="","",IF($M297&lt;&gt;"OK",$M297,IF(ABS(SUMIFS($F:$F,$C:$C,TRIM($C297))-SUMIFS($G:$G,$C:$C,TRIM($C297)))&lt;0.005,"OK","ERROR - veprimi nuk balancohet")))</f>
        <v/>
      </c>
      <c r="K297" s="97" t="str">
        <f aca="false">IF($D297="","",IFERROR(VLOOKUP($D297,PLANI_LLOGARIVE!$A:$J,10,FALSE()),FALSE()))</f>
        <v/>
      </c>
      <c r="L297" s="97" t="str">
        <f aca="false">IF($D297="","",IFERROR(VLOOKUP($D297,PLANI_LLOGARIVE!$A:$G,7,FALSE()),"NUK EKZISTON"))</f>
        <v/>
      </c>
      <c r="M297" s="98" t="str">
        <f aca="false">IF($D297="","",IF(COUNTIF(PLANI_LLOGARIVE!$A:$A,$D297)=0,"ERROR - llogaria nuk ekziston",IF($K297=TRUE(),"OK","ERROR - llogari jo-postuese/Header")))</f>
        <v/>
      </c>
      <c r="N297" s="99" t="str">
        <f aca="false">IF(TRIM($C297)="","",IF(ABS(SUMIFS($F:$F,$C:$C,TRIM($C297))-SUMIFS($G:$G,$C:$C,TRIM($C297)))&lt;0.005,"OK","ERROR - debi/kredi"))</f>
        <v/>
      </c>
      <c r="O297" s="88"/>
      <c r="P297" s="88"/>
      <c r="Q297" s="88"/>
      <c r="R297" s="88"/>
      <c r="S297" s="100" t="str">
        <f aca="false">IF(D297="","",LEFT(D297&amp;"",2))</f>
        <v/>
      </c>
      <c r="T297" s="101" t="str">
        <f aca="false">IF(D297="","",LEFT(D297&amp;"",3))</f>
        <v/>
      </c>
    </row>
    <row r="298" customFormat="false" ht="14.25" hidden="false" customHeight="true" outlineLevel="0" collapsed="false">
      <c r="A298" s="89"/>
      <c r="B298" s="90"/>
      <c r="C298" s="90"/>
      <c r="D298" s="90"/>
      <c r="E298" s="91" t="str">
        <f aca="false">IFERROR(VLOOKUP(D298,PLANI_LLOGARIVE!$A:$B,2,FALSE()),"")</f>
        <v/>
      </c>
      <c r="F298" s="92"/>
      <c r="G298" s="93"/>
      <c r="H298" s="94"/>
      <c r="I298" s="95"/>
      <c r="J298" s="96" t="str">
        <f aca="false">IF(TRIM($C298)="","",IF($M298&lt;&gt;"OK",$M298,IF(ABS(SUMIFS($F:$F,$C:$C,TRIM($C298))-SUMIFS($G:$G,$C:$C,TRIM($C298)))&lt;0.005,"OK","ERROR - veprimi nuk balancohet")))</f>
        <v/>
      </c>
      <c r="K298" s="97" t="str">
        <f aca="false">IF($D298="","",IFERROR(VLOOKUP($D298,PLANI_LLOGARIVE!$A:$J,10,FALSE()),FALSE()))</f>
        <v/>
      </c>
      <c r="L298" s="97" t="str">
        <f aca="false">IF($D298="","",IFERROR(VLOOKUP($D298,PLANI_LLOGARIVE!$A:$G,7,FALSE()),"NUK EKZISTON"))</f>
        <v/>
      </c>
      <c r="M298" s="98" t="str">
        <f aca="false">IF($D298="","",IF(COUNTIF(PLANI_LLOGARIVE!$A:$A,$D298)=0,"ERROR - llogaria nuk ekziston",IF($K298=TRUE(),"OK","ERROR - llogari jo-postuese/Header")))</f>
        <v/>
      </c>
      <c r="N298" s="99" t="str">
        <f aca="false">IF(TRIM($C298)="","",IF(ABS(SUMIFS($F:$F,$C:$C,TRIM($C298))-SUMIFS($G:$G,$C:$C,TRIM($C298)))&lt;0.005,"OK","ERROR - debi/kredi"))</f>
        <v/>
      </c>
      <c r="O298" s="88"/>
      <c r="P298" s="88"/>
      <c r="Q298" s="88"/>
      <c r="R298" s="88"/>
      <c r="S298" s="100" t="str">
        <f aca="false">IF(D298="","",LEFT(D298&amp;"",2))</f>
        <v/>
      </c>
      <c r="T298" s="101" t="str">
        <f aca="false">IF(D298="","",LEFT(D298&amp;"",3))</f>
        <v/>
      </c>
    </row>
    <row r="299" customFormat="false" ht="14.25" hidden="false" customHeight="true" outlineLevel="0" collapsed="false">
      <c r="A299" s="89"/>
      <c r="B299" s="90"/>
      <c r="C299" s="90"/>
      <c r="D299" s="90"/>
      <c r="E299" s="91" t="str">
        <f aca="false">IFERROR(VLOOKUP(D299,PLANI_LLOGARIVE!$A:$B,2,FALSE()),"")</f>
        <v/>
      </c>
      <c r="F299" s="92"/>
      <c r="G299" s="93"/>
      <c r="H299" s="94"/>
      <c r="I299" s="95"/>
      <c r="J299" s="96" t="str">
        <f aca="false">IF(TRIM($C299)="","",IF($M299&lt;&gt;"OK",$M299,IF(ABS(SUMIFS($F:$F,$C:$C,TRIM($C299))-SUMIFS($G:$G,$C:$C,TRIM($C299)))&lt;0.005,"OK","ERROR - veprimi nuk balancohet")))</f>
        <v/>
      </c>
      <c r="K299" s="97" t="str">
        <f aca="false">IF($D299="","",IFERROR(VLOOKUP($D299,PLANI_LLOGARIVE!$A:$J,10,FALSE()),FALSE()))</f>
        <v/>
      </c>
      <c r="L299" s="97" t="str">
        <f aca="false">IF($D299="","",IFERROR(VLOOKUP($D299,PLANI_LLOGARIVE!$A:$G,7,FALSE()),"NUK EKZISTON"))</f>
        <v/>
      </c>
      <c r="M299" s="98" t="str">
        <f aca="false">IF($D299="","",IF(COUNTIF(PLANI_LLOGARIVE!$A:$A,$D299)=0,"ERROR - llogaria nuk ekziston",IF($K299=TRUE(),"OK","ERROR - llogari jo-postuese/Header")))</f>
        <v/>
      </c>
      <c r="N299" s="99" t="str">
        <f aca="false">IF(TRIM($C299)="","",IF(ABS(SUMIFS($F:$F,$C:$C,TRIM($C299))-SUMIFS($G:$G,$C:$C,TRIM($C299)))&lt;0.005,"OK","ERROR - debi/kredi"))</f>
        <v/>
      </c>
      <c r="O299" s="88"/>
      <c r="P299" s="88"/>
      <c r="Q299" s="88"/>
      <c r="R299" s="88"/>
      <c r="S299" s="100" t="str">
        <f aca="false">IF(D299="","",LEFT(D299&amp;"",2))</f>
        <v/>
      </c>
      <c r="T299" s="101" t="str">
        <f aca="false">IF(D299="","",LEFT(D299&amp;"",3))</f>
        <v/>
      </c>
    </row>
    <row r="300" customFormat="false" ht="14.25" hidden="false" customHeight="true" outlineLevel="0" collapsed="false">
      <c r="A300" s="89"/>
      <c r="B300" s="90"/>
      <c r="C300" s="90"/>
      <c r="D300" s="90"/>
      <c r="E300" s="91" t="str">
        <f aca="false">IFERROR(VLOOKUP(D300,PLANI_LLOGARIVE!$A:$B,2,FALSE()),"")</f>
        <v/>
      </c>
      <c r="F300" s="92"/>
      <c r="G300" s="93"/>
      <c r="H300" s="94"/>
      <c r="I300" s="95"/>
      <c r="J300" s="96" t="str">
        <f aca="false">IF(TRIM($C300)="","",IF($M300&lt;&gt;"OK",$M300,IF(ABS(SUMIFS($F:$F,$C:$C,TRIM($C300))-SUMIFS($G:$G,$C:$C,TRIM($C300)))&lt;0.005,"OK","ERROR - veprimi nuk balancohet")))</f>
        <v/>
      </c>
      <c r="K300" s="97" t="str">
        <f aca="false">IF($D300="","",IFERROR(VLOOKUP($D300,PLANI_LLOGARIVE!$A:$J,10,FALSE()),FALSE()))</f>
        <v/>
      </c>
      <c r="L300" s="97" t="str">
        <f aca="false">IF($D300="","",IFERROR(VLOOKUP($D300,PLANI_LLOGARIVE!$A:$G,7,FALSE()),"NUK EKZISTON"))</f>
        <v/>
      </c>
      <c r="M300" s="98" t="str">
        <f aca="false">IF($D300="","",IF(COUNTIF(PLANI_LLOGARIVE!$A:$A,$D300)=0,"ERROR - llogaria nuk ekziston",IF($K300=TRUE(),"OK","ERROR - llogari jo-postuese/Header")))</f>
        <v/>
      </c>
      <c r="N300" s="99" t="str">
        <f aca="false">IF(TRIM($C300)="","",IF(ABS(SUMIFS($F:$F,$C:$C,TRIM($C300))-SUMIFS($G:$G,$C:$C,TRIM($C300)))&lt;0.005,"OK","ERROR - debi/kredi"))</f>
        <v/>
      </c>
      <c r="O300" s="88"/>
      <c r="P300" s="88"/>
      <c r="Q300" s="88"/>
      <c r="R300" s="88"/>
      <c r="S300" s="100" t="str">
        <f aca="false">IF(D300="","",LEFT(D300&amp;"",2))</f>
        <v/>
      </c>
      <c r="T300" s="101" t="str">
        <f aca="false">IF(D300="","",LEFT(D300&amp;"",3))</f>
        <v/>
      </c>
    </row>
    <row r="301" customFormat="false" ht="14.25" hidden="false" customHeight="true" outlineLevel="0" collapsed="false">
      <c r="A301" s="89"/>
      <c r="B301" s="90"/>
      <c r="C301" s="90"/>
      <c r="D301" s="90"/>
      <c r="E301" s="91" t="str">
        <f aca="false">IFERROR(VLOOKUP(D301,PLANI_LLOGARIVE!$A:$B,2,FALSE()),"")</f>
        <v/>
      </c>
      <c r="F301" s="92"/>
      <c r="G301" s="93"/>
      <c r="H301" s="94"/>
      <c r="I301" s="95"/>
      <c r="J301" s="96" t="str">
        <f aca="false">IF(TRIM($C301)="","",IF($M301&lt;&gt;"OK",$M301,IF(ABS(SUMIFS($F:$F,$C:$C,TRIM($C301))-SUMIFS($G:$G,$C:$C,TRIM($C301)))&lt;0.005,"OK","ERROR - veprimi nuk balancohet")))</f>
        <v/>
      </c>
      <c r="K301" s="97" t="str">
        <f aca="false">IF($D301="","",IFERROR(VLOOKUP($D301,PLANI_LLOGARIVE!$A:$J,10,FALSE()),FALSE()))</f>
        <v/>
      </c>
      <c r="L301" s="97" t="str">
        <f aca="false">IF($D301="","",IFERROR(VLOOKUP($D301,PLANI_LLOGARIVE!$A:$G,7,FALSE()),"NUK EKZISTON"))</f>
        <v/>
      </c>
      <c r="M301" s="98" t="str">
        <f aca="false">IF($D301="","",IF(COUNTIF(PLANI_LLOGARIVE!$A:$A,$D301)=0,"ERROR - llogaria nuk ekziston",IF($K301=TRUE(),"OK","ERROR - llogari jo-postuese/Header")))</f>
        <v/>
      </c>
      <c r="N301" s="99" t="str">
        <f aca="false">IF(TRIM($C301)="","",IF(ABS(SUMIFS($F:$F,$C:$C,TRIM($C301))-SUMIFS($G:$G,$C:$C,TRIM($C301)))&lt;0.005,"OK","ERROR - debi/kredi"))</f>
        <v/>
      </c>
      <c r="O301" s="88"/>
      <c r="P301" s="88"/>
      <c r="Q301" s="88"/>
      <c r="R301" s="88"/>
      <c r="S301" s="100" t="str">
        <f aca="false">IF(D301="","",LEFT(D301&amp;"",2))</f>
        <v/>
      </c>
      <c r="T301" s="101" t="str">
        <f aca="false">IF(D301="","",LEFT(D301&amp;"",3))</f>
        <v/>
      </c>
    </row>
    <row r="302" customFormat="false" ht="14.25" hidden="false" customHeight="true" outlineLevel="0" collapsed="false">
      <c r="A302" s="89"/>
      <c r="B302" s="90"/>
      <c r="C302" s="90"/>
      <c r="D302" s="90"/>
      <c r="E302" s="91" t="str">
        <f aca="false">IFERROR(VLOOKUP(D302,PLANI_LLOGARIVE!$A:$B,2,FALSE()),"")</f>
        <v/>
      </c>
      <c r="F302" s="92"/>
      <c r="G302" s="93"/>
      <c r="H302" s="94"/>
      <c r="I302" s="95"/>
      <c r="J302" s="96" t="str">
        <f aca="false">IF(TRIM($C302)="","",IF($M302&lt;&gt;"OK",$M302,IF(ABS(SUMIFS($F:$F,$C:$C,TRIM($C302))-SUMIFS($G:$G,$C:$C,TRIM($C302)))&lt;0.005,"OK","ERROR - veprimi nuk balancohet")))</f>
        <v/>
      </c>
      <c r="K302" s="97" t="str">
        <f aca="false">IF($D302="","",IFERROR(VLOOKUP($D302,PLANI_LLOGARIVE!$A:$J,10,FALSE()),FALSE()))</f>
        <v/>
      </c>
      <c r="L302" s="97" t="str">
        <f aca="false">IF($D302="","",IFERROR(VLOOKUP($D302,PLANI_LLOGARIVE!$A:$G,7,FALSE()),"NUK EKZISTON"))</f>
        <v/>
      </c>
      <c r="M302" s="98" t="str">
        <f aca="false">IF($D302="","",IF(COUNTIF(PLANI_LLOGARIVE!$A:$A,$D302)=0,"ERROR - llogaria nuk ekziston",IF($K302=TRUE(),"OK","ERROR - llogari jo-postuese/Header")))</f>
        <v/>
      </c>
      <c r="N302" s="99" t="str">
        <f aca="false">IF(TRIM($C302)="","",IF(ABS(SUMIFS($F:$F,$C:$C,TRIM($C302))-SUMIFS($G:$G,$C:$C,TRIM($C302)))&lt;0.005,"OK","ERROR - debi/kredi"))</f>
        <v/>
      </c>
      <c r="O302" s="88"/>
      <c r="P302" s="88"/>
      <c r="Q302" s="88"/>
      <c r="R302" s="88"/>
      <c r="S302" s="100" t="str">
        <f aca="false">IF(D302="","",LEFT(D302&amp;"",2))</f>
        <v/>
      </c>
      <c r="T302" s="101" t="str">
        <f aca="false">IF(D302="","",LEFT(D302&amp;"",3))</f>
        <v/>
      </c>
    </row>
    <row r="303" customFormat="false" ht="14.25" hidden="false" customHeight="true" outlineLevel="0" collapsed="false">
      <c r="A303" s="89"/>
      <c r="B303" s="90"/>
      <c r="C303" s="90"/>
      <c r="D303" s="90"/>
      <c r="E303" s="91" t="str">
        <f aca="false">IFERROR(VLOOKUP(D303,PLANI_LLOGARIVE!$A:$B,2,FALSE()),"")</f>
        <v/>
      </c>
      <c r="F303" s="92"/>
      <c r="G303" s="93"/>
      <c r="H303" s="94"/>
      <c r="I303" s="95"/>
      <c r="J303" s="96" t="str">
        <f aca="false">IF(TRIM($C303)="","",IF($M303&lt;&gt;"OK",$M303,IF(ABS(SUMIFS($F:$F,$C:$C,TRIM($C303))-SUMIFS($G:$G,$C:$C,TRIM($C303)))&lt;0.005,"OK","ERROR - veprimi nuk balancohet")))</f>
        <v/>
      </c>
      <c r="K303" s="97" t="str">
        <f aca="false">IF($D303="","",IFERROR(VLOOKUP($D303,PLANI_LLOGARIVE!$A:$J,10,FALSE()),FALSE()))</f>
        <v/>
      </c>
      <c r="L303" s="97" t="str">
        <f aca="false">IF($D303="","",IFERROR(VLOOKUP($D303,PLANI_LLOGARIVE!$A:$G,7,FALSE()),"NUK EKZISTON"))</f>
        <v/>
      </c>
      <c r="M303" s="98" t="str">
        <f aca="false">IF($D303="","",IF(COUNTIF(PLANI_LLOGARIVE!$A:$A,$D303)=0,"ERROR - llogaria nuk ekziston",IF($K303=TRUE(),"OK","ERROR - llogari jo-postuese/Header")))</f>
        <v/>
      </c>
      <c r="N303" s="99" t="str">
        <f aca="false">IF(TRIM($C303)="","",IF(ABS(SUMIFS($F:$F,$C:$C,TRIM($C303))-SUMIFS($G:$G,$C:$C,TRIM($C303)))&lt;0.005,"OK","ERROR - debi/kredi"))</f>
        <v/>
      </c>
      <c r="O303" s="88"/>
      <c r="P303" s="88"/>
      <c r="Q303" s="88"/>
      <c r="R303" s="88"/>
      <c r="S303" s="100" t="str">
        <f aca="false">IF(D303="","",LEFT(D303&amp;"",2))</f>
        <v/>
      </c>
      <c r="T303" s="101" t="str">
        <f aca="false">IF(D303="","",LEFT(D303&amp;"",3))</f>
        <v/>
      </c>
    </row>
    <row r="304" customFormat="false" ht="14.25" hidden="false" customHeight="true" outlineLevel="0" collapsed="false">
      <c r="A304" s="89"/>
      <c r="B304" s="90"/>
      <c r="C304" s="90"/>
      <c r="D304" s="90"/>
      <c r="E304" s="91" t="str">
        <f aca="false">IFERROR(VLOOKUP(D304,PLANI_LLOGARIVE!$A:$B,2,FALSE()),"")</f>
        <v/>
      </c>
      <c r="F304" s="92"/>
      <c r="G304" s="93"/>
      <c r="H304" s="94"/>
      <c r="I304" s="95"/>
      <c r="J304" s="96" t="str">
        <f aca="false">IF(TRIM($C304)="","",IF($M304&lt;&gt;"OK",$M304,IF(ABS(SUMIFS($F:$F,$C:$C,TRIM($C304))-SUMIFS($G:$G,$C:$C,TRIM($C304)))&lt;0.005,"OK","ERROR - veprimi nuk balancohet")))</f>
        <v/>
      </c>
      <c r="K304" s="97" t="str">
        <f aca="false">IF($D304="","",IFERROR(VLOOKUP($D304,PLANI_LLOGARIVE!$A:$J,10,FALSE()),FALSE()))</f>
        <v/>
      </c>
      <c r="L304" s="97" t="str">
        <f aca="false">IF($D304="","",IFERROR(VLOOKUP($D304,PLANI_LLOGARIVE!$A:$G,7,FALSE()),"NUK EKZISTON"))</f>
        <v/>
      </c>
      <c r="M304" s="98" t="str">
        <f aca="false">IF($D304="","",IF(COUNTIF(PLANI_LLOGARIVE!$A:$A,$D304)=0,"ERROR - llogaria nuk ekziston",IF($K304=TRUE(),"OK","ERROR - llogari jo-postuese/Header")))</f>
        <v/>
      </c>
      <c r="N304" s="99" t="str">
        <f aca="false">IF(TRIM($C304)="","",IF(ABS(SUMIFS($F:$F,$C:$C,TRIM($C304))-SUMIFS($G:$G,$C:$C,TRIM($C304)))&lt;0.005,"OK","ERROR - debi/kredi"))</f>
        <v/>
      </c>
      <c r="O304" s="88"/>
      <c r="P304" s="88"/>
      <c r="Q304" s="88"/>
      <c r="R304" s="88"/>
      <c r="S304" s="100" t="str">
        <f aca="false">IF(D304="","",LEFT(D304&amp;"",2))</f>
        <v/>
      </c>
      <c r="T304" s="101" t="str">
        <f aca="false">IF(D304="","",LEFT(D304&amp;"",3))</f>
        <v/>
      </c>
    </row>
    <row r="305" customFormat="false" ht="14.25" hidden="false" customHeight="true" outlineLevel="0" collapsed="false">
      <c r="A305" s="89"/>
      <c r="B305" s="90"/>
      <c r="C305" s="90"/>
      <c r="D305" s="90"/>
      <c r="E305" s="91" t="str">
        <f aca="false">IFERROR(VLOOKUP(D305,PLANI_LLOGARIVE!$A:$B,2,FALSE()),"")</f>
        <v/>
      </c>
      <c r="F305" s="92"/>
      <c r="G305" s="93"/>
      <c r="H305" s="94"/>
      <c r="I305" s="95"/>
      <c r="J305" s="96" t="str">
        <f aca="false">IF(TRIM($C305)="","",IF($M305&lt;&gt;"OK",$M305,IF(ABS(SUMIFS($F:$F,$C:$C,TRIM($C305))-SUMIFS($G:$G,$C:$C,TRIM($C305)))&lt;0.005,"OK","ERROR - veprimi nuk balancohet")))</f>
        <v/>
      </c>
      <c r="K305" s="97" t="str">
        <f aca="false">IF($D305="","",IFERROR(VLOOKUP($D305,PLANI_LLOGARIVE!$A:$J,10,FALSE()),FALSE()))</f>
        <v/>
      </c>
      <c r="L305" s="97" t="str">
        <f aca="false">IF($D305="","",IFERROR(VLOOKUP($D305,PLANI_LLOGARIVE!$A:$G,7,FALSE()),"NUK EKZISTON"))</f>
        <v/>
      </c>
      <c r="M305" s="98" t="str">
        <f aca="false">IF($D305="","",IF(COUNTIF(PLANI_LLOGARIVE!$A:$A,$D305)=0,"ERROR - llogaria nuk ekziston",IF($K305=TRUE(),"OK","ERROR - llogari jo-postuese/Header")))</f>
        <v/>
      </c>
      <c r="N305" s="99" t="str">
        <f aca="false">IF(TRIM($C305)="","",IF(ABS(SUMIFS($F:$F,$C:$C,TRIM($C305))-SUMIFS($G:$G,$C:$C,TRIM($C305)))&lt;0.005,"OK","ERROR - debi/kredi"))</f>
        <v/>
      </c>
      <c r="O305" s="88"/>
      <c r="P305" s="88"/>
      <c r="Q305" s="88"/>
      <c r="R305" s="88"/>
      <c r="S305" s="100" t="str">
        <f aca="false">IF(D305="","",LEFT(D305&amp;"",2))</f>
        <v/>
      </c>
      <c r="T305" s="101" t="str">
        <f aca="false">IF(D305="","",LEFT(D305&amp;"",3))</f>
        <v/>
      </c>
    </row>
    <row r="306" customFormat="false" ht="14.25" hidden="false" customHeight="true" outlineLevel="0" collapsed="false">
      <c r="A306" s="89"/>
      <c r="B306" s="90"/>
      <c r="C306" s="90"/>
      <c r="D306" s="90"/>
      <c r="E306" s="91" t="str">
        <f aca="false">IFERROR(VLOOKUP(D306,PLANI_LLOGARIVE!$A:$B,2,FALSE()),"")</f>
        <v/>
      </c>
      <c r="F306" s="92"/>
      <c r="G306" s="93"/>
      <c r="H306" s="94"/>
      <c r="I306" s="95"/>
      <c r="J306" s="96" t="str">
        <f aca="false">IF(TRIM($C306)="","",IF($M306&lt;&gt;"OK",$M306,IF(ABS(SUMIFS($F:$F,$C:$C,TRIM($C306))-SUMIFS($G:$G,$C:$C,TRIM($C306)))&lt;0.005,"OK","ERROR - veprimi nuk balancohet")))</f>
        <v/>
      </c>
      <c r="K306" s="97" t="str">
        <f aca="false">IF($D306="","",IFERROR(VLOOKUP($D306,PLANI_LLOGARIVE!$A:$J,10,FALSE()),FALSE()))</f>
        <v/>
      </c>
      <c r="L306" s="97" t="str">
        <f aca="false">IF($D306="","",IFERROR(VLOOKUP($D306,PLANI_LLOGARIVE!$A:$G,7,FALSE()),"NUK EKZISTON"))</f>
        <v/>
      </c>
      <c r="M306" s="98" t="str">
        <f aca="false">IF($D306="","",IF(COUNTIF(PLANI_LLOGARIVE!$A:$A,$D306)=0,"ERROR - llogaria nuk ekziston",IF($K306=TRUE(),"OK","ERROR - llogari jo-postuese/Header")))</f>
        <v/>
      </c>
      <c r="N306" s="99" t="str">
        <f aca="false">IF(TRIM($C306)="","",IF(ABS(SUMIFS($F:$F,$C:$C,TRIM($C306))-SUMIFS($G:$G,$C:$C,TRIM($C306)))&lt;0.005,"OK","ERROR - debi/kredi"))</f>
        <v/>
      </c>
      <c r="O306" s="88"/>
      <c r="P306" s="88"/>
      <c r="Q306" s="88"/>
      <c r="R306" s="88"/>
      <c r="S306" s="100" t="str">
        <f aca="false">IF(D306="","",LEFT(D306&amp;"",2))</f>
        <v/>
      </c>
      <c r="T306" s="101" t="str">
        <f aca="false">IF(D306="","",LEFT(D306&amp;"",3))</f>
        <v/>
      </c>
    </row>
    <row r="307" customFormat="false" ht="14.25" hidden="false" customHeight="true" outlineLevel="0" collapsed="false">
      <c r="A307" s="89"/>
      <c r="B307" s="90"/>
      <c r="C307" s="90"/>
      <c r="D307" s="90"/>
      <c r="E307" s="91" t="str">
        <f aca="false">IFERROR(VLOOKUP(D307,PLANI_LLOGARIVE!$A:$B,2,FALSE()),"")</f>
        <v/>
      </c>
      <c r="F307" s="92"/>
      <c r="G307" s="93"/>
      <c r="H307" s="94"/>
      <c r="I307" s="95"/>
      <c r="J307" s="96" t="str">
        <f aca="false">IF(TRIM($C307)="","",IF($M307&lt;&gt;"OK",$M307,IF(ABS(SUMIFS($F:$F,$C:$C,TRIM($C307))-SUMIFS($G:$G,$C:$C,TRIM($C307)))&lt;0.005,"OK","ERROR - veprimi nuk balancohet")))</f>
        <v/>
      </c>
      <c r="K307" s="97" t="str">
        <f aca="false">IF($D307="","",IFERROR(VLOOKUP($D307,PLANI_LLOGARIVE!$A:$J,10,FALSE()),FALSE()))</f>
        <v/>
      </c>
      <c r="L307" s="97" t="str">
        <f aca="false">IF($D307="","",IFERROR(VLOOKUP($D307,PLANI_LLOGARIVE!$A:$G,7,FALSE()),"NUK EKZISTON"))</f>
        <v/>
      </c>
      <c r="M307" s="98" t="str">
        <f aca="false">IF($D307="","",IF(COUNTIF(PLANI_LLOGARIVE!$A:$A,$D307)=0,"ERROR - llogaria nuk ekziston",IF($K307=TRUE(),"OK","ERROR - llogari jo-postuese/Header")))</f>
        <v/>
      </c>
      <c r="N307" s="99" t="str">
        <f aca="false">IF(TRIM($C307)="","",IF(ABS(SUMIFS($F:$F,$C:$C,TRIM($C307))-SUMIFS($G:$G,$C:$C,TRIM($C307)))&lt;0.005,"OK","ERROR - debi/kredi"))</f>
        <v/>
      </c>
      <c r="O307" s="88"/>
      <c r="P307" s="88"/>
      <c r="Q307" s="88"/>
      <c r="R307" s="88"/>
      <c r="S307" s="100" t="str">
        <f aca="false">IF(D307="","",LEFT(D307&amp;"",2))</f>
        <v/>
      </c>
      <c r="T307" s="101" t="str">
        <f aca="false">IF(D307="","",LEFT(D307&amp;"",3))</f>
        <v/>
      </c>
    </row>
    <row r="308" customFormat="false" ht="14.25" hidden="false" customHeight="true" outlineLevel="0" collapsed="false">
      <c r="A308" s="89"/>
      <c r="B308" s="90"/>
      <c r="C308" s="90"/>
      <c r="D308" s="90"/>
      <c r="E308" s="91" t="str">
        <f aca="false">IFERROR(VLOOKUP(D308,PLANI_LLOGARIVE!$A:$B,2,FALSE()),"")</f>
        <v/>
      </c>
      <c r="F308" s="92"/>
      <c r="G308" s="93"/>
      <c r="H308" s="94"/>
      <c r="I308" s="95"/>
      <c r="J308" s="96" t="str">
        <f aca="false">IF(TRIM($C308)="","",IF($M308&lt;&gt;"OK",$M308,IF(ABS(SUMIFS($F:$F,$C:$C,TRIM($C308))-SUMIFS($G:$G,$C:$C,TRIM($C308)))&lt;0.005,"OK","ERROR - veprimi nuk balancohet")))</f>
        <v/>
      </c>
      <c r="K308" s="97" t="str">
        <f aca="false">IF($D308="","",IFERROR(VLOOKUP($D308,PLANI_LLOGARIVE!$A:$J,10,FALSE()),FALSE()))</f>
        <v/>
      </c>
      <c r="L308" s="97" t="str">
        <f aca="false">IF($D308="","",IFERROR(VLOOKUP($D308,PLANI_LLOGARIVE!$A:$G,7,FALSE()),"NUK EKZISTON"))</f>
        <v/>
      </c>
      <c r="M308" s="98" t="str">
        <f aca="false">IF($D308="","",IF(COUNTIF(PLANI_LLOGARIVE!$A:$A,$D308)=0,"ERROR - llogaria nuk ekziston",IF($K308=TRUE(),"OK","ERROR - llogari jo-postuese/Header")))</f>
        <v/>
      </c>
      <c r="N308" s="99" t="str">
        <f aca="false">IF(TRIM($C308)="","",IF(ABS(SUMIFS($F:$F,$C:$C,TRIM($C308))-SUMIFS($G:$G,$C:$C,TRIM($C308)))&lt;0.005,"OK","ERROR - debi/kredi"))</f>
        <v/>
      </c>
      <c r="O308" s="88"/>
      <c r="P308" s="88"/>
      <c r="Q308" s="88"/>
      <c r="R308" s="88"/>
      <c r="S308" s="100" t="str">
        <f aca="false">IF(D308="","",LEFT(D308&amp;"",2))</f>
        <v/>
      </c>
      <c r="T308" s="101" t="str">
        <f aca="false">IF(D308="","",LEFT(D308&amp;"",3))</f>
        <v/>
      </c>
    </row>
    <row r="309" customFormat="false" ht="14.25" hidden="false" customHeight="true" outlineLevel="0" collapsed="false">
      <c r="A309" s="89"/>
      <c r="B309" s="90"/>
      <c r="C309" s="90"/>
      <c r="D309" s="90"/>
      <c r="E309" s="91" t="str">
        <f aca="false">IFERROR(VLOOKUP(D309,PLANI_LLOGARIVE!$A:$B,2,FALSE()),"")</f>
        <v/>
      </c>
      <c r="F309" s="92"/>
      <c r="G309" s="93"/>
      <c r="H309" s="94"/>
      <c r="I309" s="95"/>
      <c r="J309" s="96" t="str">
        <f aca="false">IF(TRIM($C309)="","",IF($M309&lt;&gt;"OK",$M309,IF(ABS(SUMIFS($F:$F,$C:$C,TRIM($C309))-SUMIFS($G:$G,$C:$C,TRIM($C309)))&lt;0.005,"OK","ERROR - veprimi nuk balancohet")))</f>
        <v/>
      </c>
      <c r="K309" s="97" t="str">
        <f aca="false">IF($D309="","",IFERROR(VLOOKUP($D309,PLANI_LLOGARIVE!$A:$J,10,FALSE()),FALSE()))</f>
        <v/>
      </c>
      <c r="L309" s="97" t="str">
        <f aca="false">IF($D309="","",IFERROR(VLOOKUP($D309,PLANI_LLOGARIVE!$A:$G,7,FALSE()),"NUK EKZISTON"))</f>
        <v/>
      </c>
      <c r="M309" s="98" t="str">
        <f aca="false">IF($D309="","",IF(COUNTIF(PLANI_LLOGARIVE!$A:$A,$D309)=0,"ERROR - llogaria nuk ekziston",IF($K309=TRUE(),"OK","ERROR - llogari jo-postuese/Header")))</f>
        <v/>
      </c>
      <c r="N309" s="99" t="str">
        <f aca="false">IF(TRIM($C309)="","",IF(ABS(SUMIFS($F:$F,$C:$C,TRIM($C309))-SUMIFS($G:$G,$C:$C,TRIM($C309)))&lt;0.005,"OK","ERROR - debi/kredi"))</f>
        <v/>
      </c>
      <c r="O309" s="88"/>
      <c r="P309" s="88"/>
      <c r="Q309" s="88"/>
      <c r="R309" s="88"/>
      <c r="S309" s="100" t="str">
        <f aca="false">IF(D309="","",LEFT(D309&amp;"",2))</f>
        <v/>
      </c>
      <c r="T309" s="101" t="str">
        <f aca="false">IF(D309="","",LEFT(D309&amp;"",3))</f>
        <v/>
      </c>
    </row>
    <row r="310" customFormat="false" ht="14.25" hidden="false" customHeight="true" outlineLevel="0" collapsed="false">
      <c r="A310" s="89"/>
      <c r="B310" s="90"/>
      <c r="C310" s="90"/>
      <c r="D310" s="90"/>
      <c r="E310" s="91" t="str">
        <f aca="false">IFERROR(VLOOKUP(D310,PLANI_LLOGARIVE!$A:$B,2,FALSE()),"")</f>
        <v/>
      </c>
      <c r="F310" s="92"/>
      <c r="G310" s="93"/>
      <c r="H310" s="94"/>
      <c r="I310" s="95"/>
      <c r="J310" s="96" t="str">
        <f aca="false">IF(TRIM($C310)="","",IF($M310&lt;&gt;"OK",$M310,IF(ABS(SUMIFS($F:$F,$C:$C,TRIM($C310))-SUMIFS($G:$G,$C:$C,TRIM($C310)))&lt;0.005,"OK","ERROR - veprimi nuk balancohet")))</f>
        <v/>
      </c>
      <c r="K310" s="97" t="str">
        <f aca="false">IF($D310="","",IFERROR(VLOOKUP($D310,PLANI_LLOGARIVE!$A:$J,10,FALSE()),FALSE()))</f>
        <v/>
      </c>
      <c r="L310" s="97" t="str">
        <f aca="false">IF($D310="","",IFERROR(VLOOKUP($D310,PLANI_LLOGARIVE!$A:$G,7,FALSE()),"NUK EKZISTON"))</f>
        <v/>
      </c>
      <c r="M310" s="98" t="str">
        <f aca="false">IF($D310="","",IF(COUNTIF(PLANI_LLOGARIVE!$A:$A,$D310)=0,"ERROR - llogaria nuk ekziston",IF($K310=TRUE(),"OK","ERROR - llogari jo-postuese/Header")))</f>
        <v/>
      </c>
      <c r="N310" s="99" t="str">
        <f aca="false">IF(TRIM($C310)="","",IF(ABS(SUMIFS($F:$F,$C:$C,TRIM($C310))-SUMIFS($G:$G,$C:$C,TRIM($C310)))&lt;0.005,"OK","ERROR - debi/kredi"))</f>
        <v/>
      </c>
      <c r="O310" s="88"/>
      <c r="P310" s="88"/>
      <c r="Q310" s="88"/>
      <c r="R310" s="88"/>
      <c r="S310" s="100" t="str">
        <f aca="false">IF(D310="","",LEFT(D310&amp;"",2))</f>
        <v/>
      </c>
      <c r="T310" s="101" t="str">
        <f aca="false">IF(D310="","",LEFT(D310&amp;"",3))</f>
        <v/>
      </c>
    </row>
    <row r="311" customFormat="false" ht="14.25" hidden="false" customHeight="true" outlineLevel="0" collapsed="false">
      <c r="A311" s="89"/>
      <c r="B311" s="90"/>
      <c r="C311" s="90"/>
      <c r="D311" s="90"/>
      <c r="E311" s="91" t="str">
        <f aca="false">IFERROR(VLOOKUP(D311,PLANI_LLOGARIVE!$A:$B,2,FALSE()),"")</f>
        <v/>
      </c>
      <c r="F311" s="92"/>
      <c r="G311" s="93"/>
      <c r="H311" s="94"/>
      <c r="I311" s="95"/>
      <c r="J311" s="96" t="str">
        <f aca="false">IF(TRIM($C311)="","",IF($M311&lt;&gt;"OK",$M311,IF(ABS(SUMIFS($F:$F,$C:$C,TRIM($C311))-SUMIFS($G:$G,$C:$C,TRIM($C311)))&lt;0.005,"OK","ERROR - veprimi nuk balancohet")))</f>
        <v/>
      </c>
      <c r="K311" s="97" t="str">
        <f aca="false">IF($D311="","",IFERROR(VLOOKUP($D311,PLANI_LLOGARIVE!$A:$J,10,FALSE()),FALSE()))</f>
        <v/>
      </c>
      <c r="L311" s="97" t="str">
        <f aca="false">IF($D311="","",IFERROR(VLOOKUP($D311,PLANI_LLOGARIVE!$A:$G,7,FALSE()),"NUK EKZISTON"))</f>
        <v/>
      </c>
      <c r="M311" s="98" t="str">
        <f aca="false">IF($D311="","",IF(COUNTIF(PLANI_LLOGARIVE!$A:$A,$D311)=0,"ERROR - llogaria nuk ekziston",IF($K311=TRUE(),"OK","ERROR - llogari jo-postuese/Header")))</f>
        <v/>
      </c>
      <c r="N311" s="99" t="str">
        <f aca="false">IF(TRIM($C311)="","",IF(ABS(SUMIFS($F:$F,$C:$C,TRIM($C311))-SUMIFS($G:$G,$C:$C,TRIM($C311)))&lt;0.005,"OK","ERROR - debi/kredi"))</f>
        <v/>
      </c>
      <c r="O311" s="88"/>
      <c r="P311" s="88"/>
      <c r="Q311" s="88"/>
      <c r="R311" s="88"/>
      <c r="S311" s="100" t="str">
        <f aca="false">IF(D311="","",LEFT(D311&amp;"",2))</f>
        <v/>
      </c>
      <c r="T311" s="101" t="str">
        <f aca="false">IF(D311="","",LEFT(D311&amp;"",3))</f>
        <v/>
      </c>
    </row>
    <row r="312" customFormat="false" ht="14.25" hidden="false" customHeight="true" outlineLevel="0" collapsed="false">
      <c r="A312" s="89"/>
      <c r="B312" s="90"/>
      <c r="C312" s="90"/>
      <c r="D312" s="90"/>
      <c r="E312" s="91" t="str">
        <f aca="false">IFERROR(VLOOKUP(D312,PLANI_LLOGARIVE!$A:$B,2,FALSE()),"")</f>
        <v/>
      </c>
      <c r="F312" s="92"/>
      <c r="G312" s="93"/>
      <c r="H312" s="94"/>
      <c r="I312" s="95"/>
      <c r="J312" s="96" t="str">
        <f aca="false">IF(TRIM($C312)="","",IF($M312&lt;&gt;"OK",$M312,IF(ABS(SUMIFS($F:$F,$C:$C,TRIM($C312))-SUMIFS($G:$G,$C:$C,TRIM($C312)))&lt;0.005,"OK","ERROR - veprimi nuk balancohet")))</f>
        <v/>
      </c>
      <c r="K312" s="97" t="str">
        <f aca="false">IF($D312="","",IFERROR(VLOOKUP($D312,PLANI_LLOGARIVE!$A:$J,10,FALSE()),FALSE()))</f>
        <v/>
      </c>
      <c r="L312" s="97" t="str">
        <f aca="false">IF($D312="","",IFERROR(VLOOKUP($D312,PLANI_LLOGARIVE!$A:$G,7,FALSE()),"NUK EKZISTON"))</f>
        <v/>
      </c>
      <c r="M312" s="98" t="str">
        <f aca="false">IF($D312="","",IF(COUNTIF(PLANI_LLOGARIVE!$A:$A,$D312)=0,"ERROR - llogaria nuk ekziston",IF($K312=TRUE(),"OK","ERROR - llogari jo-postuese/Header")))</f>
        <v/>
      </c>
      <c r="N312" s="99" t="str">
        <f aca="false">IF(TRIM($C312)="","",IF(ABS(SUMIFS($F:$F,$C:$C,TRIM($C312))-SUMIFS($G:$G,$C:$C,TRIM($C312)))&lt;0.005,"OK","ERROR - debi/kredi"))</f>
        <v/>
      </c>
      <c r="O312" s="88"/>
      <c r="P312" s="88"/>
      <c r="Q312" s="88"/>
      <c r="R312" s="88"/>
      <c r="S312" s="100" t="str">
        <f aca="false">IF(D312="","",LEFT(D312&amp;"",2))</f>
        <v/>
      </c>
      <c r="T312" s="101" t="str">
        <f aca="false">IF(D312="","",LEFT(D312&amp;"",3))</f>
        <v/>
      </c>
    </row>
    <row r="313" customFormat="false" ht="14.25" hidden="false" customHeight="true" outlineLevel="0" collapsed="false">
      <c r="A313" s="89"/>
      <c r="B313" s="90"/>
      <c r="C313" s="90"/>
      <c r="D313" s="90"/>
      <c r="E313" s="91" t="str">
        <f aca="false">IFERROR(VLOOKUP(D313,PLANI_LLOGARIVE!$A:$B,2,FALSE()),"")</f>
        <v/>
      </c>
      <c r="F313" s="92"/>
      <c r="G313" s="93"/>
      <c r="H313" s="94"/>
      <c r="I313" s="95"/>
      <c r="J313" s="96" t="str">
        <f aca="false">IF(TRIM($C313)="","",IF($M313&lt;&gt;"OK",$M313,IF(ABS(SUMIFS($F:$F,$C:$C,TRIM($C313))-SUMIFS($G:$G,$C:$C,TRIM($C313)))&lt;0.005,"OK","ERROR - veprimi nuk balancohet")))</f>
        <v/>
      </c>
      <c r="K313" s="97" t="str">
        <f aca="false">IF($D313="","",IFERROR(VLOOKUP($D313,PLANI_LLOGARIVE!$A:$J,10,FALSE()),FALSE()))</f>
        <v/>
      </c>
      <c r="L313" s="97" t="str">
        <f aca="false">IF($D313="","",IFERROR(VLOOKUP($D313,PLANI_LLOGARIVE!$A:$G,7,FALSE()),"NUK EKZISTON"))</f>
        <v/>
      </c>
      <c r="M313" s="98" t="str">
        <f aca="false">IF($D313="","",IF(COUNTIF(PLANI_LLOGARIVE!$A:$A,$D313)=0,"ERROR - llogaria nuk ekziston",IF($K313=TRUE(),"OK","ERROR - llogari jo-postuese/Header")))</f>
        <v/>
      </c>
      <c r="N313" s="99" t="str">
        <f aca="false">IF(TRIM($C313)="","",IF(ABS(SUMIFS($F:$F,$C:$C,TRIM($C313))-SUMIFS($G:$G,$C:$C,TRIM($C313)))&lt;0.005,"OK","ERROR - debi/kredi"))</f>
        <v/>
      </c>
      <c r="O313" s="88"/>
      <c r="P313" s="88"/>
      <c r="Q313" s="88"/>
      <c r="R313" s="88"/>
      <c r="S313" s="100" t="str">
        <f aca="false">IF(D313="","",LEFT(D313&amp;"",2))</f>
        <v/>
      </c>
      <c r="T313" s="101" t="str">
        <f aca="false">IF(D313="","",LEFT(D313&amp;"",3))</f>
        <v/>
      </c>
    </row>
    <row r="314" customFormat="false" ht="14.25" hidden="false" customHeight="true" outlineLevel="0" collapsed="false">
      <c r="A314" s="89"/>
      <c r="B314" s="90"/>
      <c r="C314" s="90"/>
      <c r="D314" s="90"/>
      <c r="E314" s="91" t="str">
        <f aca="false">IFERROR(VLOOKUP(D314,PLANI_LLOGARIVE!$A:$B,2,FALSE()),"")</f>
        <v/>
      </c>
      <c r="F314" s="92"/>
      <c r="G314" s="93"/>
      <c r="H314" s="94"/>
      <c r="I314" s="95"/>
      <c r="J314" s="96" t="str">
        <f aca="false">IF(TRIM($C314)="","",IF($M314&lt;&gt;"OK",$M314,IF(ABS(SUMIFS($F:$F,$C:$C,TRIM($C314))-SUMIFS($G:$G,$C:$C,TRIM($C314)))&lt;0.005,"OK","ERROR - veprimi nuk balancohet")))</f>
        <v/>
      </c>
      <c r="K314" s="97" t="str">
        <f aca="false">IF($D314="","",IFERROR(VLOOKUP($D314,PLANI_LLOGARIVE!$A:$J,10,FALSE()),FALSE()))</f>
        <v/>
      </c>
      <c r="L314" s="97" t="str">
        <f aca="false">IF($D314="","",IFERROR(VLOOKUP($D314,PLANI_LLOGARIVE!$A:$G,7,FALSE()),"NUK EKZISTON"))</f>
        <v/>
      </c>
      <c r="M314" s="98" t="str">
        <f aca="false">IF($D314="","",IF(COUNTIF(PLANI_LLOGARIVE!$A:$A,$D314)=0,"ERROR - llogaria nuk ekziston",IF($K314=TRUE(),"OK","ERROR - llogari jo-postuese/Header")))</f>
        <v/>
      </c>
      <c r="N314" s="99" t="str">
        <f aca="false">IF(TRIM($C314)="","",IF(ABS(SUMIFS($F:$F,$C:$C,TRIM($C314))-SUMIFS($G:$G,$C:$C,TRIM($C314)))&lt;0.005,"OK","ERROR - debi/kredi"))</f>
        <v/>
      </c>
      <c r="O314" s="88"/>
      <c r="P314" s="88"/>
      <c r="Q314" s="88"/>
      <c r="R314" s="88"/>
      <c r="S314" s="100" t="str">
        <f aca="false">IF(D314="","",LEFT(D314&amp;"",2))</f>
        <v/>
      </c>
      <c r="T314" s="101" t="str">
        <f aca="false">IF(D314="","",LEFT(D314&amp;"",3))</f>
        <v/>
      </c>
    </row>
    <row r="315" customFormat="false" ht="14.25" hidden="false" customHeight="true" outlineLevel="0" collapsed="false">
      <c r="A315" s="89"/>
      <c r="B315" s="90"/>
      <c r="C315" s="90"/>
      <c r="D315" s="90"/>
      <c r="E315" s="91" t="str">
        <f aca="false">IFERROR(VLOOKUP(D315,PLANI_LLOGARIVE!$A:$B,2,FALSE()),"")</f>
        <v/>
      </c>
      <c r="F315" s="92"/>
      <c r="G315" s="93"/>
      <c r="H315" s="94"/>
      <c r="I315" s="95"/>
      <c r="J315" s="96" t="str">
        <f aca="false">IF(TRIM($C315)="","",IF($M315&lt;&gt;"OK",$M315,IF(ABS(SUMIFS($F:$F,$C:$C,TRIM($C315))-SUMIFS($G:$G,$C:$C,TRIM($C315)))&lt;0.005,"OK","ERROR - veprimi nuk balancohet")))</f>
        <v/>
      </c>
      <c r="K315" s="97" t="str">
        <f aca="false">IF($D315="","",IFERROR(VLOOKUP($D315,PLANI_LLOGARIVE!$A:$J,10,FALSE()),FALSE()))</f>
        <v/>
      </c>
      <c r="L315" s="97" t="str">
        <f aca="false">IF($D315="","",IFERROR(VLOOKUP($D315,PLANI_LLOGARIVE!$A:$G,7,FALSE()),"NUK EKZISTON"))</f>
        <v/>
      </c>
      <c r="M315" s="98" t="str">
        <f aca="false">IF($D315="","",IF(COUNTIF(PLANI_LLOGARIVE!$A:$A,$D315)=0,"ERROR - llogaria nuk ekziston",IF($K315=TRUE(),"OK","ERROR - llogari jo-postuese/Header")))</f>
        <v/>
      </c>
      <c r="N315" s="99" t="str">
        <f aca="false">IF(TRIM($C315)="","",IF(ABS(SUMIFS($F:$F,$C:$C,TRIM($C315))-SUMIFS($G:$G,$C:$C,TRIM($C315)))&lt;0.005,"OK","ERROR - debi/kredi"))</f>
        <v/>
      </c>
      <c r="O315" s="88"/>
      <c r="P315" s="88"/>
      <c r="Q315" s="88"/>
      <c r="R315" s="88"/>
      <c r="S315" s="100" t="str">
        <f aca="false">IF(D315="","",LEFT(D315&amp;"",2))</f>
        <v/>
      </c>
      <c r="T315" s="101" t="str">
        <f aca="false">IF(D315="","",LEFT(D315&amp;"",3))</f>
        <v/>
      </c>
    </row>
    <row r="316" customFormat="false" ht="14.25" hidden="false" customHeight="true" outlineLevel="0" collapsed="false">
      <c r="A316" s="89"/>
      <c r="B316" s="90"/>
      <c r="C316" s="90"/>
      <c r="D316" s="90"/>
      <c r="E316" s="91" t="str">
        <f aca="false">IFERROR(VLOOKUP(D316,PLANI_LLOGARIVE!$A:$B,2,FALSE()),"")</f>
        <v/>
      </c>
      <c r="F316" s="92"/>
      <c r="G316" s="93"/>
      <c r="H316" s="94"/>
      <c r="I316" s="95"/>
      <c r="J316" s="96" t="str">
        <f aca="false">IF(TRIM($C316)="","",IF($M316&lt;&gt;"OK",$M316,IF(ABS(SUMIFS($F:$F,$C:$C,TRIM($C316))-SUMIFS($G:$G,$C:$C,TRIM($C316)))&lt;0.005,"OK","ERROR - veprimi nuk balancohet")))</f>
        <v/>
      </c>
      <c r="K316" s="97" t="str">
        <f aca="false">IF($D316="","",IFERROR(VLOOKUP($D316,PLANI_LLOGARIVE!$A:$J,10,FALSE()),FALSE()))</f>
        <v/>
      </c>
      <c r="L316" s="97" t="str">
        <f aca="false">IF($D316="","",IFERROR(VLOOKUP($D316,PLANI_LLOGARIVE!$A:$G,7,FALSE()),"NUK EKZISTON"))</f>
        <v/>
      </c>
      <c r="M316" s="98" t="str">
        <f aca="false">IF($D316="","",IF(COUNTIF(PLANI_LLOGARIVE!$A:$A,$D316)=0,"ERROR - llogaria nuk ekziston",IF($K316=TRUE(),"OK","ERROR - llogari jo-postuese/Header")))</f>
        <v/>
      </c>
      <c r="N316" s="99" t="str">
        <f aca="false">IF(TRIM($C316)="","",IF(ABS(SUMIFS($F:$F,$C:$C,TRIM($C316))-SUMIFS($G:$G,$C:$C,TRIM($C316)))&lt;0.005,"OK","ERROR - debi/kredi"))</f>
        <v/>
      </c>
      <c r="O316" s="88"/>
      <c r="P316" s="88"/>
      <c r="Q316" s="88"/>
      <c r="R316" s="88"/>
      <c r="S316" s="100" t="str">
        <f aca="false">IF(D316="","",LEFT(D316&amp;"",2))</f>
        <v/>
      </c>
      <c r="T316" s="101" t="str">
        <f aca="false">IF(D316="","",LEFT(D316&amp;"",3))</f>
        <v/>
      </c>
    </row>
    <row r="317" customFormat="false" ht="14.25" hidden="false" customHeight="true" outlineLevel="0" collapsed="false">
      <c r="A317" s="89"/>
      <c r="B317" s="90"/>
      <c r="C317" s="90"/>
      <c r="D317" s="90"/>
      <c r="E317" s="91" t="str">
        <f aca="false">IFERROR(VLOOKUP(D317,PLANI_LLOGARIVE!$A:$B,2,FALSE()),"")</f>
        <v/>
      </c>
      <c r="F317" s="92"/>
      <c r="G317" s="93"/>
      <c r="H317" s="94"/>
      <c r="I317" s="95"/>
      <c r="J317" s="96" t="str">
        <f aca="false">IF(TRIM($C317)="","",IF($M317&lt;&gt;"OK",$M317,IF(ABS(SUMIFS($F:$F,$C:$C,TRIM($C317))-SUMIFS($G:$G,$C:$C,TRIM($C317)))&lt;0.005,"OK","ERROR - veprimi nuk balancohet")))</f>
        <v/>
      </c>
      <c r="K317" s="97" t="str">
        <f aca="false">IF($D317="","",IFERROR(VLOOKUP($D317,PLANI_LLOGARIVE!$A:$J,10,FALSE()),FALSE()))</f>
        <v/>
      </c>
      <c r="L317" s="97" t="str">
        <f aca="false">IF($D317="","",IFERROR(VLOOKUP($D317,PLANI_LLOGARIVE!$A:$G,7,FALSE()),"NUK EKZISTON"))</f>
        <v/>
      </c>
      <c r="M317" s="98" t="str">
        <f aca="false">IF($D317="","",IF(COUNTIF(PLANI_LLOGARIVE!$A:$A,$D317)=0,"ERROR - llogaria nuk ekziston",IF($K317=TRUE(),"OK","ERROR - llogari jo-postuese/Header")))</f>
        <v/>
      </c>
      <c r="N317" s="99" t="str">
        <f aca="false">IF(TRIM($C317)="","",IF(ABS(SUMIFS($F:$F,$C:$C,TRIM($C317))-SUMIFS($G:$G,$C:$C,TRIM($C317)))&lt;0.005,"OK","ERROR - debi/kredi"))</f>
        <v/>
      </c>
      <c r="O317" s="88"/>
      <c r="P317" s="88"/>
      <c r="Q317" s="88"/>
      <c r="R317" s="88"/>
      <c r="S317" s="100" t="str">
        <f aca="false">IF(D317="","",LEFT(D317&amp;"",2))</f>
        <v/>
      </c>
      <c r="T317" s="101" t="str">
        <f aca="false">IF(D317="","",LEFT(D317&amp;"",3))</f>
        <v/>
      </c>
    </row>
    <row r="318" customFormat="false" ht="14.25" hidden="false" customHeight="true" outlineLevel="0" collapsed="false">
      <c r="A318" s="89"/>
      <c r="B318" s="90"/>
      <c r="C318" s="90"/>
      <c r="D318" s="90"/>
      <c r="E318" s="91" t="str">
        <f aca="false">IFERROR(VLOOKUP(D318,PLANI_LLOGARIVE!$A:$B,2,FALSE()),"")</f>
        <v/>
      </c>
      <c r="F318" s="92"/>
      <c r="G318" s="93"/>
      <c r="H318" s="94"/>
      <c r="I318" s="95"/>
      <c r="J318" s="96" t="str">
        <f aca="false">IF(TRIM($C318)="","",IF($M318&lt;&gt;"OK",$M318,IF(ABS(SUMIFS($F:$F,$C:$C,TRIM($C318))-SUMIFS($G:$G,$C:$C,TRIM($C318)))&lt;0.005,"OK","ERROR - veprimi nuk balancohet")))</f>
        <v/>
      </c>
      <c r="K318" s="97" t="str">
        <f aca="false">IF($D318="","",IFERROR(VLOOKUP($D318,PLANI_LLOGARIVE!$A:$J,10,FALSE()),FALSE()))</f>
        <v/>
      </c>
      <c r="L318" s="97" t="str">
        <f aca="false">IF($D318="","",IFERROR(VLOOKUP($D318,PLANI_LLOGARIVE!$A:$G,7,FALSE()),"NUK EKZISTON"))</f>
        <v/>
      </c>
      <c r="M318" s="98" t="str">
        <f aca="false">IF($D318="","",IF(COUNTIF(PLANI_LLOGARIVE!$A:$A,$D318)=0,"ERROR - llogaria nuk ekziston",IF($K318=TRUE(),"OK","ERROR - llogari jo-postuese/Header")))</f>
        <v/>
      </c>
      <c r="N318" s="99" t="str">
        <f aca="false">IF(TRIM($C318)="","",IF(ABS(SUMIFS($F:$F,$C:$C,TRIM($C318))-SUMIFS($G:$G,$C:$C,TRIM($C318)))&lt;0.005,"OK","ERROR - debi/kredi"))</f>
        <v/>
      </c>
      <c r="O318" s="88"/>
      <c r="P318" s="88"/>
      <c r="Q318" s="88"/>
      <c r="R318" s="88"/>
      <c r="S318" s="100" t="str">
        <f aca="false">IF(D318="","",LEFT(D318&amp;"",2))</f>
        <v/>
      </c>
      <c r="T318" s="101" t="str">
        <f aca="false">IF(D318="","",LEFT(D318&amp;"",3))</f>
        <v/>
      </c>
    </row>
    <row r="319" customFormat="false" ht="14.25" hidden="false" customHeight="true" outlineLevel="0" collapsed="false">
      <c r="A319" s="89"/>
      <c r="B319" s="90"/>
      <c r="C319" s="90"/>
      <c r="D319" s="90"/>
      <c r="E319" s="91" t="str">
        <f aca="false">IFERROR(VLOOKUP(D319,PLANI_LLOGARIVE!$A:$B,2,FALSE()),"")</f>
        <v/>
      </c>
      <c r="F319" s="92"/>
      <c r="G319" s="93"/>
      <c r="H319" s="94"/>
      <c r="I319" s="95"/>
      <c r="J319" s="96" t="str">
        <f aca="false">IF(TRIM($C319)="","",IF($M319&lt;&gt;"OK",$M319,IF(ABS(SUMIFS($F:$F,$C:$C,TRIM($C319))-SUMIFS($G:$G,$C:$C,TRIM($C319)))&lt;0.005,"OK","ERROR - veprimi nuk balancohet")))</f>
        <v/>
      </c>
      <c r="K319" s="97" t="str">
        <f aca="false">IF($D319="","",IFERROR(VLOOKUP($D319,PLANI_LLOGARIVE!$A:$J,10,FALSE()),FALSE()))</f>
        <v/>
      </c>
      <c r="L319" s="97" t="str">
        <f aca="false">IF($D319="","",IFERROR(VLOOKUP($D319,PLANI_LLOGARIVE!$A:$G,7,FALSE()),"NUK EKZISTON"))</f>
        <v/>
      </c>
      <c r="M319" s="98" t="str">
        <f aca="false">IF($D319="","",IF(COUNTIF(PLANI_LLOGARIVE!$A:$A,$D319)=0,"ERROR - llogaria nuk ekziston",IF($K319=TRUE(),"OK","ERROR - llogari jo-postuese/Header")))</f>
        <v/>
      </c>
      <c r="N319" s="99" t="str">
        <f aca="false">IF(TRIM($C319)="","",IF(ABS(SUMIFS($F:$F,$C:$C,TRIM($C319))-SUMIFS($G:$G,$C:$C,TRIM($C319)))&lt;0.005,"OK","ERROR - debi/kredi"))</f>
        <v/>
      </c>
      <c r="O319" s="88"/>
      <c r="P319" s="88"/>
      <c r="Q319" s="88"/>
      <c r="R319" s="88"/>
      <c r="S319" s="100" t="str">
        <f aca="false">IF(D319="","",LEFT(D319&amp;"",2))</f>
        <v/>
      </c>
      <c r="T319" s="101" t="str">
        <f aca="false">IF(D319="","",LEFT(D319&amp;"",3))</f>
        <v/>
      </c>
    </row>
    <row r="320" customFormat="false" ht="14.25" hidden="false" customHeight="true" outlineLevel="0" collapsed="false">
      <c r="A320" s="89"/>
      <c r="B320" s="90"/>
      <c r="C320" s="90"/>
      <c r="D320" s="90"/>
      <c r="E320" s="91" t="str">
        <f aca="false">IFERROR(VLOOKUP(D320,PLANI_LLOGARIVE!$A:$B,2,FALSE()),"")</f>
        <v/>
      </c>
      <c r="F320" s="92"/>
      <c r="G320" s="93"/>
      <c r="H320" s="94"/>
      <c r="I320" s="95"/>
      <c r="J320" s="96" t="str">
        <f aca="false">IF(TRIM($C320)="","",IF($M320&lt;&gt;"OK",$M320,IF(ABS(SUMIFS($F:$F,$C:$C,TRIM($C320))-SUMIFS($G:$G,$C:$C,TRIM($C320)))&lt;0.005,"OK","ERROR - veprimi nuk balancohet")))</f>
        <v/>
      </c>
      <c r="K320" s="97" t="str">
        <f aca="false">IF($D320="","",IFERROR(VLOOKUP($D320,PLANI_LLOGARIVE!$A:$J,10,FALSE()),FALSE()))</f>
        <v/>
      </c>
      <c r="L320" s="97" t="str">
        <f aca="false">IF($D320="","",IFERROR(VLOOKUP($D320,PLANI_LLOGARIVE!$A:$G,7,FALSE()),"NUK EKZISTON"))</f>
        <v/>
      </c>
      <c r="M320" s="98" t="str">
        <f aca="false">IF($D320="","",IF(COUNTIF(PLANI_LLOGARIVE!$A:$A,$D320)=0,"ERROR - llogaria nuk ekziston",IF($K320=TRUE(),"OK","ERROR - llogari jo-postuese/Header")))</f>
        <v/>
      </c>
      <c r="N320" s="99" t="str">
        <f aca="false">IF(TRIM($C320)="","",IF(ABS(SUMIFS($F:$F,$C:$C,TRIM($C320))-SUMIFS($G:$G,$C:$C,TRIM($C320)))&lt;0.005,"OK","ERROR - debi/kredi"))</f>
        <v/>
      </c>
      <c r="O320" s="88"/>
      <c r="P320" s="88"/>
      <c r="Q320" s="88"/>
      <c r="R320" s="88"/>
      <c r="S320" s="100" t="str">
        <f aca="false">IF(D320="","",LEFT(D320&amp;"",2))</f>
        <v/>
      </c>
      <c r="T320" s="101" t="str">
        <f aca="false">IF(D320="","",LEFT(D320&amp;"",3))</f>
        <v/>
      </c>
    </row>
    <row r="321" customFormat="false" ht="14.25" hidden="false" customHeight="true" outlineLevel="0" collapsed="false">
      <c r="A321" s="89"/>
      <c r="B321" s="90"/>
      <c r="C321" s="90"/>
      <c r="D321" s="90"/>
      <c r="E321" s="91" t="str">
        <f aca="false">IFERROR(VLOOKUP(D321,PLANI_LLOGARIVE!$A:$B,2,FALSE()),"")</f>
        <v/>
      </c>
      <c r="F321" s="92"/>
      <c r="G321" s="93"/>
      <c r="H321" s="94"/>
      <c r="I321" s="95"/>
      <c r="J321" s="96" t="str">
        <f aca="false">IF(TRIM($C321)="","",IF($M321&lt;&gt;"OK",$M321,IF(ABS(SUMIFS($F:$F,$C:$C,TRIM($C321))-SUMIFS($G:$G,$C:$C,TRIM($C321)))&lt;0.005,"OK","ERROR - veprimi nuk balancohet")))</f>
        <v/>
      </c>
      <c r="K321" s="97" t="str">
        <f aca="false">IF($D321="","",IFERROR(VLOOKUP($D321,PLANI_LLOGARIVE!$A:$J,10,FALSE()),FALSE()))</f>
        <v/>
      </c>
      <c r="L321" s="97" t="str">
        <f aca="false">IF($D321="","",IFERROR(VLOOKUP($D321,PLANI_LLOGARIVE!$A:$G,7,FALSE()),"NUK EKZISTON"))</f>
        <v/>
      </c>
      <c r="M321" s="98" t="str">
        <f aca="false">IF($D321="","",IF(COUNTIF(PLANI_LLOGARIVE!$A:$A,$D321)=0,"ERROR - llogaria nuk ekziston",IF($K321=TRUE(),"OK","ERROR - llogari jo-postuese/Header")))</f>
        <v/>
      </c>
      <c r="N321" s="99" t="str">
        <f aca="false">IF(TRIM($C321)="","",IF(ABS(SUMIFS($F:$F,$C:$C,TRIM($C321))-SUMIFS($G:$G,$C:$C,TRIM($C321)))&lt;0.005,"OK","ERROR - debi/kredi"))</f>
        <v/>
      </c>
      <c r="O321" s="88"/>
      <c r="P321" s="88"/>
      <c r="Q321" s="88"/>
      <c r="R321" s="88"/>
      <c r="S321" s="100" t="str">
        <f aca="false">IF(D321="","",LEFT(D321&amp;"",2))</f>
        <v/>
      </c>
      <c r="T321" s="101" t="str">
        <f aca="false">IF(D321="","",LEFT(D321&amp;"",3))</f>
        <v/>
      </c>
    </row>
    <row r="322" customFormat="false" ht="14.25" hidden="false" customHeight="true" outlineLevel="0" collapsed="false">
      <c r="A322" s="89"/>
      <c r="B322" s="90"/>
      <c r="C322" s="90"/>
      <c r="D322" s="90"/>
      <c r="E322" s="91" t="str">
        <f aca="false">IFERROR(VLOOKUP(D322,PLANI_LLOGARIVE!$A:$B,2,FALSE()),"")</f>
        <v/>
      </c>
      <c r="F322" s="92"/>
      <c r="G322" s="93"/>
      <c r="H322" s="94"/>
      <c r="I322" s="95"/>
      <c r="J322" s="96" t="str">
        <f aca="false">IF(TRIM($C322)="","",IF($M322&lt;&gt;"OK",$M322,IF(ABS(SUMIFS($F:$F,$C:$C,TRIM($C322))-SUMIFS($G:$G,$C:$C,TRIM($C322)))&lt;0.005,"OK","ERROR - veprimi nuk balancohet")))</f>
        <v/>
      </c>
      <c r="K322" s="97" t="str">
        <f aca="false">IF($D322="","",IFERROR(VLOOKUP($D322,PLANI_LLOGARIVE!$A:$J,10,FALSE()),FALSE()))</f>
        <v/>
      </c>
      <c r="L322" s="97" t="str">
        <f aca="false">IF($D322="","",IFERROR(VLOOKUP($D322,PLANI_LLOGARIVE!$A:$G,7,FALSE()),"NUK EKZISTON"))</f>
        <v/>
      </c>
      <c r="M322" s="98" t="str">
        <f aca="false">IF($D322="","",IF(COUNTIF(PLANI_LLOGARIVE!$A:$A,$D322)=0,"ERROR - llogaria nuk ekziston",IF($K322=TRUE(),"OK","ERROR - llogari jo-postuese/Header")))</f>
        <v/>
      </c>
      <c r="N322" s="99" t="str">
        <f aca="false">IF(TRIM($C322)="","",IF(ABS(SUMIFS($F:$F,$C:$C,TRIM($C322))-SUMIFS($G:$G,$C:$C,TRIM($C322)))&lt;0.005,"OK","ERROR - debi/kredi"))</f>
        <v/>
      </c>
      <c r="O322" s="88"/>
      <c r="P322" s="88"/>
      <c r="Q322" s="88"/>
      <c r="R322" s="88"/>
      <c r="S322" s="100" t="str">
        <f aca="false">IF(D322="","",LEFT(D322&amp;"",2))</f>
        <v/>
      </c>
      <c r="T322" s="101" t="str">
        <f aca="false">IF(D322="","",LEFT(D322&amp;"",3))</f>
        <v/>
      </c>
    </row>
    <row r="323" customFormat="false" ht="14.25" hidden="false" customHeight="true" outlineLevel="0" collapsed="false">
      <c r="A323" s="89"/>
      <c r="B323" s="90"/>
      <c r="C323" s="90"/>
      <c r="D323" s="90"/>
      <c r="E323" s="91" t="str">
        <f aca="false">IFERROR(VLOOKUP(D323,PLANI_LLOGARIVE!$A:$B,2,FALSE()),"")</f>
        <v/>
      </c>
      <c r="F323" s="92"/>
      <c r="G323" s="93"/>
      <c r="H323" s="94"/>
      <c r="I323" s="95"/>
      <c r="J323" s="96" t="str">
        <f aca="false">IF(TRIM($C323)="","",IF($M323&lt;&gt;"OK",$M323,IF(ABS(SUMIFS($F:$F,$C:$C,TRIM($C323))-SUMIFS($G:$G,$C:$C,TRIM($C323)))&lt;0.005,"OK","ERROR - veprimi nuk balancohet")))</f>
        <v/>
      </c>
      <c r="K323" s="97" t="str">
        <f aca="false">IF($D323="","",IFERROR(VLOOKUP($D323,PLANI_LLOGARIVE!$A:$J,10,FALSE()),FALSE()))</f>
        <v/>
      </c>
      <c r="L323" s="97" t="str">
        <f aca="false">IF($D323="","",IFERROR(VLOOKUP($D323,PLANI_LLOGARIVE!$A:$G,7,FALSE()),"NUK EKZISTON"))</f>
        <v/>
      </c>
      <c r="M323" s="98" t="str">
        <f aca="false">IF($D323="","",IF(COUNTIF(PLANI_LLOGARIVE!$A:$A,$D323)=0,"ERROR - llogaria nuk ekziston",IF($K323=TRUE(),"OK","ERROR - llogari jo-postuese/Header")))</f>
        <v/>
      </c>
      <c r="N323" s="99" t="str">
        <f aca="false">IF(TRIM($C323)="","",IF(ABS(SUMIFS($F:$F,$C:$C,TRIM($C323))-SUMIFS($G:$G,$C:$C,TRIM($C323)))&lt;0.005,"OK","ERROR - debi/kredi"))</f>
        <v/>
      </c>
      <c r="O323" s="88"/>
      <c r="P323" s="88"/>
      <c r="Q323" s="88"/>
      <c r="R323" s="88"/>
      <c r="S323" s="100" t="str">
        <f aca="false">IF(D323="","",LEFT(D323&amp;"",2))</f>
        <v/>
      </c>
      <c r="T323" s="101" t="str">
        <f aca="false">IF(D323="","",LEFT(D323&amp;"",3))</f>
        <v/>
      </c>
    </row>
    <row r="324" customFormat="false" ht="14.25" hidden="false" customHeight="true" outlineLevel="0" collapsed="false">
      <c r="A324" s="89"/>
      <c r="B324" s="90"/>
      <c r="C324" s="90"/>
      <c r="D324" s="90"/>
      <c r="E324" s="91" t="str">
        <f aca="false">IFERROR(VLOOKUP(D324,PLANI_LLOGARIVE!$A:$B,2,FALSE()),"")</f>
        <v/>
      </c>
      <c r="F324" s="92"/>
      <c r="G324" s="93"/>
      <c r="H324" s="94"/>
      <c r="I324" s="95"/>
      <c r="J324" s="96" t="str">
        <f aca="false">IF(TRIM($C324)="","",IF($M324&lt;&gt;"OK",$M324,IF(ABS(SUMIFS($F:$F,$C:$C,TRIM($C324))-SUMIFS($G:$G,$C:$C,TRIM($C324)))&lt;0.005,"OK","ERROR - veprimi nuk balancohet")))</f>
        <v/>
      </c>
      <c r="K324" s="97" t="str">
        <f aca="false">IF($D324="","",IFERROR(VLOOKUP($D324,PLANI_LLOGARIVE!$A:$J,10,FALSE()),FALSE()))</f>
        <v/>
      </c>
      <c r="L324" s="97" t="str">
        <f aca="false">IF($D324="","",IFERROR(VLOOKUP($D324,PLANI_LLOGARIVE!$A:$G,7,FALSE()),"NUK EKZISTON"))</f>
        <v/>
      </c>
      <c r="M324" s="98" t="str">
        <f aca="false">IF($D324="","",IF(COUNTIF(PLANI_LLOGARIVE!$A:$A,$D324)=0,"ERROR - llogaria nuk ekziston",IF($K324=TRUE(),"OK","ERROR - llogari jo-postuese/Header")))</f>
        <v/>
      </c>
      <c r="N324" s="99" t="str">
        <f aca="false">IF(TRIM($C324)="","",IF(ABS(SUMIFS($F:$F,$C:$C,TRIM($C324))-SUMIFS($G:$G,$C:$C,TRIM($C324)))&lt;0.005,"OK","ERROR - debi/kredi"))</f>
        <v/>
      </c>
      <c r="O324" s="88"/>
      <c r="P324" s="88"/>
      <c r="Q324" s="88"/>
      <c r="R324" s="88"/>
      <c r="S324" s="100" t="str">
        <f aca="false">IF(D324="","",LEFT(D324&amp;"",2))</f>
        <v/>
      </c>
      <c r="T324" s="101" t="str">
        <f aca="false">IF(D324="","",LEFT(D324&amp;"",3))</f>
        <v/>
      </c>
    </row>
    <row r="325" customFormat="false" ht="14.25" hidden="false" customHeight="true" outlineLevel="0" collapsed="false">
      <c r="A325" s="89"/>
      <c r="B325" s="90"/>
      <c r="C325" s="90"/>
      <c r="D325" s="90"/>
      <c r="E325" s="91" t="str">
        <f aca="false">IFERROR(VLOOKUP(D325,PLANI_LLOGARIVE!$A:$B,2,FALSE()),"")</f>
        <v/>
      </c>
      <c r="F325" s="92"/>
      <c r="G325" s="93"/>
      <c r="H325" s="94"/>
      <c r="I325" s="95"/>
      <c r="J325" s="96" t="str">
        <f aca="false">IF(TRIM($C325)="","",IF($M325&lt;&gt;"OK",$M325,IF(ABS(SUMIFS($F:$F,$C:$C,TRIM($C325))-SUMIFS($G:$G,$C:$C,TRIM($C325)))&lt;0.005,"OK","ERROR - veprimi nuk balancohet")))</f>
        <v/>
      </c>
      <c r="K325" s="97" t="str">
        <f aca="false">IF($D325="","",IFERROR(VLOOKUP($D325,PLANI_LLOGARIVE!$A:$J,10,FALSE()),FALSE()))</f>
        <v/>
      </c>
      <c r="L325" s="97" t="str">
        <f aca="false">IF($D325="","",IFERROR(VLOOKUP($D325,PLANI_LLOGARIVE!$A:$G,7,FALSE()),"NUK EKZISTON"))</f>
        <v/>
      </c>
      <c r="M325" s="98" t="str">
        <f aca="false">IF($D325="","",IF(COUNTIF(PLANI_LLOGARIVE!$A:$A,$D325)=0,"ERROR - llogaria nuk ekziston",IF($K325=TRUE(),"OK","ERROR - llogari jo-postuese/Header")))</f>
        <v/>
      </c>
      <c r="N325" s="99" t="str">
        <f aca="false">IF(TRIM($C325)="","",IF(ABS(SUMIFS($F:$F,$C:$C,TRIM($C325))-SUMIFS($G:$G,$C:$C,TRIM($C325)))&lt;0.005,"OK","ERROR - debi/kredi"))</f>
        <v/>
      </c>
      <c r="O325" s="88"/>
      <c r="P325" s="88"/>
      <c r="Q325" s="88"/>
      <c r="R325" s="88"/>
      <c r="S325" s="100" t="str">
        <f aca="false">IF(D325="","",LEFT(D325&amp;"",2))</f>
        <v/>
      </c>
      <c r="T325" s="101" t="str">
        <f aca="false">IF(D325="","",LEFT(D325&amp;"",3))</f>
        <v/>
      </c>
    </row>
    <row r="326" customFormat="false" ht="14.25" hidden="false" customHeight="true" outlineLevel="0" collapsed="false">
      <c r="A326" s="89"/>
      <c r="B326" s="90"/>
      <c r="C326" s="90"/>
      <c r="D326" s="90"/>
      <c r="E326" s="91" t="str">
        <f aca="false">IFERROR(VLOOKUP(D326,PLANI_LLOGARIVE!$A:$B,2,FALSE()),"")</f>
        <v/>
      </c>
      <c r="F326" s="92"/>
      <c r="G326" s="93"/>
      <c r="H326" s="94"/>
      <c r="I326" s="95"/>
      <c r="J326" s="96" t="str">
        <f aca="false">IF(TRIM($C326)="","",IF($M326&lt;&gt;"OK",$M326,IF(ABS(SUMIFS($F:$F,$C:$C,TRIM($C326))-SUMIFS($G:$G,$C:$C,TRIM($C326)))&lt;0.005,"OK","ERROR - veprimi nuk balancohet")))</f>
        <v/>
      </c>
      <c r="K326" s="97" t="str">
        <f aca="false">IF($D326="","",IFERROR(VLOOKUP($D326,PLANI_LLOGARIVE!$A:$J,10,FALSE()),FALSE()))</f>
        <v/>
      </c>
      <c r="L326" s="97" t="str">
        <f aca="false">IF($D326="","",IFERROR(VLOOKUP($D326,PLANI_LLOGARIVE!$A:$G,7,FALSE()),"NUK EKZISTON"))</f>
        <v/>
      </c>
      <c r="M326" s="98" t="str">
        <f aca="false">IF($D326="","",IF(COUNTIF(PLANI_LLOGARIVE!$A:$A,$D326)=0,"ERROR - llogaria nuk ekziston",IF($K326=TRUE(),"OK","ERROR - llogari jo-postuese/Header")))</f>
        <v/>
      </c>
      <c r="N326" s="99" t="str">
        <f aca="false">IF(TRIM($C326)="","",IF(ABS(SUMIFS($F:$F,$C:$C,TRIM($C326))-SUMIFS($G:$G,$C:$C,TRIM($C326)))&lt;0.005,"OK","ERROR - debi/kredi"))</f>
        <v/>
      </c>
      <c r="O326" s="88"/>
      <c r="P326" s="88"/>
      <c r="Q326" s="88"/>
      <c r="R326" s="88"/>
      <c r="S326" s="100" t="str">
        <f aca="false">IF(D326="","",LEFT(D326&amp;"",2))</f>
        <v/>
      </c>
      <c r="T326" s="101" t="str">
        <f aca="false">IF(D326="","",LEFT(D326&amp;"",3))</f>
        <v/>
      </c>
    </row>
    <row r="327" customFormat="false" ht="14.25" hidden="false" customHeight="true" outlineLevel="0" collapsed="false">
      <c r="A327" s="89"/>
      <c r="B327" s="90"/>
      <c r="C327" s="90"/>
      <c r="D327" s="90"/>
      <c r="E327" s="91" t="str">
        <f aca="false">IFERROR(VLOOKUP(D327,PLANI_LLOGARIVE!$A:$B,2,FALSE()),"")</f>
        <v/>
      </c>
      <c r="F327" s="92"/>
      <c r="G327" s="93"/>
      <c r="H327" s="94"/>
      <c r="I327" s="95"/>
      <c r="J327" s="96" t="str">
        <f aca="false">IF(TRIM($C327)="","",IF($M327&lt;&gt;"OK",$M327,IF(ABS(SUMIFS($F:$F,$C:$C,TRIM($C327))-SUMIFS($G:$G,$C:$C,TRIM($C327)))&lt;0.005,"OK","ERROR - veprimi nuk balancohet")))</f>
        <v/>
      </c>
      <c r="K327" s="97" t="str">
        <f aca="false">IF($D327="","",IFERROR(VLOOKUP($D327,PLANI_LLOGARIVE!$A:$J,10,FALSE()),FALSE()))</f>
        <v/>
      </c>
      <c r="L327" s="97" t="str">
        <f aca="false">IF($D327="","",IFERROR(VLOOKUP($D327,PLANI_LLOGARIVE!$A:$G,7,FALSE()),"NUK EKZISTON"))</f>
        <v/>
      </c>
      <c r="M327" s="98" t="str">
        <f aca="false">IF($D327="","",IF(COUNTIF(PLANI_LLOGARIVE!$A:$A,$D327)=0,"ERROR - llogaria nuk ekziston",IF($K327=TRUE(),"OK","ERROR - llogari jo-postuese/Header")))</f>
        <v/>
      </c>
      <c r="N327" s="99" t="str">
        <f aca="false">IF(TRIM($C327)="","",IF(ABS(SUMIFS($F:$F,$C:$C,TRIM($C327))-SUMIFS($G:$G,$C:$C,TRIM($C327)))&lt;0.005,"OK","ERROR - debi/kredi"))</f>
        <v/>
      </c>
      <c r="O327" s="88"/>
      <c r="P327" s="88"/>
      <c r="Q327" s="88"/>
      <c r="R327" s="88"/>
      <c r="S327" s="100" t="str">
        <f aca="false">IF(D327="","",LEFT(D327&amp;"",2))</f>
        <v/>
      </c>
      <c r="T327" s="101" t="str">
        <f aca="false">IF(D327="","",LEFT(D327&amp;"",3))</f>
        <v/>
      </c>
    </row>
    <row r="328" customFormat="false" ht="14.25" hidden="false" customHeight="true" outlineLevel="0" collapsed="false">
      <c r="A328" s="89"/>
      <c r="B328" s="90"/>
      <c r="C328" s="90"/>
      <c r="D328" s="90"/>
      <c r="E328" s="91" t="str">
        <f aca="false">IFERROR(VLOOKUP(D328,PLANI_LLOGARIVE!$A:$B,2,FALSE()),"")</f>
        <v/>
      </c>
      <c r="F328" s="92"/>
      <c r="G328" s="93"/>
      <c r="H328" s="94"/>
      <c r="I328" s="95"/>
      <c r="J328" s="96" t="str">
        <f aca="false">IF(TRIM($C328)="","",IF($M328&lt;&gt;"OK",$M328,IF(ABS(SUMIFS($F:$F,$C:$C,TRIM($C328))-SUMIFS($G:$G,$C:$C,TRIM($C328)))&lt;0.005,"OK","ERROR - veprimi nuk balancohet")))</f>
        <v/>
      </c>
      <c r="K328" s="97" t="str">
        <f aca="false">IF($D328="","",IFERROR(VLOOKUP($D328,PLANI_LLOGARIVE!$A:$J,10,FALSE()),FALSE()))</f>
        <v/>
      </c>
      <c r="L328" s="97" t="str">
        <f aca="false">IF($D328="","",IFERROR(VLOOKUP($D328,PLANI_LLOGARIVE!$A:$G,7,FALSE()),"NUK EKZISTON"))</f>
        <v/>
      </c>
      <c r="M328" s="98" t="str">
        <f aca="false">IF($D328="","",IF(COUNTIF(PLANI_LLOGARIVE!$A:$A,$D328)=0,"ERROR - llogaria nuk ekziston",IF($K328=TRUE(),"OK","ERROR - llogari jo-postuese/Header")))</f>
        <v/>
      </c>
      <c r="N328" s="99" t="str">
        <f aca="false">IF(TRIM($C328)="","",IF(ABS(SUMIFS($F:$F,$C:$C,TRIM($C328))-SUMIFS($G:$G,$C:$C,TRIM($C328)))&lt;0.005,"OK","ERROR - debi/kredi"))</f>
        <v/>
      </c>
      <c r="O328" s="88"/>
      <c r="P328" s="88"/>
      <c r="Q328" s="88"/>
      <c r="R328" s="88"/>
      <c r="S328" s="100" t="str">
        <f aca="false">IF(D328="","",LEFT(D328&amp;"",2))</f>
        <v/>
      </c>
      <c r="T328" s="101" t="str">
        <f aca="false">IF(D328="","",LEFT(D328&amp;"",3))</f>
        <v/>
      </c>
    </row>
    <row r="329" customFormat="false" ht="14.25" hidden="false" customHeight="true" outlineLevel="0" collapsed="false">
      <c r="A329" s="89"/>
      <c r="B329" s="90"/>
      <c r="C329" s="90"/>
      <c r="D329" s="90"/>
      <c r="E329" s="91" t="str">
        <f aca="false">IFERROR(VLOOKUP(D329,PLANI_LLOGARIVE!$A:$B,2,FALSE()),"")</f>
        <v/>
      </c>
      <c r="F329" s="92"/>
      <c r="G329" s="93"/>
      <c r="H329" s="94"/>
      <c r="I329" s="95"/>
      <c r="J329" s="96" t="str">
        <f aca="false">IF(TRIM($C329)="","",IF($M329&lt;&gt;"OK",$M329,IF(ABS(SUMIFS($F:$F,$C:$C,TRIM($C329))-SUMIFS($G:$G,$C:$C,TRIM($C329)))&lt;0.005,"OK","ERROR - veprimi nuk balancohet")))</f>
        <v/>
      </c>
      <c r="K329" s="97" t="str">
        <f aca="false">IF($D329="","",IFERROR(VLOOKUP($D329,PLANI_LLOGARIVE!$A:$J,10,FALSE()),FALSE()))</f>
        <v/>
      </c>
      <c r="L329" s="97" t="str">
        <f aca="false">IF($D329="","",IFERROR(VLOOKUP($D329,PLANI_LLOGARIVE!$A:$G,7,FALSE()),"NUK EKZISTON"))</f>
        <v/>
      </c>
      <c r="M329" s="98" t="str">
        <f aca="false">IF($D329="","",IF(COUNTIF(PLANI_LLOGARIVE!$A:$A,$D329)=0,"ERROR - llogaria nuk ekziston",IF($K329=TRUE(),"OK","ERROR - llogari jo-postuese/Header")))</f>
        <v/>
      </c>
      <c r="N329" s="99" t="str">
        <f aca="false">IF(TRIM($C329)="","",IF(ABS(SUMIFS($F:$F,$C:$C,TRIM($C329))-SUMIFS($G:$G,$C:$C,TRIM($C329)))&lt;0.005,"OK","ERROR - debi/kredi"))</f>
        <v/>
      </c>
      <c r="O329" s="88"/>
      <c r="P329" s="88"/>
      <c r="Q329" s="88"/>
      <c r="R329" s="88"/>
      <c r="S329" s="100" t="str">
        <f aca="false">IF(D329="","",LEFT(D329&amp;"",2))</f>
        <v/>
      </c>
      <c r="T329" s="101" t="str">
        <f aca="false">IF(D329="","",LEFT(D329&amp;"",3))</f>
        <v/>
      </c>
    </row>
    <row r="330" customFormat="false" ht="14.25" hidden="false" customHeight="true" outlineLevel="0" collapsed="false">
      <c r="A330" s="89"/>
      <c r="B330" s="90"/>
      <c r="C330" s="90"/>
      <c r="D330" s="90"/>
      <c r="E330" s="91" t="str">
        <f aca="false">IFERROR(VLOOKUP(D330,PLANI_LLOGARIVE!$A:$B,2,FALSE()),"")</f>
        <v/>
      </c>
      <c r="F330" s="92"/>
      <c r="G330" s="93"/>
      <c r="H330" s="94"/>
      <c r="I330" s="95"/>
      <c r="J330" s="96" t="str">
        <f aca="false">IF(TRIM($C330)="","",IF($M330&lt;&gt;"OK",$M330,IF(ABS(SUMIFS($F:$F,$C:$C,TRIM($C330))-SUMIFS($G:$G,$C:$C,TRIM($C330)))&lt;0.005,"OK","ERROR - veprimi nuk balancohet")))</f>
        <v/>
      </c>
      <c r="K330" s="97" t="str">
        <f aca="false">IF($D330="","",IFERROR(VLOOKUP($D330,PLANI_LLOGARIVE!$A:$J,10,FALSE()),FALSE()))</f>
        <v/>
      </c>
      <c r="L330" s="97" t="str">
        <f aca="false">IF($D330="","",IFERROR(VLOOKUP($D330,PLANI_LLOGARIVE!$A:$G,7,FALSE()),"NUK EKZISTON"))</f>
        <v/>
      </c>
      <c r="M330" s="98" t="str">
        <f aca="false">IF($D330="","",IF(COUNTIF(PLANI_LLOGARIVE!$A:$A,$D330)=0,"ERROR - llogaria nuk ekziston",IF($K330=TRUE(),"OK","ERROR - llogari jo-postuese/Header")))</f>
        <v/>
      </c>
      <c r="N330" s="99" t="str">
        <f aca="false">IF(TRIM($C330)="","",IF(ABS(SUMIFS($F:$F,$C:$C,TRIM($C330))-SUMIFS($G:$G,$C:$C,TRIM($C330)))&lt;0.005,"OK","ERROR - debi/kredi"))</f>
        <v/>
      </c>
      <c r="O330" s="88"/>
      <c r="P330" s="88"/>
      <c r="Q330" s="88"/>
      <c r="R330" s="88"/>
      <c r="S330" s="100" t="str">
        <f aca="false">IF(D330="","",LEFT(D330&amp;"",2))</f>
        <v/>
      </c>
      <c r="T330" s="101" t="str">
        <f aca="false">IF(D330="","",LEFT(D330&amp;"",3))</f>
        <v/>
      </c>
    </row>
    <row r="331" customFormat="false" ht="14.25" hidden="false" customHeight="true" outlineLevel="0" collapsed="false">
      <c r="A331" s="89"/>
      <c r="B331" s="90"/>
      <c r="C331" s="90"/>
      <c r="D331" s="90"/>
      <c r="E331" s="91" t="str">
        <f aca="false">IFERROR(VLOOKUP(D331,PLANI_LLOGARIVE!$A:$B,2,FALSE()),"")</f>
        <v/>
      </c>
      <c r="F331" s="92"/>
      <c r="G331" s="93"/>
      <c r="H331" s="94"/>
      <c r="I331" s="95"/>
      <c r="J331" s="96" t="str">
        <f aca="false">IF(TRIM($C331)="","",IF($M331&lt;&gt;"OK",$M331,IF(ABS(SUMIFS($F:$F,$C:$C,TRIM($C331))-SUMIFS($G:$G,$C:$C,TRIM($C331)))&lt;0.005,"OK","ERROR - veprimi nuk balancohet")))</f>
        <v/>
      </c>
      <c r="K331" s="97" t="str">
        <f aca="false">IF($D331="","",IFERROR(VLOOKUP($D331,PLANI_LLOGARIVE!$A:$J,10,FALSE()),FALSE()))</f>
        <v/>
      </c>
      <c r="L331" s="97" t="str">
        <f aca="false">IF($D331="","",IFERROR(VLOOKUP($D331,PLANI_LLOGARIVE!$A:$G,7,FALSE()),"NUK EKZISTON"))</f>
        <v/>
      </c>
      <c r="M331" s="98" t="str">
        <f aca="false">IF($D331="","",IF(COUNTIF(PLANI_LLOGARIVE!$A:$A,$D331)=0,"ERROR - llogaria nuk ekziston",IF($K331=TRUE(),"OK","ERROR - llogari jo-postuese/Header")))</f>
        <v/>
      </c>
      <c r="N331" s="99" t="str">
        <f aca="false">IF(TRIM($C331)="","",IF(ABS(SUMIFS($F:$F,$C:$C,TRIM($C331))-SUMIFS($G:$G,$C:$C,TRIM($C331)))&lt;0.005,"OK","ERROR - debi/kredi"))</f>
        <v/>
      </c>
      <c r="O331" s="88"/>
      <c r="P331" s="88"/>
      <c r="Q331" s="88"/>
      <c r="R331" s="88"/>
      <c r="S331" s="100" t="str">
        <f aca="false">IF(D331="","",LEFT(D331&amp;"",2))</f>
        <v/>
      </c>
      <c r="T331" s="101" t="str">
        <f aca="false">IF(D331="","",LEFT(D331&amp;"",3))</f>
        <v/>
      </c>
    </row>
    <row r="332" customFormat="false" ht="14.25" hidden="false" customHeight="true" outlineLevel="0" collapsed="false">
      <c r="A332" s="89"/>
      <c r="B332" s="90"/>
      <c r="C332" s="90"/>
      <c r="D332" s="90"/>
      <c r="E332" s="91" t="str">
        <f aca="false">IFERROR(VLOOKUP(D332,PLANI_LLOGARIVE!$A:$B,2,FALSE()),"")</f>
        <v/>
      </c>
      <c r="F332" s="92"/>
      <c r="G332" s="93"/>
      <c r="H332" s="94"/>
      <c r="I332" s="95"/>
      <c r="J332" s="96" t="str">
        <f aca="false">IF(TRIM($C332)="","",IF($M332&lt;&gt;"OK",$M332,IF(ABS(SUMIFS($F:$F,$C:$C,TRIM($C332))-SUMIFS($G:$G,$C:$C,TRIM($C332)))&lt;0.005,"OK","ERROR - veprimi nuk balancohet")))</f>
        <v/>
      </c>
      <c r="K332" s="97" t="str">
        <f aca="false">IF($D332="","",IFERROR(VLOOKUP($D332,PLANI_LLOGARIVE!$A:$J,10,FALSE()),FALSE()))</f>
        <v/>
      </c>
      <c r="L332" s="97" t="str">
        <f aca="false">IF($D332="","",IFERROR(VLOOKUP($D332,PLANI_LLOGARIVE!$A:$G,7,FALSE()),"NUK EKZISTON"))</f>
        <v/>
      </c>
      <c r="M332" s="98" t="str">
        <f aca="false">IF($D332="","",IF(COUNTIF(PLANI_LLOGARIVE!$A:$A,$D332)=0,"ERROR - llogaria nuk ekziston",IF($K332=TRUE(),"OK","ERROR - llogari jo-postuese/Header")))</f>
        <v/>
      </c>
      <c r="N332" s="99" t="str">
        <f aca="false">IF(TRIM($C332)="","",IF(ABS(SUMIFS($F:$F,$C:$C,TRIM($C332))-SUMIFS($G:$G,$C:$C,TRIM($C332)))&lt;0.005,"OK","ERROR - debi/kredi"))</f>
        <v/>
      </c>
      <c r="O332" s="88"/>
      <c r="P332" s="88"/>
      <c r="Q332" s="88"/>
      <c r="R332" s="88"/>
      <c r="S332" s="100" t="str">
        <f aca="false">IF(D332="","",LEFT(D332&amp;"",2))</f>
        <v/>
      </c>
      <c r="T332" s="101" t="str">
        <f aca="false">IF(D332="","",LEFT(D332&amp;"",3))</f>
        <v/>
      </c>
    </row>
    <row r="333" customFormat="false" ht="14.25" hidden="false" customHeight="true" outlineLevel="0" collapsed="false">
      <c r="A333" s="89"/>
      <c r="B333" s="90"/>
      <c r="C333" s="90"/>
      <c r="D333" s="90"/>
      <c r="E333" s="91" t="str">
        <f aca="false">IFERROR(VLOOKUP(D333,PLANI_LLOGARIVE!$A:$B,2,FALSE()),"")</f>
        <v/>
      </c>
      <c r="F333" s="92"/>
      <c r="G333" s="93"/>
      <c r="H333" s="94"/>
      <c r="I333" s="95"/>
      <c r="J333" s="96" t="str">
        <f aca="false">IF(TRIM($C333)="","",IF($M333&lt;&gt;"OK",$M333,IF(ABS(SUMIFS($F:$F,$C:$C,TRIM($C333))-SUMIFS($G:$G,$C:$C,TRIM($C333)))&lt;0.005,"OK","ERROR - veprimi nuk balancohet")))</f>
        <v/>
      </c>
      <c r="K333" s="97" t="str">
        <f aca="false">IF($D333="","",IFERROR(VLOOKUP($D333,PLANI_LLOGARIVE!$A:$J,10,FALSE()),FALSE()))</f>
        <v/>
      </c>
      <c r="L333" s="97" t="str">
        <f aca="false">IF($D333="","",IFERROR(VLOOKUP($D333,PLANI_LLOGARIVE!$A:$G,7,FALSE()),"NUK EKZISTON"))</f>
        <v/>
      </c>
      <c r="M333" s="98" t="str">
        <f aca="false">IF($D333="","",IF(COUNTIF(PLANI_LLOGARIVE!$A:$A,$D333)=0,"ERROR - llogaria nuk ekziston",IF($K333=TRUE(),"OK","ERROR - llogari jo-postuese/Header")))</f>
        <v/>
      </c>
      <c r="N333" s="99" t="str">
        <f aca="false">IF(TRIM($C333)="","",IF(ABS(SUMIFS($F:$F,$C:$C,TRIM($C333))-SUMIFS($G:$G,$C:$C,TRIM($C333)))&lt;0.005,"OK","ERROR - debi/kredi"))</f>
        <v/>
      </c>
      <c r="O333" s="88"/>
      <c r="P333" s="88"/>
      <c r="Q333" s="88"/>
      <c r="R333" s="88"/>
      <c r="S333" s="100" t="str">
        <f aca="false">IF(D333="","",LEFT(D333&amp;"",2))</f>
        <v/>
      </c>
      <c r="T333" s="101" t="str">
        <f aca="false">IF(D333="","",LEFT(D333&amp;"",3))</f>
        <v/>
      </c>
    </row>
    <row r="334" customFormat="false" ht="14.25" hidden="false" customHeight="true" outlineLevel="0" collapsed="false">
      <c r="A334" s="89"/>
      <c r="B334" s="90"/>
      <c r="C334" s="90"/>
      <c r="D334" s="90"/>
      <c r="E334" s="91" t="str">
        <f aca="false">IFERROR(VLOOKUP(D334,PLANI_LLOGARIVE!$A:$B,2,FALSE()),"")</f>
        <v/>
      </c>
      <c r="F334" s="92"/>
      <c r="G334" s="93"/>
      <c r="H334" s="94"/>
      <c r="I334" s="95"/>
      <c r="J334" s="96" t="str">
        <f aca="false">IF(TRIM($C334)="","",IF($M334&lt;&gt;"OK",$M334,IF(ABS(SUMIFS($F:$F,$C:$C,TRIM($C334))-SUMIFS($G:$G,$C:$C,TRIM($C334)))&lt;0.005,"OK","ERROR - veprimi nuk balancohet")))</f>
        <v/>
      </c>
      <c r="K334" s="97" t="str">
        <f aca="false">IF($D334="","",IFERROR(VLOOKUP($D334,PLANI_LLOGARIVE!$A:$J,10,FALSE()),FALSE()))</f>
        <v/>
      </c>
      <c r="L334" s="97" t="str">
        <f aca="false">IF($D334="","",IFERROR(VLOOKUP($D334,PLANI_LLOGARIVE!$A:$G,7,FALSE()),"NUK EKZISTON"))</f>
        <v/>
      </c>
      <c r="M334" s="98" t="str">
        <f aca="false">IF($D334="","",IF(COUNTIF(PLANI_LLOGARIVE!$A:$A,$D334)=0,"ERROR - llogaria nuk ekziston",IF($K334=TRUE(),"OK","ERROR - llogari jo-postuese/Header")))</f>
        <v/>
      </c>
      <c r="N334" s="99" t="str">
        <f aca="false">IF(TRIM($C334)="","",IF(ABS(SUMIFS($F:$F,$C:$C,TRIM($C334))-SUMIFS($G:$G,$C:$C,TRIM($C334)))&lt;0.005,"OK","ERROR - debi/kredi"))</f>
        <v/>
      </c>
      <c r="O334" s="88"/>
      <c r="P334" s="88"/>
      <c r="Q334" s="88"/>
      <c r="R334" s="88"/>
      <c r="S334" s="100" t="str">
        <f aca="false">IF(D334="","",LEFT(D334&amp;"",2))</f>
        <v/>
      </c>
      <c r="T334" s="101" t="str">
        <f aca="false">IF(D334="","",LEFT(D334&amp;"",3))</f>
        <v/>
      </c>
    </row>
    <row r="335" customFormat="false" ht="14.25" hidden="false" customHeight="true" outlineLevel="0" collapsed="false">
      <c r="A335" s="89"/>
      <c r="B335" s="90"/>
      <c r="C335" s="90"/>
      <c r="D335" s="90"/>
      <c r="E335" s="91" t="str">
        <f aca="false">IFERROR(VLOOKUP(D335,PLANI_LLOGARIVE!$A:$B,2,FALSE()),"")</f>
        <v/>
      </c>
      <c r="F335" s="92"/>
      <c r="G335" s="93"/>
      <c r="H335" s="94"/>
      <c r="I335" s="95"/>
      <c r="J335" s="96" t="str">
        <f aca="false">IF(TRIM($C335)="","",IF($M335&lt;&gt;"OK",$M335,IF(ABS(SUMIFS($F:$F,$C:$C,TRIM($C335))-SUMIFS($G:$G,$C:$C,TRIM($C335)))&lt;0.005,"OK","ERROR - veprimi nuk balancohet")))</f>
        <v/>
      </c>
      <c r="K335" s="97" t="str">
        <f aca="false">IF($D335="","",IFERROR(VLOOKUP($D335,PLANI_LLOGARIVE!$A:$J,10,FALSE()),FALSE()))</f>
        <v/>
      </c>
      <c r="L335" s="97" t="str">
        <f aca="false">IF($D335="","",IFERROR(VLOOKUP($D335,PLANI_LLOGARIVE!$A:$G,7,FALSE()),"NUK EKZISTON"))</f>
        <v/>
      </c>
      <c r="M335" s="98" t="str">
        <f aca="false">IF($D335="","",IF(COUNTIF(PLANI_LLOGARIVE!$A:$A,$D335)=0,"ERROR - llogaria nuk ekziston",IF($K335=TRUE(),"OK","ERROR - llogari jo-postuese/Header")))</f>
        <v/>
      </c>
      <c r="N335" s="99" t="str">
        <f aca="false">IF(TRIM($C335)="","",IF(ABS(SUMIFS($F:$F,$C:$C,TRIM($C335))-SUMIFS($G:$G,$C:$C,TRIM($C335)))&lt;0.005,"OK","ERROR - debi/kredi"))</f>
        <v/>
      </c>
      <c r="O335" s="88"/>
      <c r="P335" s="88"/>
      <c r="Q335" s="88"/>
      <c r="R335" s="88"/>
      <c r="S335" s="100" t="str">
        <f aca="false">IF(D335="","",LEFT(D335&amp;"",2))</f>
        <v/>
      </c>
      <c r="T335" s="101" t="str">
        <f aca="false">IF(D335="","",LEFT(D335&amp;"",3))</f>
        <v/>
      </c>
    </row>
    <row r="336" customFormat="false" ht="14.25" hidden="false" customHeight="true" outlineLevel="0" collapsed="false">
      <c r="A336" s="89"/>
      <c r="B336" s="90"/>
      <c r="C336" s="90"/>
      <c r="D336" s="90"/>
      <c r="E336" s="91" t="str">
        <f aca="false">IFERROR(VLOOKUP(D336,PLANI_LLOGARIVE!$A:$B,2,FALSE()),"")</f>
        <v/>
      </c>
      <c r="F336" s="92"/>
      <c r="G336" s="93"/>
      <c r="H336" s="94"/>
      <c r="I336" s="95"/>
      <c r="J336" s="96" t="str">
        <f aca="false">IF(TRIM($C336)="","",IF($M336&lt;&gt;"OK",$M336,IF(ABS(SUMIFS($F:$F,$C:$C,TRIM($C336))-SUMIFS($G:$G,$C:$C,TRIM($C336)))&lt;0.005,"OK","ERROR - veprimi nuk balancohet")))</f>
        <v/>
      </c>
      <c r="K336" s="97" t="str">
        <f aca="false">IF($D336="","",IFERROR(VLOOKUP($D336,PLANI_LLOGARIVE!$A:$J,10,FALSE()),FALSE()))</f>
        <v/>
      </c>
      <c r="L336" s="97" t="str">
        <f aca="false">IF($D336="","",IFERROR(VLOOKUP($D336,PLANI_LLOGARIVE!$A:$G,7,FALSE()),"NUK EKZISTON"))</f>
        <v/>
      </c>
      <c r="M336" s="98" t="str">
        <f aca="false">IF($D336="","",IF(COUNTIF(PLANI_LLOGARIVE!$A:$A,$D336)=0,"ERROR - llogaria nuk ekziston",IF($K336=TRUE(),"OK","ERROR - llogari jo-postuese/Header")))</f>
        <v/>
      </c>
      <c r="N336" s="99" t="str">
        <f aca="false">IF(TRIM($C336)="","",IF(ABS(SUMIFS($F:$F,$C:$C,TRIM($C336))-SUMIFS($G:$G,$C:$C,TRIM($C336)))&lt;0.005,"OK","ERROR - debi/kredi"))</f>
        <v/>
      </c>
      <c r="O336" s="88"/>
      <c r="P336" s="88"/>
      <c r="Q336" s="88"/>
      <c r="R336" s="88"/>
      <c r="S336" s="100" t="str">
        <f aca="false">IF(D336="","",LEFT(D336&amp;"",2))</f>
        <v/>
      </c>
      <c r="T336" s="101" t="str">
        <f aca="false">IF(D336="","",LEFT(D336&amp;"",3))</f>
        <v/>
      </c>
    </row>
    <row r="337" customFormat="false" ht="14.25" hidden="false" customHeight="true" outlineLevel="0" collapsed="false">
      <c r="A337" s="89"/>
      <c r="B337" s="90"/>
      <c r="C337" s="90"/>
      <c r="D337" s="90"/>
      <c r="E337" s="91" t="str">
        <f aca="false">IFERROR(VLOOKUP(D337,PLANI_LLOGARIVE!$A:$B,2,FALSE()),"")</f>
        <v/>
      </c>
      <c r="F337" s="92"/>
      <c r="G337" s="93"/>
      <c r="H337" s="94"/>
      <c r="I337" s="95"/>
      <c r="J337" s="96" t="str">
        <f aca="false">IF(TRIM($C337)="","",IF($M337&lt;&gt;"OK",$M337,IF(ABS(SUMIFS($F:$F,$C:$C,TRIM($C337))-SUMIFS($G:$G,$C:$C,TRIM($C337)))&lt;0.005,"OK","ERROR - veprimi nuk balancohet")))</f>
        <v/>
      </c>
      <c r="K337" s="97" t="str">
        <f aca="false">IF($D337="","",IFERROR(VLOOKUP($D337,PLANI_LLOGARIVE!$A:$J,10,FALSE()),FALSE()))</f>
        <v/>
      </c>
      <c r="L337" s="97" t="str">
        <f aca="false">IF($D337="","",IFERROR(VLOOKUP($D337,PLANI_LLOGARIVE!$A:$G,7,FALSE()),"NUK EKZISTON"))</f>
        <v/>
      </c>
      <c r="M337" s="98" t="str">
        <f aca="false">IF($D337="","",IF(COUNTIF(PLANI_LLOGARIVE!$A:$A,$D337)=0,"ERROR - llogaria nuk ekziston",IF($K337=TRUE(),"OK","ERROR - llogari jo-postuese/Header")))</f>
        <v/>
      </c>
      <c r="N337" s="99" t="str">
        <f aca="false">IF(TRIM($C337)="","",IF(ABS(SUMIFS($F:$F,$C:$C,TRIM($C337))-SUMIFS($G:$G,$C:$C,TRIM($C337)))&lt;0.005,"OK","ERROR - debi/kredi"))</f>
        <v/>
      </c>
      <c r="O337" s="88"/>
      <c r="P337" s="88"/>
      <c r="Q337" s="88"/>
      <c r="R337" s="88"/>
      <c r="S337" s="100" t="str">
        <f aca="false">IF(D337="","",LEFT(D337&amp;"",2))</f>
        <v/>
      </c>
      <c r="T337" s="101" t="str">
        <f aca="false">IF(D337="","",LEFT(D337&amp;"",3))</f>
        <v/>
      </c>
    </row>
    <row r="338" customFormat="false" ht="14.25" hidden="false" customHeight="true" outlineLevel="0" collapsed="false">
      <c r="A338" s="89"/>
      <c r="B338" s="90"/>
      <c r="C338" s="90"/>
      <c r="D338" s="90"/>
      <c r="E338" s="91" t="str">
        <f aca="false">IFERROR(VLOOKUP(D338,PLANI_LLOGARIVE!$A:$B,2,FALSE()),"")</f>
        <v/>
      </c>
      <c r="F338" s="92"/>
      <c r="G338" s="93"/>
      <c r="H338" s="94"/>
      <c r="I338" s="95"/>
      <c r="J338" s="96" t="str">
        <f aca="false">IF(TRIM($C338)="","",IF($M338&lt;&gt;"OK",$M338,IF(ABS(SUMIFS($F:$F,$C:$C,TRIM($C338))-SUMIFS($G:$G,$C:$C,TRIM($C338)))&lt;0.005,"OK","ERROR - veprimi nuk balancohet")))</f>
        <v/>
      </c>
      <c r="K338" s="97" t="str">
        <f aca="false">IF($D338="","",IFERROR(VLOOKUP($D338,PLANI_LLOGARIVE!$A:$J,10,FALSE()),FALSE()))</f>
        <v/>
      </c>
      <c r="L338" s="97" t="str">
        <f aca="false">IF($D338="","",IFERROR(VLOOKUP($D338,PLANI_LLOGARIVE!$A:$G,7,FALSE()),"NUK EKZISTON"))</f>
        <v/>
      </c>
      <c r="M338" s="98" t="str">
        <f aca="false">IF($D338="","",IF(COUNTIF(PLANI_LLOGARIVE!$A:$A,$D338)=0,"ERROR - llogaria nuk ekziston",IF($K338=TRUE(),"OK","ERROR - llogari jo-postuese/Header")))</f>
        <v/>
      </c>
      <c r="N338" s="99" t="str">
        <f aca="false">IF(TRIM($C338)="","",IF(ABS(SUMIFS($F:$F,$C:$C,TRIM($C338))-SUMIFS($G:$G,$C:$C,TRIM($C338)))&lt;0.005,"OK","ERROR - debi/kredi"))</f>
        <v/>
      </c>
      <c r="O338" s="88"/>
      <c r="P338" s="88"/>
      <c r="Q338" s="88"/>
      <c r="R338" s="88"/>
      <c r="S338" s="100" t="str">
        <f aca="false">IF(D338="","",LEFT(D338&amp;"",2))</f>
        <v/>
      </c>
      <c r="T338" s="101" t="str">
        <f aca="false">IF(D338="","",LEFT(D338&amp;"",3))</f>
        <v/>
      </c>
    </row>
    <row r="339" customFormat="false" ht="14.25" hidden="false" customHeight="true" outlineLevel="0" collapsed="false">
      <c r="A339" s="89"/>
      <c r="B339" s="90"/>
      <c r="C339" s="90"/>
      <c r="D339" s="90"/>
      <c r="E339" s="91" t="str">
        <f aca="false">IFERROR(VLOOKUP(D339,PLANI_LLOGARIVE!$A:$B,2,FALSE()),"")</f>
        <v/>
      </c>
      <c r="F339" s="92"/>
      <c r="G339" s="93"/>
      <c r="H339" s="94"/>
      <c r="I339" s="95"/>
      <c r="J339" s="96" t="str">
        <f aca="false">IF(TRIM($C339)="","",IF($M339&lt;&gt;"OK",$M339,IF(ABS(SUMIFS($F:$F,$C:$C,TRIM($C339))-SUMIFS($G:$G,$C:$C,TRIM($C339)))&lt;0.005,"OK","ERROR - veprimi nuk balancohet")))</f>
        <v/>
      </c>
      <c r="K339" s="97" t="str">
        <f aca="false">IF($D339="","",IFERROR(VLOOKUP($D339,PLANI_LLOGARIVE!$A:$J,10,FALSE()),FALSE()))</f>
        <v/>
      </c>
      <c r="L339" s="97" t="str">
        <f aca="false">IF($D339="","",IFERROR(VLOOKUP($D339,PLANI_LLOGARIVE!$A:$G,7,FALSE()),"NUK EKZISTON"))</f>
        <v/>
      </c>
      <c r="M339" s="98" t="str">
        <f aca="false">IF($D339="","",IF(COUNTIF(PLANI_LLOGARIVE!$A:$A,$D339)=0,"ERROR - llogaria nuk ekziston",IF($K339=TRUE(),"OK","ERROR - llogari jo-postuese/Header")))</f>
        <v/>
      </c>
      <c r="N339" s="99" t="str">
        <f aca="false">IF(TRIM($C339)="","",IF(ABS(SUMIFS($F:$F,$C:$C,TRIM($C339))-SUMIFS($G:$G,$C:$C,TRIM($C339)))&lt;0.005,"OK","ERROR - debi/kredi"))</f>
        <v/>
      </c>
      <c r="O339" s="88"/>
      <c r="P339" s="88"/>
      <c r="Q339" s="88"/>
      <c r="R339" s="88"/>
      <c r="S339" s="100" t="str">
        <f aca="false">IF(D339="","",LEFT(D339&amp;"",2))</f>
        <v/>
      </c>
      <c r="T339" s="101" t="str">
        <f aca="false">IF(D339="","",LEFT(D339&amp;"",3))</f>
        <v/>
      </c>
    </row>
    <row r="340" customFormat="false" ht="14.25" hidden="false" customHeight="true" outlineLevel="0" collapsed="false">
      <c r="A340" s="89"/>
      <c r="B340" s="90"/>
      <c r="C340" s="90"/>
      <c r="D340" s="90"/>
      <c r="E340" s="91" t="str">
        <f aca="false">IFERROR(VLOOKUP(D340,PLANI_LLOGARIVE!$A:$B,2,FALSE()),"")</f>
        <v/>
      </c>
      <c r="F340" s="92"/>
      <c r="G340" s="93"/>
      <c r="H340" s="94"/>
      <c r="I340" s="95"/>
      <c r="J340" s="96" t="str">
        <f aca="false">IF(TRIM($C340)="","",IF($M340&lt;&gt;"OK",$M340,IF(ABS(SUMIFS($F:$F,$C:$C,TRIM($C340))-SUMIFS($G:$G,$C:$C,TRIM($C340)))&lt;0.005,"OK","ERROR - veprimi nuk balancohet")))</f>
        <v/>
      </c>
      <c r="K340" s="97" t="str">
        <f aca="false">IF($D340="","",IFERROR(VLOOKUP($D340,PLANI_LLOGARIVE!$A:$J,10,FALSE()),FALSE()))</f>
        <v/>
      </c>
      <c r="L340" s="97" t="str">
        <f aca="false">IF($D340="","",IFERROR(VLOOKUP($D340,PLANI_LLOGARIVE!$A:$G,7,FALSE()),"NUK EKZISTON"))</f>
        <v/>
      </c>
      <c r="M340" s="98" t="str">
        <f aca="false">IF($D340="","",IF(COUNTIF(PLANI_LLOGARIVE!$A:$A,$D340)=0,"ERROR - llogaria nuk ekziston",IF($K340=TRUE(),"OK","ERROR - llogari jo-postuese/Header")))</f>
        <v/>
      </c>
      <c r="N340" s="99" t="str">
        <f aca="false">IF(TRIM($C340)="","",IF(ABS(SUMIFS($F:$F,$C:$C,TRIM($C340))-SUMIFS($G:$G,$C:$C,TRIM($C340)))&lt;0.005,"OK","ERROR - debi/kredi"))</f>
        <v/>
      </c>
      <c r="O340" s="88"/>
      <c r="P340" s="88"/>
      <c r="Q340" s="88"/>
      <c r="R340" s="88"/>
      <c r="S340" s="100" t="str">
        <f aca="false">IF(D340="","",LEFT(D340&amp;"",2))</f>
        <v/>
      </c>
      <c r="T340" s="101" t="str">
        <f aca="false">IF(D340="","",LEFT(D340&amp;"",3))</f>
        <v/>
      </c>
    </row>
    <row r="341" customFormat="false" ht="14.25" hidden="false" customHeight="true" outlineLevel="0" collapsed="false">
      <c r="A341" s="89"/>
      <c r="B341" s="90"/>
      <c r="C341" s="90"/>
      <c r="D341" s="90"/>
      <c r="E341" s="91" t="str">
        <f aca="false">IFERROR(VLOOKUP(D341,PLANI_LLOGARIVE!$A:$B,2,FALSE()),"")</f>
        <v/>
      </c>
      <c r="F341" s="92"/>
      <c r="G341" s="93"/>
      <c r="H341" s="94"/>
      <c r="I341" s="95"/>
      <c r="J341" s="96" t="str">
        <f aca="false">IF(TRIM($C341)="","",IF($M341&lt;&gt;"OK",$M341,IF(ABS(SUMIFS($F:$F,$C:$C,TRIM($C341))-SUMIFS($G:$G,$C:$C,TRIM($C341)))&lt;0.005,"OK","ERROR - veprimi nuk balancohet")))</f>
        <v/>
      </c>
      <c r="K341" s="97" t="str">
        <f aca="false">IF($D341="","",IFERROR(VLOOKUP($D341,PLANI_LLOGARIVE!$A:$J,10,FALSE()),FALSE()))</f>
        <v/>
      </c>
      <c r="L341" s="97" t="str">
        <f aca="false">IF($D341="","",IFERROR(VLOOKUP($D341,PLANI_LLOGARIVE!$A:$G,7,FALSE()),"NUK EKZISTON"))</f>
        <v/>
      </c>
      <c r="M341" s="98" t="str">
        <f aca="false">IF($D341="","",IF(COUNTIF(PLANI_LLOGARIVE!$A:$A,$D341)=0,"ERROR - llogaria nuk ekziston",IF($K341=TRUE(),"OK","ERROR - llogari jo-postuese/Header")))</f>
        <v/>
      </c>
      <c r="N341" s="99" t="str">
        <f aca="false">IF(TRIM($C341)="","",IF(ABS(SUMIFS($F:$F,$C:$C,TRIM($C341))-SUMIFS($G:$G,$C:$C,TRIM($C341)))&lt;0.005,"OK","ERROR - debi/kredi"))</f>
        <v/>
      </c>
      <c r="O341" s="88"/>
      <c r="P341" s="88"/>
      <c r="Q341" s="88"/>
      <c r="R341" s="88"/>
      <c r="S341" s="100" t="str">
        <f aca="false">IF(D341="","",LEFT(D341&amp;"",2))</f>
        <v/>
      </c>
      <c r="T341" s="101" t="str">
        <f aca="false">IF(D341="","",LEFT(D341&amp;"",3))</f>
        <v/>
      </c>
    </row>
    <row r="342" customFormat="false" ht="14.25" hidden="false" customHeight="true" outlineLevel="0" collapsed="false">
      <c r="A342" s="89"/>
      <c r="B342" s="90"/>
      <c r="C342" s="90"/>
      <c r="D342" s="90"/>
      <c r="E342" s="91" t="str">
        <f aca="false">IFERROR(VLOOKUP(D342,PLANI_LLOGARIVE!$A:$B,2,FALSE()),"")</f>
        <v/>
      </c>
      <c r="F342" s="92"/>
      <c r="G342" s="93"/>
      <c r="H342" s="94"/>
      <c r="I342" s="95"/>
      <c r="J342" s="96" t="str">
        <f aca="false">IF(TRIM($C342)="","",IF($M342&lt;&gt;"OK",$M342,IF(ABS(SUMIFS($F:$F,$C:$C,TRIM($C342))-SUMIFS($G:$G,$C:$C,TRIM($C342)))&lt;0.005,"OK","ERROR - veprimi nuk balancohet")))</f>
        <v/>
      </c>
      <c r="K342" s="97" t="str">
        <f aca="false">IF($D342="","",IFERROR(VLOOKUP($D342,PLANI_LLOGARIVE!$A:$J,10,FALSE()),FALSE()))</f>
        <v/>
      </c>
      <c r="L342" s="97" t="str">
        <f aca="false">IF($D342="","",IFERROR(VLOOKUP($D342,PLANI_LLOGARIVE!$A:$G,7,FALSE()),"NUK EKZISTON"))</f>
        <v/>
      </c>
      <c r="M342" s="98" t="str">
        <f aca="false">IF($D342="","",IF(COUNTIF(PLANI_LLOGARIVE!$A:$A,$D342)=0,"ERROR - llogaria nuk ekziston",IF($K342=TRUE(),"OK","ERROR - llogari jo-postuese/Header")))</f>
        <v/>
      </c>
      <c r="N342" s="99" t="str">
        <f aca="false">IF(TRIM($C342)="","",IF(ABS(SUMIFS($F:$F,$C:$C,TRIM($C342))-SUMIFS($G:$G,$C:$C,TRIM($C342)))&lt;0.005,"OK","ERROR - debi/kredi"))</f>
        <v/>
      </c>
      <c r="O342" s="88"/>
      <c r="P342" s="88"/>
      <c r="Q342" s="88"/>
      <c r="R342" s="88"/>
      <c r="S342" s="100" t="str">
        <f aca="false">IF(D342="","",LEFT(D342&amp;"",2))</f>
        <v/>
      </c>
      <c r="T342" s="101" t="str">
        <f aca="false">IF(D342="","",LEFT(D342&amp;"",3))</f>
        <v/>
      </c>
    </row>
    <row r="343" customFormat="false" ht="14.25" hidden="false" customHeight="true" outlineLevel="0" collapsed="false">
      <c r="A343" s="89"/>
      <c r="B343" s="90"/>
      <c r="C343" s="90"/>
      <c r="D343" s="90"/>
      <c r="E343" s="91" t="str">
        <f aca="false">IFERROR(VLOOKUP(D343,PLANI_LLOGARIVE!$A:$B,2,FALSE()),"")</f>
        <v/>
      </c>
      <c r="F343" s="92"/>
      <c r="G343" s="93"/>
      <c r="H343" s="94"/>
      <c r="I343" s="95"/>
      <c r="J343" s="96" t="str">
        <f aca="false">IF(TRIM($C343)="","",IF($M343&lt;&gt;"OK",$M343,IF(ABS(SUMIFS($F:$F,$C:$C,TRIM($C343))-SUMIFS($G:$G,$C:$C,TRIM($C343)))&lt;0.005,"OK","ERROR - veprimi nuk balancohet")))</f>
        <v/>
      </c>
      <c r="K343" s="97" t="str">
        <f aca="false">IF($D343="","",IFERROR(VLOOKUP($D343,PLANI_LLOGARIVE!$A:$J,10,FALSE()),FALSE()))</f>
        <v/>
      </c>
      <c r="L343" s="97" t="str">
        <f aca="false">IF($D343="","",IFERROR(VLOOKUP($D343,PLANI_LLOGARIVE!$A:$G,7,FALSE()),"NUK EKZISTON"))</f>
        <v/>
      </c>
      <c r="M343" s="98" t="str">
        <f aca="false">IF($D343="","",IF(COUNTIF(PLANI_LLOGARIVE!$A:$A,$D343)=0,"ERROR - llogaria nuk ekziston",IF($K343=TRUE(),"OK","ERROR - llogari jo-postuese/Header")))</f>
        <v/>
      </c>
      <c r="N343" s="99" t="str">
        <f aca="false">IF(TRIM($C343)="","",IF(ABS(SUMIFS($F:$F,$C:$C,TRIM($C343))-SUMIFS($G:$G,$C:$C,TRIM($C343)))&lt;0.005,"OK","ERROR - debi/kredi"))</f>
        <v/>
      </c>
      <c r="O343" s="88"/>
      <c r="P343" s="88"/>
      <c r="Q343" s="88"/>
      <c r="R343" s="88"/>
      <c r="S343" s="100" t="str">
        <f aca="false">IF(D343="","",LEFT(D343&amp;"",2))</f>
        <v/>
      </c>
      <c r="T343" s="101" t="str">
        <f aca="false">IF(D343="","",LEFT(D343&amp;"",3))</f>
        <v/>
      </c>
    </row>
    <row r="344" customFormat="false" ht="14.25" hidden="false" customHeight="true" outlineLevel="0" collapsed="false">
      <c r="A344" s="89"/>
      <c r="B344" s="90"/>
      <c r="C344" s="90"/>
      <c r="D344" s="90"/>
      <c r="E344" s="91" t="str">
        <f aca="false">IFERROR(VLOOKUP(D344,PLANI_LLOGARIVE!$A:$B,2,FALSE()),"")</f>
        <v/>
      </c>
      <c r="F344" s="92"/>
      <c r="G344" s="93"/>
      <c r="H344" s="94"/>
      <c r="I344" s="95"/>
      <c r="J344" s="96" t="str">
        <f aca="false">IF(TRIM($C344)="","",IF($M344&lt;&gt;"OK",$M344,IF(ABS(SUMIFS($F:$F,$C:$C,TRIM($C344))-SUMIFS($G:$G,$C:$C,TRIM($C344)))&lt;0.005,"OK","ERROR - veprimi nuk balancohet")))</f>
        <v/>
      </c>
      <c r="K344" s="97" t="str">
        <f aca="false">IF($D344="","",IFERROR(VLOOKUP($D344,PLANI_LLOGARIVE!$A:$J,10,FALSE()),FALSE()))</f>
        <v/>
      </c>
      <c r="L344" s="97" t="str">
        <f aca="false">IF($D344="","",IFERROR(VLOOKUP($D344,PLANI_LLOGARIVE!$A:$G,7,FALSE()),"NUK EKZISTON"))</f>
        <v/>
      </c>
      <c r="M344" s="98" t="str">
        <f aca="false">IF($D344="","",IF(COUNTIF(PLANI_LLOGARIVE!$A:$A,$D344)=0,"ERROR - llogaria nuk ekziston",IF($K344=TRUE(),"OK","ERROR - llogari jo-postuese/Header")))</f>
        <v/>
      </c>
      <c r="N344" s="99" t="str">
        <f aca="false">IF(TRIM($C344)="","",IF(ABS(SUMIFS($F:$F,$C:$C,TRIM($C344))-SUMIFS($G:$G,$C:$C,TRIM($C344)))&lt;0.005,"OK","ERROR - debi/kredi"))</f>
        <v/>
      </c>
      <c r="O344" s="88"/>
      <c r="P344" s="88"/>
      <c r="Q344" s="88"/>
      <c r="R344" s="88"/>
      <c r="S344" s="100" t="str">
        <f aca="false">IF(D344="","",LEFT(D344&amp;"",2))</f>
        <v/>
      </c>
      <c r="T344" s="101" t="str">
        <f aca="false">IF(D344="","",LEFT(D344&amp;"",3))</f>
        <v/>
      </c>
    </row>
    <row r="345" customFormat="false" ht="14.25" hidden="false" customHeight="true" outlineLevel="0" collapsed="false">
      <c r="A345" s="89"/>
      <c r="B345" s="90"/>
      <c r="C345" s="90"/>
      <c r="D345" s="90"/>
      <c r="E345" s="91" t="str">
        <f aca="false">IFERROR(VLOOKUP(D345,PLANI_LLOGARIVE!$A:$B,2,FALSE()),"")</f>
        <v/>
      </c>
      <c r="F345" s="92"/>
      <c r="G345" s="93"/>
      <c r="H345" s="94"/>
      <c r="I345" s="95"/>
      <c r="J345" s="96" t="str">
        <f aca="false">IF(TRIM($C345)="","",IF($M345&lt;&gt;"OK",$M345,IF(ABS(SUMIFS($F:$F,$C:$C,TRIM($C345))-SUMIFS($G:$G,$C:$C,TRIM($C345)))&lt;0.005,"OK","ERROR - veprimi nuk balancohet")))</f>
        <v/>
      </c>
      <c r="K345" s="97" t="str">
        <f aca="false">IF($D345="","",IFERROR(VLOOKUP($D345,PLANI_LLOGARIVE!$A:$J,10,FALSE()),FALSE()))</f>
        <v/>
      </c>
      <c r="L345" s="97" t="str">
        <f aca="false">IF($D345="","",IFERROR(VLOOKUP($D345,PLANI_LLOGARIVE!$A:$G,7,FALSE()),"NUK EKZISTON"))</f>
        <v/>
      </c>
      <c r="M345" s="98" t="str">
        <f aca="false">IF($D345="","",IF(COUNTIF(PLANI_LLOGARIVE!$A:$A,$D345)=0,"ERROR - llogaria nuk ekziston",IF($K345=TRUE(),"OK","ERROR - llogari jo-postuese/Header")))</f>
        <v/>
      </c>
      <c r="N345" s="99" t="str">
        <f aca="false">IF(TRIM($C345)="","",IF(ABS(SUMIFS($F:$F,$C:$C,TRIM($C345))-SUMIFS($G:$G,$C:$C,TRIM($C345)))&lt;0.005,"OK","ERROR - debi/kredi"))</f>
        <v/>
      </c>
      <c r="O345" s="88"/>
      <c r="P345" s="88"/>
      <c r="Q345" s="88"/>
      <c r="R345" s="88"/>
      <c r="S345" s="100" t="str">
        <f aca="false">IF(D345="","",LEFT(D345&amp;"",2))</f>
        <v/>
      </c>
      <c r="T345" s="101" t="str">
        <f aca="false">IF(D345="","",LEFT(D345&amp;"",3))</f>
        <v/>
      </c>
    </row>
    <row r="346" customFormat="false" ht="14.25" hidden="false" customHeight="true" outlineLevel="0" collapsed="false">
      <c r="A346" s="89"/>
      <c r="B346" s="90"/>
      <c r="C346" s="90"/>
      <c r="D346" s="90"/>
      <c r="E346" s="91" t="str">
        <f aca="false">IFERROR(VLOOKUP(D346,PLANI_LLOGARIVE!$A:$B,2,FALSE()),"")</f>
        <v/>
      </c>
      <c r="F346" s="92"/>
      <c r="G346" s="93"/>
      <c r="H346" s="94"/>
      <c r="I346" s="95"/>
      <c r="J346" s="96" t="str">
        <f aca="false">IF(TRIM($C346)="","",IF($M346&lt;&gt;"OK",$M346,IF(ABS(SUMIFS($F:$F,$C:$C,TRIM($C346))-SUMIFS($G:$G,$C:$C,TRIM($C346)))&lt;0.005,"OK","ERROR - veprimi nuk balancohet")))</f>
        <v/>
      </c>
      <c r="K346" s="97" t="str">
        <f aca="false">IF($D346="","",IFERROR(VLOOKUP($D346,PLANI_LLOGARIVE!$A:$J,10,FALSE()),FALSE()))</f>
        <v/>
      </c>
      <c r="L346" s="97" t="str">
        <f aca="false">IF($D346="","",IFERROR(VLOOKUP($D346,PLANI_LLOGARIVE!$A:$G,7,FALSE()),"NUK EKZISTON"))</f>
        <v/>
      </c>
      <c r="M346" s="98" t="str">
        <f aca="false">IF($D346="","",IF(COUNTIF(PLANI_LLOGARIVE!$A:$A,$D346)=0,"ERROR - llogaria nuk ekziston",IF($K346=TRUE(),"OK","ERROR - llogari jo-postuese/Header")))</f>
        <v/>
      </c>
      <c r="N346" s="99" t="str">
        <f aca="false">IF(TRIM($C346)="","",IF(ABS(SUMIFS($F:$F,$C:$C,TRIM($C346))-SUMIFS($G:$G,$C:$C,TRIM($C346)))&lt;0.005,"OK","ERROR - debi/kredi"))</f>
        <v/>
      </c>
      <c r="O346" s="88"/>
      <c r="P346" s="88"/>
      <c r="Q346" s="88"/>
      <c r="R346" s="88"/>
      <c r="S346" s="100" t="str">
        <f aca="false">IF(D346="","",LEFT(D346&amp;"",2))</f>
        <v/>
      </c>
      <c r="T346" s="101" t="str">
        <f aca="false">IF(D346="","",LEFT(D346&amp;"",3))</f>
        <v/>
      </c>
    </row>
    <row r="347" customFormat="false" ht="14.25" hidden="false" customHeight="true" outlineLevel="0" collapsed="false">
      <c r="A347" s="89"/>
      <c r="B347" s="90"/>
      <c r="C347" s="90"/>
      <c r="D347" s="90"/>
      <c r="E347" s="91" t="str">
        <f aca="false">IFERROR(VLOOKUP(D347,PLANI_LLOGARIVE!$A:$B,2,FALSE()),"")</f>
        <v/>
      </c>
      <c r="F347" s="92"/>
      <c r="G347" s="93"/>
      <c r="H347" s="94"/>
      <c r="I347" s="95"/>
      <c r="J347" s="96" t="str">
        <f aca="false">IF(TRIM($C347)="","",IF($M347&lt;&gt;"OK",$M347,IF(ABS(SUMIFS($F:$F,$C:$C,TRIM($C347))-SUMIFS($G:$G,$C:$C,TRIM($C347)))&lt;0.005,"OK","ERROR - veprimi nuk balancohet")))</f>
        <v/>
      </c>
      <c r="K347" s="97" t="str">
        <f aca="false">IF($D347="","",IFERROR(VLOOKUP($D347,PLANI_LLOGARIVE!$A:$J,10,FALSE()),FALSE()))</f>
        <v/>
      </c>
      <c r="L347" s="97" t="str">
        <f aca="false">IF($D347="","",IFERROR(VLOOKUP($D347,PLANI_LLOGARIVE!$A:$G,7,FALSE()),"NUK EKZISTON"))</f>
        <v/>
      </c>
      <c r="M347" s="98" t="str">
        <f aca="false">IF($D347="","",IF(COUNTIF(PLANI_LLOGARIVE!$A:$A,$D347)=0,"ERROR - llogaria nuk ekziston",IF($K347=TRUE(),"OK","ERROR - llogari jo-postuese/Header")))</f>
        <v/>
      </c>
      <c r="N347" s="99" t="str">
        <f aca="false">IF(TRIM($C347)="","",IF(ABS(SUMIFS($F:$F,$C:$C,TRIM($C347))-SUMIFS($G:$G,$C:$C,TRIM($C347)))&lt;0.005,"OK","ERROR - debi/kredi"))</f>
        <v/>
      </c>
      <c r="O347" s="88"/>
      <c r="P347" s="88"/>
      <c r="Q347" s="88"/>
      <c r="R347" s="88"/>
      <c r="S347" s="100" t="str">
        <f aca="false">IF(D347="","",LEFT(D347&amp;"",2))</f>
        <v/>
      </c>
      <c r="T347" s="101" t="str">
        <f aca="false">IF(D347="","",LEFT(D347&amp;"",3))</f>
        <v/>
      </c>
    </row>
    <row r="348" customFormat="false" ht="14.25" hidden="false" customHeight="true" outlineLevel="0" collapsed="false">
      <c r="A348" s="89"/>
      <c r="B348" s="90"/>
      <c r="C348" s="90"/>
      <c r="D348" s="90"/>
      <c r="E348" s="91" t="str">
        <f aca="false">IFERROR(VLOOKUP(D348,PLANI_LLOGARIVE!$A:$B,2,FALSE()),"")</f>
        <v/>
      </c>
      <c r="F348" s="92"/>
      <c r="G348" s="93"/>
      <c r="H348" s="94"/>
      <c r="I348" s="95"/>
      <c r="J348" s="96" t="str">
        <f aca="false">IF(TRIM($C348)="","",IF($M348&lt;&gt;"OK",$M348,IF(ABS(SUMIFS($F:$F,$C:$C,TRIM($C348))-SUMIFS($G:$G,$C:$C,TRIM($C348)))&lt;0.005,"OK","ERROR - veprimi nuk balancohet")))</f>
        <v/>
      </c>
      <c r="K348" s="97" t="str">
        <f aca="false">IF($D348="","",IFERROR(VLOOKUP($D348,PLANI_LLOGARIVE!$A:$J,10,FALSE()),FALSE()))</f>
        <v/>
      </c>
      <c r="L348" s="97" t="str">
        <f aca="false">IF($D348="","",IFERROR(VLOOKUP($D348,PLANI_LLOGARIVE!$A:$G,7,FALSE()),"NUK EKZISTON"))</f>
        <v/>
      </c>
      <c r="M348" s="98" t="str">
        <f aca="false">IF($D348="","",IF(COUNTIF(PLANI_LLOGARIVE!$A:$A,$D348)=0,"ERROR - llogaria nuk ekziston",IF($K348=TRUE(),"OK","ERROR - llogari jo-postuese/Header")))</f>
        <v/>
      </c>
      <c r="N348" s="99" t="str">
        <f aca="false">IF(TRIM($C348)="","",IF(ABS(SUMIFS($F:$F,$C:$C,TRIM($C348))-SUMIFS($G:$G,$C:$C,TRIM($C348)))&lt;0.005,"OK","ERROR - debi/kredi"))</f>
        <v/>
      </c>
      <c r="O348" s="88"/>
      <c r="P348" s="88"/>
      <c r="Q348" s="88"/>
      <c r="R348" s="88"/>
      <c r="S348" s="100" t="str">
        <f aca="false">IF(D348="","",LEFT(D348&amp;"",2))</f>
        <v/>
      </c>
      <c r="T348" s="101" t="str">
        <f aca="false">IF(D348="","",LEFT(D348&amp;"",3))</f>
        <v/>
      </c>
    </row>
    <row r="349" customFormat="false" ht="14.25" hidden="false" customHeight="true" outlineLevel="0" collapsed="false">
      <c r="A349" s="89"/>
      <c r="B349" s="90"/>
      <c r="C349" s="90"/>
      <c r="D349" s="90"/>
      <c r="E349" s="91" t="str">
        <f aca="false">IFERROR(VLOOKUP(D349,PLANI_LLOGARIVE!$A:$B,2,FALSE()),"")</f>
        <v/>
      </c>
      <c r="F349" s="92"/>
      <c r="G349" s="93"/>
      <c r="H349" s="94"/>
      <c r="I349" s="95"/>
      <c r="J349" s="96" t="str">
        <f aca="false">IF(TRIM($C349)="","",IF($M349&lt;&gt;"OK",$M349,IF(ABS(SUMIFS($F:$F,$C:$C,TRIM($C349))-SUMIFS($G:$G,$C:$C,TRIM($C349)))&lt;0.005,"OK","ERROR - veprimi nuk balancohet")))</f>
        <v/>
      </c>
      <c r="K349" s="97" t="str">
        <f aca="false">IF($D349="","",IFERROR(VLOOKUP($D349,PLANI_LLOGARIVE!$A:$J,10,FALSE()),FALSE()))</f>
        <v/>
      </c>
      <c r="L349" s="97" t="str">
        <f aca="false">IF($D349="","",IFERROR(VLOOKUP($D349,PLANI_LLOGARIVE!$A:$G,7,FALSE()),"NUK EKZISTON"))</f>
        <v/>
      </c>
      <c r="M349" s="98" t="str">
        <f aca="false">IF($D349="","",IF(COUNTIF(PLANI_LLOGARIVE!$A:$A,$D349)=0,"ERROR - llogaria nuk ekziston",IF($K349=TRUE(),"OK","ERROR - llogari jo-postuese/Header")))</f>
        <v/>
      </c>
      <c r="N349" s="99" t="str">
        <f aca="false">IF(TRIM($C349)="","",IF(ABS(SUMIFS($F:$F,$C:$C,TRIM($C349))-SUMIFS($G:$G,$C:$C,TRIM($C349)))&lt;0.005,"OK","ERROR - debi/kredi"))</f>
        <v/>
      </c>
      <c r="O349" s="88"/>
      <c r="P349" s="88"/>
      <c r="Q349" s="88"/>
      <c r="R349" s="88"/>
      <c r="S349" s="100" t="str">
        <f aca="false">IF(D349="","",LEFT(D349&amp;"",2))</f>
        <v/>
      </c>
      <c r="T349" s="101" t="str">
        <f aca="false">IF(D349="","",LEFT(D349&amp;"",3))</f>
        <v/>
      </c>
    </row>
    <row r="350" customFormat="false" ht="14.25" hidden="false" customHeight="true" outlineLevel="0" collapsed="false">
      <c r="A350" s="89"/>
      <c r="B350" s="90"/>
      <c r="C350" s="90"/>
      <c r="D350" s="90"/>
      <c r="E350" s="91" t="str">
        <f aca="false">IFERROR(VLOOKUP(D350,PLANI_LLOGARIVE!$A:$B,2,FALSE()),"")</f>
        <v/>
      </c>
      <c r="F350" s="92"/>
      <c r="G350" s="93"/>
      <c r="H350" s="94"/>
      <c r="I350" s="95"/>
      <c r="J350" s="96" t="str">
        <f aca="false">IF(TRIM($C350)="","",IF($M350&lt;&gt;"OK",$M350,IF(ABS(SUMIFS($F:$F,$C:$C,TRIM($C350))-SUMIFS($G:$G,$C:$C,TRIM($C350)))&lt;0.005,"OK","ERROR - veprimi nuk balancohet")))</f>
        <v/>
      </c>
      <c r="K350" s="97" t="str">
        <f aca="false">IF($D350="","",IFERROR(VLOOKUP($D350,PLANI_LLOGARIVE!$A:$J,10,FALSE()),FALSE()))</f>
        <v/>
      </c>
      <c r="L350" s="97" t="str">
        <f aca="false">IF($D350="","",IFERROR(VLOOKUP($D350,PLANI_LLOGARIVE!$A:$G,7,FALSE()),"NUK EKZISTON"))</f>
        <v/>
      </c>
      <c r="M350" s="98" t="str">
        <f aca="false">IF($D350="","",IF(COUNTIF(PLANI_LLOGARIVE!$A:$A,$D350)=0,"ERROR - llogaria nuk ekziston",IF($K350=TRUE(),"OK","ERROR - llogari jo-postuese/Header")))</f>
        <v/>
      </c>
      <c r="N350" s="99" t="str">
        <f aca="false">IF(TRIM($C350)="","",IF(ABS(SUMIFS($F:$F,$C:$C,TRIM($C350))-SUMIFS($G:$G,$C:$C,TRIM($C350)))&lt;0.005,"OK","ERROR - debi/kredi"))</f>
        <v/>
      </c>
      <c r="O350" s="88"/>
      <c r="P350" s="88"/>
      <c r="Q350" s="88"/>
      <c r="R350" s="88"/>
      <c r="S350" s="100" t="str">
        <f aca="false">IF(D350="","",LEFT(D350&amp;"",2))</f>
        <v/>
      </c>
      <c r="T350" s="101" t="str">
        <f aca="false">IF(D350="","",LEFT(D350&amp;"",3))</f>
        <v/>
      </c>
    </row>
    <row r="351" customFormat="false" ht="14.25" hidden="false" customHeight="true" outlineLevel="0" collapsed="false">
      <c r="A351" s="89"/>
      <c r="B351" s="90"/>
      <c r="C351" s="90"/>
      <c r="D351" s="90"/>
      <c r="E351" s="91" t="str">
        <f aca="false">IFERROR(VLOOKUP(D351,PLANI_LLOGARIVE!$A:$B,2,FALSE()),"")</f>
        <v/>
      </c>
      <c r="F351" s="92"/>
      <c r="G351" s="93"/>
      <c r="H351" s="94"/>
      <c r="I351" s="95"/>
      <c r="J351" s="96" t="str">
        <f aca="false">IF(TRIM($C351)="","",IF($M351&lt;&gt;"OK",$M351,IF(ABS(SUMIFS($F:$F,$C:$C,TRIM($C351))-SUMIFS($G:$G,$C:$C,TRIM($C351)))&lt;0.005,"OK","ERROR - veprimi nuk balancohet")))</f>
        <v/>
      </c>
      <c r="K351" s="97" t="str">
        <f aca="false">IF($D351="","",IFERROR(VLOOKUP($D351,PLANI_LLOGARIVE!$A:$J,10,FALSE()),FALSE()))</f>
        <v/>
      </c>
      <c r="L351" s="97" t="str">
        <f aca="false">IF($D351="","",IFERROR(VLOOKUP($D351,PLANI_LLOGARIVE!$A:$G,7,FALSE()),"NUK EKZISTON"))</f>
        <v/>
      </c>
      <c r="M351" s="98" t="str">
        <f aca="false">IF($D351="","",IF(COUNTIF(PLANI_LLOGARIVE!$A:$A,$D351)=0,"ERROR - llogaria nuk ekziston",IF($K351=TRUE(),"OK","ERROR - llogari jo-postuese/Header")))</f>
        <v/>
      </c>
      <c r="N351" s="99" t="str">
        <f aca="false">IF(TRIM($C351)="","",IF(ABS(SUMIFS($F:$F,$C:$C,TRIM($C351))-SUMIFS($G:$G,$C:$C,TRIM($C351)))&lt;0.005,"OK","ERROR - debi/kredi"))</f>
        <v/>
      </c>
      <c r="O351" s="88"/>
      <c r="P351" s="88"/>
      <c r="Q351" s="88"/>
      <c r="R351" s="88"/>
      <c r="S351" s="100" t="str">
        <f aca="false">IF(D351="","",LEFT(D351&amp;"",2))</f>
        <v/>
      </c>
      <c r="T351" s="101" t="str">
        <f aca="false">IF(D351="","",LEFT(D351&amp;"",3))</f>
        <v/>
      </c>
    </row>
    <row r="352" customFormat="false" ht="14.25" hidden="false" customHeight="true" outlineLevel="0" collapsed="false">
      <c r="A352" s="89"/>
      <c r="B352" s="90"/>
      <c r="C352" s="90"/>
      <c r="D352" s="90"/>
      <c r="E352" s="91" t="str">
        <f aca="false">IFERROR(VLOOKUP(D352,PLANI_LLOGARIVE!$A:$B,2,FALSE()),"")</f>
        <v/>
      </c>
      <c r="F352" s="92"/>
      <c r="G352" s="93"/>
      <c r="H352" s="94"/>
      <c r="I352" s="95"/>
      <c r="J352" s="96" t="str">
        <f aca="false">IF(TRIM($C352)="","",IF($M352&lt;&gt;"OK",$M352,IF(ABS(SUMIFS($F:$F,$C:$C,TRIM($C352))-SUMIFS($G:$G,$C:$C,TRIM($C352)))&lt;0.005,"OK","ERROR - veprimi nuk balancohet")))</f>
        <v/>
      </c>
      <c r="K352" s="97" t="str">
        <f aca="false">IF($D352="","",IFERROR(VLOOKUP($D352,PLANI_LLOGARIVE!$A:$J,10,FALSE()),FALSE()))</f>
        <v/>
      </c>
      <c r="L352" s="97" t="str">
        <f aca="false">IF($D352="","",IFERROR(VLOOKUP($D352,PLANI_LLOGARIVE!$A:$G,7,FALSE()),"NUK EKZISTON"))</f>
        <v/>
      </c>
      <c r="M352" s="98" t="str">
        <f aca="false">IF($D352="","",IF(COUNTIF(PLANI_LLOGARIVE!$A:$A,$D352)=0,"ERROR - llogaria nuk ekziston",IF($K352=TRUE(),"OK","ERROR - llogari jo-postuese/Header")))</f>
        <v/>
      </c>
      <c r="N352" s="99" t="str">
        <f aca="false">IF(TRIM($C352)="","",IF(ABS(SUMIFS($F:$F,$C:$C,TRIM($C352))-SUMIFS($G:$G,$C:$C,TRIM($C352)))&lt;0.005,"OK","ERROR - debi/kredi"))</f>
        <v/>
      </c>
      <c r="O352" s="88"/>
      <c r="P352" s="88"/>
      <c r="Q352" s="88"/>
      <c r="R352" s="88"/>
      <c r="S352" s="100" t="str">
        <f aca="false">IF(D352="","",LEFT(D352&amp;"",2))</f>
        <v/>
      </c>
      <c r="T352" s="101" t="str">
        <f aca="false">IF(D352="","",LEFT(D352&amp;"",3))</f>
        <v/>
      </c>
    </row>
    <row r="353" customFormat="false" ht="14.25" hidden="false" customHeight="true" outlineLevel="0" collapsed="false">
      <c r="A353" s="89"/>
      <c r="B353" s="90"/>
      <c r="C353" s="90"/>
      <c r="D353" s="90"/>
      <c r="E353" s="91" t="str">
        <f aca="false">IFERROR(VLOOKUP(D353,PLANI_LLOGARIVE!$A:$B,2,FALSE()),"")</f>
        <v/>
      </c>
      <c r="F353" s="92"/>
      <c r="G353" s="93"/>
      <c r="H353" s="94"/>
      <c r="I353" s="95"/>
      <c r="J353" s="96" t="str">
        <f aca="false">IF(TRIM($C353)="","",IF($M353&lt;&gt;"OK",$M353,IF(ABS(SUMIFS($F:$F,$C:$C,TRIM($C353))-SUMIFS($G:$G,$C:$C,TRIM($C353)))&lt;0.005,"OK","ERROR - veprimi nuk balancohet")))</f>
        <v/>
      </c>
      <c r="K353" s="97" t="str">
        <f aca="false">IF($D353="","",IFERROR(VLOOKUP($D353,PLANI_LLOGARIVE!$A:$J,10,FALSE()),FALSE()))</f>
        <v/>
      </c>
      <c r="L353" s="97" t="str">
        <f aca="false">IF($D353="","",IFERROR(VLOOKUP($D353,PLANI_LLOGARIVE!$A:$G,7,FALSE()),"NUK EKZISTON"))</f>
        <v/>
      </c>
      <c r="M353" s="98" t="str">
        <f aca="false">IF($D353="","",IF(COUNTIF(PLANI_LLOGARIVE!$A:$A,$D353)=0,"ERROR - llogaria nuk ekziston",IF($K353=TRUE(),"OK","ERROR - llogari jo-postuese/Header")))</f>
        <v/>
      </c>
      <c r="N353" s="99" t="str">
        <f aca="false">IF(TRIM($C353)="","",IF(ABS(SUMIFS($F:$F,$C:$C,TRIM($C353))-SUMIFS($G:$G,$C:$C,TRIM($C353)))&lt;0.005,"OK","ERROR - debi/kredi"))</f>
        <v/>
      </c>
      <c r="O353" s="88"/>
      <c r="P353" s="88"/>
      <c r="Q353" s="88"/>
      <c r="R353" s="88"/>
      <c r="S353" s="100" t="str">
        <f aca="false">IF(D353="","",LEFT(D353&amp;"",2))</f>
        <v/>
      </c>
      <c r="T353" s="101" t="str">
        <f aca="false">IF(D353="","",LEFT(D353&amp;"",3))</f>
        <v/>
      </c>
    </row>
    <row r="354" customFormat="false" ht="14.25" hidden="false" customHeight="true" outlineLevel="0" collapsed="false">
      <c r="A354" s="89"/>
      <c r="B354" s="90"/>
      <c r="C354" s="90"/>
      <c r="D354" s="90"/>
      <c r="E354" s="91" t="str">
        <f aca="false">IFERROR(VLOOKUP(D354,PLANI_LLOGARIVE!$A:$B,2,FALSE()),"")</f>
        <v/>
      </c>
      <c r="F354" s="92"/>
      <c r="G354" s="93"/>
      <c r="H354" s="94"/>
      <c r="I354" s="95"/>
      <c r="J354" s="96" t="str">
        <f aca="false">IF(TRIM($C354)="","",IF($M354&lt;&gt;"OK",$M354,IF(ABS(SUMIFS($F:$F,$C:$C,TRIM($C354))-SUMIFS($G:$G,$C:$C,TRIM($C354)))&lt;0.005,"OK","ERROR - veprimi nuk balancohet")))</f>
        <v/>
      </c>
      <c r="K354" s="97" t="str">
        <f aca="false">IF($D354="","",IFERROR(VLOOKUP($D354,PLANI_LLOGARIVE!$A:$J,10,FALSE()),FALSE()))</f>
        <v/>
      </c>
      <c r="L354" s="97" t="str">
        <f aca="false">IF($D354="","",IFERROR(VLOOKUP($D354,PLANI_LLOGARIVE!$A:$G,7,FALSE()),"NUK EKZISTON"))</f>
        <v/>
      </c>
      <c r="M354" s="98" t="str">
        <f aca="false">IF($D354="","",IF(COUNTIF(PLANI_LLOGARIVE!$A:$A,$D354)=0,"ERROR - llogaria nuk ekziston",IF($K354=TRUE(),"OK","ERROR - llogari jo-postuese/Header")))</f>
        <v/>
      </c>
      <c r="N354" s="99" t="str">
        <f aca="false">IF(TRIM($C354)="","",IF(ABS(SUMIFS($F:$F,$C:$C,TRIM($C354))-SUMIFS($G:$G,$C:$C,TRIM($C354)))&lt;0.005,"OK","ERROR - debi/kredi"))</f>
        <v/>
      </c>
      <c r="O354" s="88"/>
      <c r="P354" s="88"/>
      <c r="Q354" s="88"/>
      <c r="R354" s="88"/>
      <c r="S354" s="100" t="str">
        <f aca="false">IF(D354="","",LEFT(D354&amp;"",2))</f>
        <v/>
      </c>
      <c r="T354" s="101" t="str">
        <f aca="false">IF(D354="","",LEFT(D354&amp;"",3))</f>
        <v/>
      </c>
    </row>
    <row r="355" customFormat="false" ht="14.25" hidden="false" customHeight="true" outlineLevel="0" collapsed="false">
      <c r="A355" s="89"/>
      <c r="B355" s="90"/>
      <c r="C355" s="90"/>
      <c r="D355" s="90"/>
      <c r="E355" s="91" t="str">
        <f aca="false">IFERROR(VLOOKUP(D355,PLANI_LLOGARIVE!$A:$B,2,FALSE()),"")</f>
        <v/>
      </c>
      <c r="F355" s="92"/>
      <c r="G355" s="93"/>
      <c r="H355" s="94"/>
      <c r="I355" s="95"/>
      <c r="J355" s="96" t="str">
        <f aca="false">IF(TRIM($C355)="","",IF($M355&lt;&gt;"OK",$M355,IF(ABS(SUMIFS($F:$F,$C:$C,TRIM($C355))-SUMIFS($G:$G,$C:$C,TRIM($C355)))&lt;0.005,"OK","ERROR - veprimi nuk balancohet")))</f>
        <v/>
      </c>
      <c r="K355" s="97" t="str">
        <f aca="false">IF($D355="","",IFERROR(VLOOKUP($D355,PLANI_LLOGARIVE!$A:$J,10,FALSE()),FALSE()))</f>
        <v/>
      </c>
      <c r="L355" s="97" t="str">
        <f aca="false">IF($D355="","",IFERROR(VLOOKUP($D355,PLANI_LLOGARIVE!$A:$G,7,FALSE()),"NUK EKZISTON"))</f>
        <v/>
      </c>
      <c r="M355" s="98" t="str">
        <f aca="false">IF($D355="","",IF(COUNTIF(PLANI_LLOGARIVE!$A:$A,$D355)=0,"ERROR - llogaria nuk ekziston",IF($K355=TRUE(),"OK","ERROR - llogari jo-postuese/Header")))</f>
        <v/>
      </c>
      <c r="N355" s="99" t="str">
        <f aca="false">IF(TRIM($C355)="","",IF(ABS(SUMIFS($F:$F,$C:$C,TRIM($C355))-SUMIFS($G:$G,$C:$C,TRIM($C355)))&lt;0.005,"OK","ERROR - debi/kredi"))</f>
        <v/>
      </c>
      <c r="O355" s="88"/>
      <c r="P355" s="88"/>
      <c r="Q355" s="88"/>
      <c r="R355" s="88"/>
      <c r="S355" s="100" t="str">
        <f aca="false">IF(D355="","",LEFT(D355&amp;"",2))</f>
        <v/>
      </c>
      <c r="T355" s="101" t="str">
        <f aca="false">IF(D355="","",LEFT(D355&amp;"",3))</f>
        <v/>
      </c>
    </row>
    <row r="356" customFormat="false" ht="14.25" hidden="false" customHeight="true" outlineLevel="0" collapsed="false">
      <c r="A356" s="89"/>
      <c r="B356" s="90"/>
      <c r="C356" s="90"/>
      <c r="D356" s="90"/>
      <c r="E356" s="91" t="str">
        <f aca="false">IFERROR(VLOOKUP(D356,PLANI_LLOGARIVE!$A:$B,2,FALSE()),"")</f>
        <v/>
      </c>
      <c r="F356" s="92"/>
      <c r="G356" s="93"/>
      <c r="H356" s="94"/>
      <c r="I356" s="95"/>
      <c r="J356" s="96" t="str">
        <f aca="false">IF(TRIM($C356)="","",IF($M356&lt;&gt;"OK",$M356,IF(ABS(SUMIFS($F:$F,$C:$C,TRIM($C356))-SUMIFS($G:$G,$C:$C,TRIM($C356)))&lt;0.005,"OK","ERROR - veprimi nuk balancohet")))</f>
        <v/>
      </c>
      <c r="K356" s="97" t="str">
        <f aca="false">IF($D356="","",IFERROR(VLOOKUP($D356,PLANI_LLOGARIVE!$A:$J,10,FALSE()),FALSE()))</f>
        <v/>
      </c>
      <c r="L356" s="97" t="str">
        <f aca="false">IF($D356="","",IFERROR(VLOOKUP($D356,PLANI_LLOGARIVE!$A:$G,7,FALSE()),"NUK EKZISTON"))</f>
        <v/>
      </c>
      <c r="M356" s="98" t="str">
        <f aca="false">IF($D356="","",IF(COUNTIF(PLANI_LLOGARIVE!$A:$A,$D356)=0,"ERROR - llogaria nuk ekziston",IF($K356=TRUE(),"OK","ERROR - llogari jo-postuese/Header")))</f>
        <v/>
      </c>
      <c r="N356" s="99" t="str">
        <f aca="false">IF(TRIM($C356)="","",IF(ABS(SUMIFS($F:$F,$C:$C,TRIM($C356))-SUMIFS($G:$G,$C:$C,TRIM($C356)))&lt;0.005,"OK","ERROR - debi/kredi"))</f>
        <v/>
      </c>
      <c r="O356" s="88"/>
      <c r="P356" s="88"/>
      <c r="Q356" s="88"/>
      <c r="R356" s="88"/>
      <c r="S356" s="100" t="str">
        <f aca="false">IF(D356="","",LEFT(D356&amp;"",2))</f>
        <v/>
      </c>
      <c r="T356" s="101" t="str">
        <f aca="false">IF(D356="","",LEFT(D356&amp;"",3))</f>
        <v/>
      </c>
    </row>
    <row r="357" customFormat="false" ht="14.25" hidden="false" customHeight="true" outlineLevel="0" collapsed="false">
      <c r="A357" s="89"/>
      <c r="B357" s="90"/>
      <c r="C357" s="90"/>
      <c r="D357" s="90"/>
      <c r="E357" s="91" t="str">
        <f aca="false">IFERROR(VLOOKUP(D357,PLANI_LLOGARIVE!$A:$B,2,FALSE()),"")</f>
        <v/>
      </c>
      <c r="F357" s="92"/>
      <c r="G357" s="93"/>
      <c r="H357" s="94"/>
      <c r="I357" s="95"/>
      <c r="J357" s="96" t="str">
        <f aca="false">IF(TRIM($C357)="","",IF($M357&lt;&gt;"OK",$M357,IF(ABS(SUMIFS($F:$F,$C:$C,TRIM($C357))-SUMIFS($G:$G,$C:$C,TRIM($C357)))&lt;0.005,"OK","ERROR - veprimi nuk balancohet")))</f>
        <v/>
      </c>
      <c r="K357" s="97" t="str">
        <f aca="false">IF($D357="","",IFERROR(VLOOKUP($D357,PLANI_LLOGARIVE!$A:$J,10,FALSE()),FALSE()))</f>
        <v/>
      </c>
      <c r="L357" s="97" t="str">
        <f aca="false">IF($D357="","",IFERROR(VLOOKUP($D357,PLANI_LLOGARIVE!$A:$G,7,FALSE()),"NUK EKZISTON"))</f>
        <v/>
      </c>
      <c r="M357" s="98" t="str">
        <f aca="false">IF($D357="","",IF(COUNTIF(PLANI_LLOGARIVE!$A:$A,$D357)=0,"ERROR - llogaria nuk ekziston",IF($K357=TRUE(),"OK","ERROR - llogari jo-postuese/Header")))</f>
        <v/>
      </c>
      <c r="N357" s="99" t="str">
        <f aca="false">IF(TRIM($C357)="","",IF(ABS(SUMIFS($F:$F,$C:$C,TRIM($C357))-SUMIFS($G:$G,$C:$C,TRIM($C357)))&lt;0.005,"OK","ERROR - debi/kredi"))</f>
        <v/>
      </c>
      <c r="O357" s="88"/>
      <c r="P357" s="88"/>
      <c r="Q357" s="88"/>
      <c r="R357" s="88"/>
      <c r="S357" s="100" t="str">
        <f aca="false">IF(D357="","",LEFT(D357&amp;"",2))</f>
        <v/>
      </c>
      <c r="T357" s="101" t="str">
        <f aca="false">IF(D357="","",LEFT(D357&amp;"",3))</f>
        <v/>
      </c>
    </row>
    <row r="358" customFormat="false" ht="14.25" hidden="false" customHeight="true" outlineLevel="0" collapsed="false">
      <c r="A358" s="89"/>
      <c r="B358" s="90"/>
      <c r="C358" s="90"/>
      <c r="D358" s="90"/>
      <c r="E358" s="91" t="str">
        <f aca="false">IFERROR(VLOOKUP(D358,PLANI_LLOGARIVE!$A:$B,2,FALSE()),"")</f>
        <v/>
      </c>
      <c r="F358" s="92"/>
      <c r="G358" s="93"/>
      <c r="H358" s="94"/>
      <c r="I358" s="95"/>
      <c r="J358" s="96" t="str">
        <f aca="false">IF(TRIM($C358)="","",IF($M358&lt;&gt;"OK",$M358,IF(ABS(SUMIFS($F:$F,$C:$C,TRIM($C358))-SUMIFS($G:$G,$C:$C,TRIM($C358)))&lt;0.005,"OK","ERROR - veprimi nuk balancohet")))</f>
        <v/>
      </c>
      <c r="K358" s="97" t="str">
        <f aca="false">IF($D358="","",IFERROR(VLOOKUP($D358,PLANI_LLOGARIVE!$A:$J,10,FALSE()),FALSE()))</f>
        <v/>
      </c>
      <c r="L358" s="97" t="str">
        <f aca="false">IF($D358="","",IFERROR(VLOOKUP($D358,PLANI_LLOGARIVE!$A:$G,7,FALSE()),"NUK EKZISTON"))</f>
        <v/>
      </c>
      <c r="M358" s="98" t="str">
        <f aca="false">IF($D358="","",IF(COUNTIF(PLANI_LLOGARIVE!$A:$A,$D358)=0,"ERROR - llogaria nuk ekziston",IF($K358=TRUE(),"OK","ERROR - llogari jo-postuese/Header")))</f>
        <v/>
      </c>
      <c r="N358" s="99" t="str">
        <f aca="false">IF(TRIM($C358)="","",IF(ABS(SUMIFS($F:$F,$C:$C,TRIM($C358))-SUMIFS($G:$G,$C:$C,TRIM($C358)))&lt;0.005,"OK","ERROR - debi/kredi"))</f>
        <v/>
      </c>
      <c r="O358" s="88"/>
      <c r="P358" s="88"/>
      <c r="Q358" s="88"/>
      <c r="R358" s="88"/>
      <c r="S358" s="100" t="str">
        <f aca="false">IF(D358="","",LEFT(D358&amp;"",2))</f>
        <v/>
      </c>
      <c r="T358" s="101" t="str">
        <f aca="false">IF(D358="","",LEFT(D358&amp;"",3))</f>
        <v/>
      </c>
    </row>
    <row r="359" customFormat="false" ht="14.25" hidden="false" customHeight="true" outlineLevel="0" collapsed="false">
      <c r="A359" s="89"/>
      <c r="B359" s="90"/>
      <c r="C359" s="90"/>
      <c r="D359" s="90"/>
      <c r="E359" s="91" t="str">
        <f aca="false">IFERROR(VLOOKUP(D359,PLANI_LLOGARIVE!$A:$B,2,FALSE()),"")</f>
        <v/>
      </c>
      <c r="F359" s="92"/>
      <c r="G359" s="93"/>
      <c r="H359" s="94"/>
      <c r="I359" s="95"/>
      <c r="J359" s="96" t="str">
        <f aca="false">IF(TRIM($C359)="","",IF($M359&lt;&gt;"OK",$M359,IF(ABS(SUMIFS($F:$F,$C:$C,TRIM($C359))-SUMIFS($G:$G,$C:$C,TRIM($C359)))&lt;0.005,"OK","ERROR - veprimi nuk balancohet")))</f>
        <v/>
      </c>
      <c r="K359" s="97" t="str">
        <f aca="false">IF($D359="","",IFERROR(VLOOKUP($D359,PLANI_LLOGARIVE!$A:$J,10,FALSE()),FALSE()))</f>
        <v/>
      </c>
      <c r="L359" s="97" t="str">
        <f aca="false">IF($D359="","",IFERROR(VLOOKUP($D359,PLANI_LLOGARIVE!$A:$G,7,FALSE()),"NUK EKZISTON"))</f>
        <v/>
      </c>
      <c r="M359" s="98" t="str">
        <f aca="false">IF($D359="","",IF(COUNTIF(PLANI_LLOGARIVE!$A:$A,$D359)=0,"ERROR - llogaria nuk ekziston",IF($K359=TRUE(),"OK","ERROR - llogari jo-postuese/Header")))</f>
        <v/>
      </c>
      <c r="N359" s="99" t="str">
        <f aca="false">IF(TRIM($C359)="","",IF(ABS(SUMIFS($F:$F,$C:$C,TRIM($C359))-SUMIFS($G:$G,$C:$C,TRIM($C359)))&lt;0.005,"OK","ERROR - debi/kredi"))</f>
        <v/>
      </c>
      <c r="O359" s="88"/>
      <c r="P359" s="88"/>
      <c r="Q359" s="88"/>
      <c r="R359" s="88"/>
      <c r="S359" s="100" t="str">
        <f aca="false">IF(D359="","",LEFT(D359&amp;"",2))</f>
        <v/>
      </c>
      <c r="T359" s="101" t="str">
        <f aca="false">IF(D359="","",LEFT(D359&amp;"",3))</f>
        <v/>
      </c>
    </row>
    <row r="360" customFormat="false" ht="14.25" hidden="false" customHeight="true" outlineLevel="0" collapsed="false">
      <c r="A360" s="89"/>
      <c r="B360" s="90"/>
      <c r="C360" s="90"/>
      <c r="D360" s="90"/>
      <c r="E360" s="91" t="str">
        <f aca="false">IFERROR(VLOOKUP(D360,PLANI_LLOGARIVE!$A:$B,2,FALSE()),"")</f>
        <v/>
      </c>
      <c r="F360" s="92"/>
      <c r="G360" s="93"/>
      <c r="H360" s="94"/>
      <c r="I360" s="95"/>
      <c r="J360" s="96" t="str">
        <f aca="false">IF(TRIM($C360)="","",IF($M360&lt;&gt;"OK",$M360,IF(ABS(SUMIFS($F:$F,$C:$C,TRIM($C360))-SUMIFS($G:$G,$C:$C,TRIM($C360)))&lt;0.005,"OK","ERROR - veprimi nuk balancohet")))</f>
        <v/>
      </c>
      <c r="K360" s="97" t="str">
        <f aca="false">IF($D360="","",IFERROR(VLOOKUP($D360,PLANI_LLOGARIVE!$A:$J,10,FALSE()),FALSE()))</f>
        <v/>
      </c>
      <c r="L360" s="97" t="str">
        <f aca="false">IF($D360="","",IFERROR(VLOOKUP($D360,PLANI_LLOGARIVE!$A:$G,7,FALSE()),"NUK EKZISTON"))</f>
        <v/>
      </c>
      <c r="M360" s="98" t="str">
        <f aca="false">IF($D360="","",IF(COUNTIF(PLANI_LLOGARIVE!$A:$A,$D360)=0,"ERROR - llogaria nuk ekziston",IF($K360=TRUE(),"OK","ERROR - llogari jo-postuese/Header")))</f>
        <v/>
      </c>
      <c r="N360" s="99" t="str">
        <f aca="false">IF(TRIM($C360)="","",IF(ABS(SUMIFS($F:$F,$C:$C,TRIM($C360))-SUMIFS($G:$G,$C:$C,TRIM($C360)))&lt;0.005,"OK","ERROR - debi/kredi"))</f>
        <v/>
      </c>
      <c r="O360" s="88"/>
      <c r="P360" s="88"/>
      <c r="Q360" s="88"/>
      <c r="R360" s="88"/>
      <c r="S360" s="100" t="str">
        <f aca="false">IF(D360="","",LEFT(D360&amp;"",2))</f>
        <v/>
      </c>
      <c r="T360" s="101" t="str">
        <f aca="false">IF(D360="","",LEFT(D360&amp;"",3))</f>
        <v/>
      </c>
    </row>
    <row r="361" customFormat="false" ht="14.25" hidden="false" customHeight="true" outlineLevel="0" collapsed="false">
      <c r="A361" s="89"/>
      <c r="B361" s="90"/>
      <c r="C361" s="90"/>
      <c r="D361" s="90"/>
      <c r="E361" s="91" t="str">
        <f aca="false">IFERROR(VLOOKUP(D361,PLANI_LLOGARIVE!$A:$B,2,FALSE()),"")</f>
        <v/>
      </c>
      <c r="F361" s="92"/>
      <c r="G361" s="93"/>
      <c r="H361" s="94"/>
      <c r="I361" s="95"/>
      <c r="J361" s="96" t="str">
        <f aca="false">IF(TRIM($C361)="","",IF($M361&lt;&gt;"OK",$M361,IF(ABS(SUMIFS($F:$F,$C:$C,TRIM($C361))-SUMIFS($G:$G,$C:$C,TRIM($C361)))&lt;0.005,"OK","ERROR - veprimi nuk balancohet")))</f>
        <v/>
      </c>
      <c r="K361" s="97" t="str">
        <f aca="false">IF($D361="","",IFERROR(VLOOKUP($D361,PLANI_LLOGARIVE!$A:$J,10,FALSE()),FALSE()))</f>
        <v/>
      </c>
      <c r="L361" s="97" t="str">
        <f aca="false">IF($D361="","",IFERROR(VLOOKUP($D361,PLANI_LLOGARIVE!$A:$G,7,FALSE()),"NUK EKZISTON"))</f>
        <v/>
      </c>
      <c r="M361" s="98" t="str">
        <f aca="false">IF($D361="","",IF(COUNTIF(PLANI_LLOGARIVE!$A:$A,$D361)=0,"ERROR - llogaria nuk ekziston",IF($K361=TRUE(),"OK","ERROR - llogari jo-postuese/Header")))</f>
        <v/>
      </c>
      <c r="N361" s="99" t="str">
        <f aca="false">IF(TRIM($C361)="","",IF(ABS(SUMIFS($F:$F,$C:$C,TRIM($C361))-SUMIFS($G:$G,$C:$C,TRIM($C361)))&lt;0.005,"OK","ERROR - debi/kredi"))</f>
        <v/>
      </c>
      <c r="O361" s="88"/>
      <c r="P361" s="88"/>
      <c r="Q361" s="88"/>
      <c r="R361" s="88"/>
      <c r="S361" s="100" t="str">
        <f aca="false">IF(D361="","",LEFT(D361&amp;"",2))</f>
        <v/>
      </c>
      <c r="T361" s="101" t="str">
        <f aca="false">IF(D361="","",LEFT(D361&amp;"",3))</f>
        <v/>
      </c>
    </row>
    <row r="362" customFormat="false" ht="14.25" hidden="false" customHeight="true" outlineLevel="0" collapsed="false">
      <c r="A362" s="89"/>
      <c r="B362" s="90"/>
      <c r="C362" s="90"/>
      <c r="D362" s="90"/>
      <c r="E362" s="91" t="str">
        <f aca="false">IFERROR(VLOOKUP(D362,PLANI_LLOGARIVE!$A:$B,2,FALSE()),"")</f>
        <v/>
      </c>
      <c r="F362" s="92"/>
      <c r="G362" s="93"/>
      <c r="H362" s="94"/>
      <c r="I362" s="95"/>
      <c r="J362" s="96" t="str">
        <f aca="false">IF(TRIM($C362)="","",IF($M362&lt;&gt;"OK",$M362,IF(ABS(SUMIFS($F:$F,$C:$C,TRIM($C362))-SUMIFS($G:$G,$C:$C,TRIM($C362)))&lt;0.005,"OK","ERROR - veprimi nuk balancohet")))</f>
        <v/>
      </c>
      <c r="K362" s="97" t="str">
        <f aca="false">IF($D362="","",IFERROR(VLOOKUP($D362,PLANI_LLOGARIVE!$A:$J,10,FALSE()),FALSE()))</f>
        <v/>
      </c>
      <c r="L362" s="97" t="str">
        <f aca="false">IF($D362="","",IFERROR(VLOOKUP($D362,PLANI_LLOGARIVE!$A:$G,7,FALSE()),"NUK EKZISTON"))</f>
        <v/>
      </c>
      <c r="M362" s="98" t="str">
        <f aca="false">IF($D362="","",IF(COUNTIF(PLANI_LLOGARIVE!$A:$A,$D362)=0,"ERROR - llogaria nuk ekziston",IF($K362=TRUE(),"OK","ERROR - llogari jo-postuese/Header")))</f>
        <v/>
      </c>
      <c r="N362" s="99" t="str">
        <f aca="false">IF(TRIM($C362)="","",IF(ABS(SUMIFS($F:$F,$C:$C,TRIM($C362))-SUMIFS($G:$G,$C:$C,TRIM($C362)))&lt;0.005,"OK","ERROR - debi/kredi"))</f>
        <v/>
      </c>
      <c r="O362" s="88"/>
      <c r="P362" s="88"/>
      <c r="Q362" s="88"/>
      <c r="R362" s="88"/>
      <c r="S362" s="100" t="str">
        <f aca="false">IF(D362="","",LEFT(D362&amp;"",2))</f>
        <v/>
      </c>
      <c r="T362" s="101" t="str">
        <f aca="false">IF(D362="","",LEFT(D362&amp;"",3))</f>
        <v/>
      </c>
    </row>
    <row r="363" customFormat="false" ht="14.25" hidden="false" customHeight="true" outlineLevel="0" collapsed="false">
      <c r="A363" s="89"/>
      <c r="B363" s="90"/>
      <c r="C363" s="90"/>
      <c r="D363" s="90"/>
      <c r="E363" s="91" t="str">
        <f aca="false">IFERROR(VLOOKUP(D363,PLANI_LLOGARIVE!$A:$B,2,FALSE()),"")</f>
        <v/>
      </c>
      <c r="F363" s="92"/>
      <c r="G363" s="93"/>
      <c r="H363" s="94"/>
      <c r="I363" s="95"/>
      <c r="J363" s="96" t="str">
        <f aca="false">IF(TRIM($C363)="","",IF($M363&lt;&gt;"OK",$M363,IF(ABS(SUMIFS($F:$F,$C:$C,TRIM($C363))-SUMIFS($G:$G,$C:$C,TRIM($C363)))&lt;0.005,"OK","ERROR - veprimi nuk balancohet")))</f>
        <v/>
      </c>
      <c r="K363" s="97" t="str">
        <f aca="false">IF($D363="","",IFERROR(VLOOKUP($D363,PLANI_LLOGARIVE!$A:$J,10,FALSE()),FALSE()))</f>
        <v/>
      </c>
      <c r="L363" s="97" t="str">
        <f aca="false">IF($D363="","",IFERROR(VLOOKUP($D363,PLANI_LLOGARIVE!$A:$G,7,FALSE()),"NUK EKZISTON"))</f>
        <v/>
      </c>
      <c r="M363" s="98" t="str">
        <f aca="false">IF($D363="","",IF(COUNTIF(PLANI_LLOGARIVE!$A:$A,$D363)=0,"ERROR - llogaria nuk ekziston",IF($K363=TRUE(),"OK","ERROR - llogari jo-postuese/Header")))</f>
        <v/>
      </c>
      <c r="N363" s="99" t="str">
        <f aca="false">IF(TRIM($C363)="","",IF(ABS(SUMIFS($F:$F,$C:$C,TRIM($C363))-SUMIFS($G:$G,$C:$C,TRIM($C363)))&lt;0.005,"OK","ERROR - debi/kredi"))</f>
        <v/>
      </c>
      <c r="O363" s="88"/>
      <c r="P363" s="88"/>
      <c r="Q363" s="88"/>
      <c r="R363" s="88"/>
      <c r="S363" s="100" t="str">
        <f aca="false">IF(D363="","",LEFT(D363&amp;"",2))</f>
        <v/>
      </c>
      <c r="T363" s="101" t="str">
        <f aca="false">IF(D363="","",LEFT(D363&amp;"",3))</f>
        <v/>
      </c>
    </row>
    <row r="364" customFormat="false" ht="14.25" hidden="false" customHeight="true" outlineLevel="0" collapsed="false">
      <c r="A364" s="89"/>
      <c r="B364" s="90"/>
      <c r="C364" s="90"/>
      <c r="D364" s="90"/>
      <c r="E364" s="91" t="str">
        <f aca="false">IFERROR(VLOOKUP(D364,PLANI_LLOGARIVE!$A:$B,2,FALSE()),"")</f>
        <v/>
      </c>
      <c r="F364" s="92"/>
      <c r="G364" s="93"/>
      <c r="H364" s="94"/>
      <c r="I364" s="95"/>
      <c r="J364" s="96" t="str">
        <f aca="false">IF(TRIM($C364)="","",IF($M364&lt;&gt;"OK",$M364,IF(ABS(SUMIFS($F:$F,$C:$C,TRIM($C364))-SUMIFS($G:$G,$C:$C,TRIM($C364)))&lt;0.005,"OK","ERROR - veprimi nuk balancohet")))</f>
        <v/>
      </c>
      <c r="K364" s="97" t="str">
        <f aca="false">IF($D364="","",IFERROR(VLOOKUP($D364,PLANI_LLOGARIVE!$A:$J,10,FALSE()),FALSE()))</f>
        <v/>
      </c>
      <c r="L364" s="97" t="str">
        <f aca="false">IF($D364="","",IFERROR(VLOOKUP($D364,PLANI_LLOGARIVE!$A:$G,7,FALSE()),"NUK EKZISTON"))</f>
        <v/>
      </c>
      <c r="M364" s="98" t="str">
        <f aca="false">IF($D364="","",IF(COUNTIF(PLANI_LLOGARIVE!$A:$A,$D364)=0,"ERROR - llogaria nuk ekziston",IF($K364=TRUE(),"OK","ERROR - llogari jo-postuese/Header")))</f>
        <v/>
      </c>
      <c r="N364" s="99" t="str">
        <f aca="false">IF(TRIM($C364)="","",IF(ABS(SUMIFS($F:$F,$C:$C,TRIM($C364))-SUMIFS($G:$G,$C:$C,TRIM($C364)))&lt;0.005,"OK","ERROR - debi/kredi"))</f>
        <v/>
      </c>
      <c r="O364" s="88"/>
      <c r="P364" s="88"/>
      <c r="Q364" s="88"/>
      <c r="R364" s="88"/>
      <c r="S364" s="100" t="str">
        <f aca="false">IF(D364="","",LEFT(D364&amp;"",2))</f>
        <v/>
      </c>
      <c r="T364" s="101" t="str">
        <f aca="false">IF(D364="","",LEFT(D364&amp;"",3))</f>
        <v/>
      </c>
    </row>
    <row r="365" customFormat="false" ht="14.25" hidden="false" customHeight="true" outlineLevel="0" collapsed="false">
      <c r="A365" s="89"/>
      <c r="B365" s="90"/>
      <c r="C365" s="90"/>
      <c r="D365" s="90"/>
      <c r="E365" s="91" t="str">
        <f aca="false">IFERROR(VLOOKUP(D365,PLANI_LLOGARIVE!$A:$B,2,FALSE()),"")</f>
        <v/>
      </c>
      <c r="F365" s="92"/>
      <c r="G365" s="93"/>
      <c r="H365" s="94"/>
      <c r="I365" s="95"/>
      <c r="J365" s="96" t="str">
        <f aca="false">IF(TRIM($C365)="","",IF($M365&lt;&gt;"OK",$M365,IF(ABS(SUMIFS($F:$F,$C:$C,TRIM($C365))-SUMIFS($G:$G,$C:$C,TRIM($C365)))&lt;0.005,"OK","ERROR - veprimi nuk balancohet")))</f>
        <v/>
      </c>
      <c r="K365" s="97" t="str">
        <f aca="false">IF($D365="","",IFERROR(VLOOKUP($D365,PLANI_LLOGARIVE!$A:$J,10,FALSE()),FALSE()))</f>
        <v/>
      </c>
      <c r="L365" s="97" t="str">
        <f aca="false">IF($D365="","",IFERROR(VLOOKUP($D365,PLANI_LLOGARIVE!$A:$G,7,FALSE()),"NUK EKZISTON"))</f>
        <v/>
      </c>
      <c r="M365" s="98" t="str">
        <f aca="false">IF($D365="","",IF(COUNTIF(PLANI_LLOGARIVE!$A:$A,$D365)=0,"ERROR - llogaria nuk ekziston",IF($K365=TRUE(),"OK","ERROR - llogari jo-postuese/Header")))</f>
        <v/>
      </c>
      <c r="N365" s="99" t="str">
        <f aca="false">IF(TRIM($C365)="","",IF(ABS(SUMIFS($F:$F,$C:$C,TRIM($C365))-SUMIFS($G:$G,$C:$C,TRIM($C365)))&lt;0.005,"OK","ERROR - debi/kredi"))</f>
        <v/>
      </c>
      <c r="O365" s="88"/>
      <c r="P365" s="88"/>
      <c r="Q365" s="88"/>
      <c r="R365" s="88"/>
      <c r="S365" s="100" t="str">
        <f aca="false">IF(D365="","",LEFT(D365&amp;"",2))</f>
        <v/>
      </c>
      <c r="T365" s="101" t="str">
        <f aca="false">IF(D365="","",LEFT(D365&amp;"",3))</f>
        <v/>
      </c>
    </row>
    <row r="366" customFormat="false" ht="14.25" hidden="false" customHeight="true" outlineLevel="0" collapsed="false">
      <c r="A366" s="89"/>
      <c r="B366" s="90"/>
      <c r="C366" s="90"/>
      <c r="D366" s="90"/>
      <c r="E366" s="91" t="str">
        <f aca="false">IFERROR(VLOOKUP(D366,PLANI_LLOGARIVE!$A:$B,2,FALSE()),"")</f>
        <v/>
      </c>
      <c r="F366" s="92"/>
      <c r="G366" s="93"/>
      <c r="H366" s="94"/>
      <c r="I366" s="95"/>
      <c r="J366" s="96" t="str">
        <f aca="false">IF(TRIM($C366)="","",IF($M366&lt;&gt;"OK",$M366,IF(ABS(SUMIFS($F:$F,$C:$C,TRIM($C366))-SUMIFS($G:$G,$C:$C,TRIM($C366)))&lt;0.005,"OK","ERROR - veprimi nuk balancohet")))</f>
        <v/>
      </c>
      <c r="K366" s="97" t="str">
        <f aca="false">IF($D366="","",IFERROR(VLOOKUP($D366,PLANI_LLOGARIVE!$A:$J,10,FALSE()),FALSE()))</f>
        <v/>
      </c>
      <c r="L366" s="97" t="str">
        <f aca="false">IF($D366="","",IFERROR(VLOOKUP($D366,PLANI_LLOGARIVE!$A:$G,7,FALSE()),"NUK EKZISTON"))</f>
        <v/>
      </c>
      <c r="M366" s="98" t="str">
        <f aca="false">IF($D366="","",IF(COUNTIF(PLANI_LLOGARIVE!$A:$A,$D366)=0,"ERROR - llogaria nuk ekziston",IF($K366=TRUE(),"OK","ERROR - llogari jo-postuese/Header")))</f>
        <v/>
      </c>
      <c r="N366" s="99" t="str">
        <f aca="false">IF(TRIM($C366)="","",IF(ABS(SUMIFS($F:$F,$C:$C,TRIM($C366))-SUMIFS($G:$G,$C:$C,TRIM($C366)))&lt;0.005,"OK","ERROR - debi/kredi"))</f>
        <v/>
      </c>
      <c r="O366" s="88"/>
      <c r="P366" s="88"/>
      <c r="Q366" s="88"/>
      <c r="R366" s="88"/>
      <c r="S366" s="100" t="str">
        <f aca="false">IF(D366="","",LEFT(D366&amp;"",2))</f>
        <v/>
      </c>
      <c r="T366" s="101" t="str">
        <f aca="false">IF(D366="","",LEFT(D366&amp;"",3))</f>
        <v/>
      </c>
    </row>
    <row r="367" customFormat="false" ht="14.25" hidden="false" customHeight="true" outlineLevel="0" collapsed="false">
      <c r="A367" s="89"/>
      <c r="B367" s="90"/>
      <c r="C367" s="90"/>
      <c r="D367" s="90"/>
      <c r="E367" s="91" t="str">
        <f aca="false">IFERROR(VLOOKUP(D367,PLANI_LLOGARIVE!$A:$B,2,FALSE()),"")</f>
        <v/>
      </c>
      <c r="F367" s="92"/>
      <c r="G367" s="93"/>
      <c r="H367" s="94"/>
      <c r="I367" s="95"/>
      <c r="J367" s="96" t="str">
        <f aca="false">IF(TRIM($C367)="","",IF($M367&lt;&gt;"OK",$M367,IF(ABS(SUMIFS($F:$F,$C:$C,TRIM($C367))-SUMIFS($G:$G,$C:$C,TRIM($C367)))&lt;0.005,"OK","ERROR - veprimi nuk balancohet")))</f>
        <v/>
      </c>
      <c r="K367" s="97" t="str">
        <f aca="false">IF($D367="","",IFERROR(VLOOKUP($D367,PLANI_LLOGARIVE!$A:$J,10,FALSE()),FALSE()))</f>
        <v/>
      </c>
      <c r="L367" s="97" t="str">
        <f aca="false">IF($D367="","",IFERROR(VLOOKUP($D367,PLANI_LLOGARIVE!$A:$G,7,FALSE()),"NUK EKZISTON"))</f>
        <v/>
      </c>
      <c r="M367" s="98" t="str">
        <f aca="false">IF($D367="","",IF(COUNTIF(PLANI_LLOGARIVE!$A:$A,$D367)=0,"ERROR - llogaria nuk ekziston",IF($K367=TRUE(),"OK","ERROR - llogari jo-postuese/Header")))</f>
        <v/>
      </c>
      <c r="N367" s="99" t="str">
        <f aca="false">IF(TRIM($C367)="","",IF(ABS(SUMIFS($F:$F,$C:$C,TRIM($C367))-SUMIFS($G:$G,$C:$C,TRIM($C367)))&lt;0.005,"OK","ERROR - debi/kredi"))</f>
        <v/>
      </c>
      <c r="O367" s="88"/>
      <c r="P367" s="88"/>
      <c r="Q367" s="88"/>
      <c r="R367" s="88"/>
      <c r="S367" s="100" t="str">
        <f aca="false">IF(D367="","",LEFT(D367&amp;"",2))</f>
        <v/>
      </c>
      <c r="T367" s="101" t="str">
        <f aca="false">IF(D367="","",LEFT(D367&amp;"",3))</f>
        <v/>
      </c>
    </row>
    <row r="368" customFormat="false" ht="14.25" hidden="false" customHeight="true" outlineLevel="0" collapsed="false">
      <c r="A368" s="89"/>
      <c r="B368" s="90"/>
      <c r="C368" s="90"/>
      <c r="D368" s="90"/>
      <c r="E368" s="91" t="str">
        <f aca="false">IFERROR(VLOOKUP(D368,PLANI_LLOGARIVE!$A:$B,2,FALSE()),"")</f>
        <v/>
      </c>
      <c r="F368" s="92"/>
      <c r="G368" s="93"/>
      <c r="H368" s="94"/>
      <c r="I368" s="95"/>
      <c r="J368" s="96" t="str">
        <f aca="false">IF(TRIM($C368)="","",IF($M368&lt;&gt;"OK",$M368,IF(ABS(SUMIFS($F:$F,$C:$C,TRIM($C368))-SUMIFS($G:$G,$C:$C,TRIM($C368)))&lt;0.005,"OK","ERROR - veprimi nuk balancohet")))</f>
        <v/>
      </c>
      <c r="K368" s="97" t="str">
        <f aca="false">IF($D368="","",IFERROR(VLOOKUP($D368,PLANI_LLOGARIVE!$A:$J,10,FALSE()),FALSE()))</f>
        <v/>
      </c>
      <c r="L368" s="97" t="str">
        <f aca="false">IF($D368="","",IFERROR(VLOOKUP($D368,PLANI_LLOGARIVE!$A:$G,7,FALSE()),"NUK EKZISTON"))</f>
        <v/>
      </c>
      <c r="M368" s="98" t="str">
        <f aca="false">IF($D368="","",IF(COUNTIF(PLANI_LLOGARIVE!$A:$A,$D368)=0,"ERROR - llogaria nuk ekziston",IF($K368=TRUE(),"OK","ERROR - llogari jo-postuese/Header")))</f>
        <v/>
      </c>
      <c r="N368" s="99" t="str">
        <f aca="false">IF(TRIM($C368)="","",IF(ABS(SUMIFS($F:$F,$C:$C,TRIM($C368))-SUMIFS($G:$G,$C:$C,TRIM($C368)))&lt;0.005,"OK","ERROR - debi/kredi"))</f>
        <v/>
      </c>
      <c r="O368" s="88"/>
      <c r="P368" s="88"/>
      <c r="Q368" s="88"/>
      <c r="R368" s="88"/>
      <c r="S368" s="100" t="str">
        <f aca="false">IF(D368="","",LEFT(D368&amp;"",2))</f>
        <v/>
      </c>
      <c r="T368" s="101" t="str">
        <f aca="false">IF(D368="","",LEFT(D368&amp;"",3))</f>
        <v/>
      </c>
    </row>
    <row r="369" customFormat="false" ht="14.25" hidden="false" customHeight="true" outlineLevel="0" collapsed="false">
      <c r="A369" s="89"/>
      <c r="B369" s="90"/>
      <c r="C369" s="90"/>
      <c r="D369" s="90"/>
      <c r="E369" s="91" t="str">
        <f aca="false">IFERROR(VLOOKUP(D369,PLANI_LLOGARIVE!$A:$B,2,FALSE()),"")</f>
        <v/>
      </c>
      <c r="F369" s="92"/>
      <c r="G369" s="93"/>
      <c r="H369" s="94"/>
      <c r="I369" s="95"/>
      <c r="J369" s="96" t="str">
        <f aca="false">IF(TRIM($C369)="","",IF($M369&lt;&gt;"OK",$M369,IF(ABS(SUMIFS($F:$F,$C:$C,TRIM($C369))-SUMIFS($G:$G,$C:$C,TRIM($C369)))&lt;0.005,"OK","ERROR - veprimi nuk balancohet")))</f>
        <v/>
      </c>
      <c r="K369" s="97" t="str">
        <f aca="false">IF($D369="","",IFERROR(VLOOKUP($D369,PLANI_LLOGARIVE!$A:$J,10,FALSE()),FALSE()))</f>
        <v/>
      </c>
      <c r="L369" s="97" t="str">
        <f aca="false">IF($D369="","",IFERROR(VLOOKUP($D369,PLANI_LLOGARIVE!$A:$G,7,FALSE()),"NUK EKZISTON"))</f>
        <v/>
      </c>
      <c r="M369" s="98" t="str">
        <f aca="false">IF($D369="","",IF(COUNTIF(PLANI_LLOGARIVE!$A:$A,$D369)=0,"ERROR - llogaria nuk ekziston",IF($K369=TRUE(),"OK","ERROR - llogari jo-postuese/Header")))</f>
        <v/>
      </c>
      <c r="N369" s="99" t="str">
        <f aca="false">IF(TRIM($C369)="","",IF(ABS(SUMIFS($F:$F,$C:$C,TRIM($C369))-SUMIFS($G:$G,$C:$C,TRIM($C369)))&lt;0.005,"OK","ERROR - debi/kredi"))</f>
        <v/>
      </c>
      <c r="O369" s="88"/>
      <c r="P369" s="88"/>
      <c r="Q369" s="88"/>
      <c r="R369" s="88"/>
      <c r="S369" s="100" t="str">
        <f aca="false">IF(D369="","",LEFT(D369&amp;"",2))</f>
        <v/>
      </c>
      <c r="T369" s="101" t="str">
        <f aca="false">IF(D369="","",LEFT(D369&amp;"",3))</f>
        <v/>
      </c>
    </row>
    <row r="370" customFormat="false" ht="14.25" hidden="false" customHeight="true" outlineLevel="0" collapsed="false">
      <c r="A370" s="89"/>
      <c r="B370" s="90"/>
      <c r="C370" s="90"/>
      <c r="D370" s="90"/>
      <c r="E370" s="91" t="str">
        <f aca="false">IFERROR(VLOOKUP(D370,PLANI_LLOGARIVE!$A:$B,2,FALSE()),"")</f>
        <v/>
      </c>
      <c r="F370" s="92"/>
      <c r="G370" s="93"/>
      <c r="H370" s="94"/>
      <c r="I370" s="95"/>
      <c r="J370" s="96" t="str">
        <f aca="false">IF(TRIM($C370)="","",IF($M370&lt;&gt;"OK",$M370,IF(ABS(SUMIFS($F:$F,$C:$C,TRIM($C370))-SUMIFS($G:$G,$C:$C,TRIM($C370)))&lt;0.005,"OK","ERROR - veprimi nuk balancohet")))</f>
        <v/>
      </c>
      <c r="K370" s="97" t="str">
        <f aca="false">IF($D370="","",IFERROR(VLOOKUP($D370,PLANI_LLOGARIVE!$A:$J,10,FALSE()),FALSE()))</f>
        <v/>
      </c>
      <c r="L370" s="97" t="str">
        <f aca="false">IF($D370="","",IFERROR(VLOOKUP($D370,PLANI_LLOGARIVE!$A:$G,7,FALSE()),"NUK EKZISTON"))</f>
        <v/>
      </c>
      <c r="M370" s="98" t="str">
        <f aca="false">IF($D370="","",IF(COUNTIF(PLANI_LLOGARIVE!$A:$A,$D370)=0,"ERROR - llogaria nuk ekziston",IF($K370=TRUE(),"OK","ERROR - llogari jo-postuese/Header")))</f>
        <v/>
      </c>
      <c r="N370" s="99" t="str">
        <f aca="false">IF(TRIM($C370)="","",IF(ABS(SUMIFS($F:$F,$C:$C,TRIM($C370))-SUMIFS($G:$G,$C:$C,TRIM($C370)))&lt;0.005,"OK","ERROR - debi/kredi"))</f>
        <v/>
      </c>
      <c r="O370" s="88"/>
      <c r="P370" s="88"/>
      <c r="Q370" s="88"/>
      <c r="R370" s="88"/>
      <c r="S370" s="100" t="str">
        <f aca="false">IF(D370="","",LEFT(D370&amp;"",2))</f>
        <v/>
      </c>
      <c r="T370" s="101" t="str">
        <f aca="false">IF(D370="","",LEFT(D370&amp;"",3))</f>
        <v/>
      </c>
    </row>
    <row r="371" customFormat="false" ht="14.25" hidden="false" customHeight="true" outlineLevel="0" collapsed="false">
      <c r="A371" s="89"/>
      <c r="B371" s="90"/>
      <c r="C371" s="90"/>
      <c r="D371" s="90"/>
      <c r="E371" s="91" t="str">
        <f aca="false">IFERROR(VLOOKUP(D371,PLANI_LLOGARIVE!$A:$B,2,FALSE()),"")</f>
        <v/>
      </c>
      <c r="F371" s="92"/>
      <c r="G371" s="93"/>
      <c r="H371" s="94"/>
      <c r="I371" s="95"/>
      <c r="J371" s="96" t="str">
        <f aca="false">IF(TRIM($C371)="","",IF($M371&lt;&gt;"OK",$M371,IF(ABS(SUMIFS($F:$F,$C:$C,TRIM($C371))-SUMIFS($G:$G,$C:$C,TRIM($C371)))&lt;0.005,"OK","ERROR - veprimi nuk balancohet")))</f>
        <v/>
      </c>
      <c r="K371" s="97" t="str">
        <f aca="false">IF($D371="","",IFERROR(VLOOKUP($D371,PLANI_LLOGARIVE!$A:$J,10,FALSE()),FALSE()))</f>
        <v/>
      </c>
      <c r="L371" s="97" t="str">
        <f aca="false">IF($D371="","",IFERROR(VLOOKUP($D371,PLANI_LLOGARIVE!$A:$G,7,FALSE()),"NUK EKZISTON"))</f>
        <v/>
      </c>
      <c r="M371" s="98" t="str">
        <f aca="false">IF($D371="","",IF(COUNTIF(PLANI_LLOGARIVE!$A:$A,$D371)=0,"ERROR - llogaria nuk ekziston",IF($K371=TRUE(),"OK","ERROR - llogari jo-postuese/Header")))</f>
        <v/>
      </c>
      <c r="N371" s="99" t="str">
        <f aca="false">IF(TRIM($C371)="","",IF(ABS(SUMIFS($F:$F,$C:$C,TRIM($C371))-SUMIFS($G:$G,$C:$C,TRIM($C371)))&lt;0.005,"OK","ERROR - debi/kredi"))</f>
        <v/>
      </c>
      <c r="O371" s="88"/>
      <c r="P371" s="88"/>
      <c r="Q371" s="88"/>
      <c r="R371" s="88"/>
      <c r="S371" s="100" t="str">
        <f aca="false">IF(D371="","",LEFT(D371&amp;"",2))</f>
        <v/>
      </c>
      <c r="T371" s="101" t="str">
        <f aca="false">IF(D371="","",LEFT(D371&amp;"",3))</f>
        <v/>
      </c>
    </row>
    <row r="372" customFormat="false" ht="14.25" hidden="false" customHeight="true" outlineLevel="0" collapsed="false">
      <c r="A372" s="89"/>
      <c r="B372" s="90"/>
      <c r="C372" s="90"/>
      <c r="D372" s="90"/>
      <c r="E372" s="91" t="str">
        <f aca="false">IFERROR(VLOOKUP(D372,PLANI_LLOGARIVE!$A:$B,2,FALSE()),"")</f>
        <v/>
      </c>
      <c r="F372" s="92"/>
      <c r="G372" s="93"/>
      <c r="H372" s="94"/>
      <c r="I372" s="95"/>
      <c r="J372" s="96" t="str">
        <f aca="false">IF(TRIM($C372)="","",IF($M372&lt;&gt;"OK",$M372,IF(ABS(SUMIFS($F:$F,$C:$C,TRIM($C372))-SUMIFS($G:$G,$C:$C,TRIM($C372)))&lt;0.005,"OK","ERROR - veprimi nuk balancohet")))</f>
        <v/>
      </c>
      <c r="K372" s="97" t="str">
        <f aca="false">IF($D372="","",IFERROR(VLOOKUP($D372,PLANI_LLOGARIVE!$A:$J,10,FALSE()),FALSE()))</f>
        <v/>
      </c>
      <c r="L372" s="97" t="str">
        <f aca="false">IF($D372="","",IFERROR(VLOOKUP($D372,PLANI_LLOGARIVE!$A:$G,7,FALSE()),"NUK EKZISTON"))</f>
        <v/>
      </c>
      <c r="M372" s="98" t="str">
        <f aca="false">IF($D372="","",IF(COUNTIF(PLANI_LLOGARIVE!$A:$A,$D372)=0,"ERROR - llogaria nuk ekziston",IF($K372=TRUE(),"OK","ERROR - llogari jo-postuese/Header")))</f>
        <v/>
      </c>
      <c r="N372" s="99" t="str">
        <f aca="false">IF(TRIM($C372)="","",IF(ABS(SUMIFS($F:$F,$C:$C,TRIM($C372))-SUMIFS($G:$G,$C:$C,TRIM($C372)))&lt;0.005,"OK","ERROR - debi/kredi"))</f>
        <v/>
      </c>
      <c r="O372" s="88"/>
      <c r="P372" s="88"/>
      <c r="Q372" s="88"/>
      <c r="R372" s="88"/>
      <c r="S372" s="100" t="str">
        <f aca="false">IF(D372="","",LEFT(D372&amp;"",2))</f>
        <v/>
      </c>
      <c r="T372" s="101" t="str">
        <f aca="false">IF(D372="","",LEFT(D372&amp;"",3))</f>
        <v/>
      </c>
    </row>
    <row r="373" customFormat="false" ht="14.25" hidden="false" customHeight="true" outlineLevel="0" collapsed="false">
      <c r="A373" s="89"/>
      <c r="B373" s="90"/>
      <c r="C373" s="90"/>
      <c r="D373" s="90"/>
      <c r="E373" s="91" t="str">
        <f aca="false">IFERROR(VLOOKUP(D373,PLANI_LLOGARIVE!$A:$B,2,FALSE()),"")</f>
        <v/>
      </c>
      <c r="F373" s="92"/>
      <c r="G373" s="93"/>
      <c r="H373" s="94"/>
      <c r="I373" s="95"/>
      <c r="J373" s="96" t="str">
        <f aca="false">IF(TRIM($C373)="","",IF($M373&lt;&gt;"OK",$M373,IF(ABS(SUMIFS($F:$F,$C:$C,TRIM($C373))-SUMIFS($G:$G,$C:$C,TRIM($C373)))&lt;0.005,"OK","ERROR - veprimi nuk balancohet")))</f>
        <v/>
      </c>
      <c r="K373" s="97" t="str">
        <f aca="false">IF($D373="","",IFERROR(VLOOKUP($D373,PLANI_LLOGARIVE!$A:$J,10,FALSE()),FALSE()))</f>
        <v/>
      </c>
      <c r="L373" s="97" t="str">
        <f aca="false">IF($D373="","",IFERROR(VLOOKUP($D373,PLANI_LLOGARIVE!$A:$G,7,FALSE()),"NUK EKZISTON"))</f>
        <v/>
      </c>
      <c r="M373" s="98" t="str">
        <f aca="false">IF($D373="","",IF(COUNTIF(PLANI_LLOGARIVE!$A:$A,$D373)=0,"ERROR - llogaria nuk ekziston",IF($K373=TRUE(),"OK","ERROR - llogari jo-postuese/Header")))</f>
        <v/>
      </c>
      <c r="N373" s="99" t="str">
        <f aca="false">IF(TRIM($C373)="","",IF(ABS(SUMIFS($F:$F,$C:$C,TRIM($C373))-SUMIFS($G:$G,$C:$C,TRIM($C373)))&lt;0.005,"OK","ERROR - debi/kredi"))</f>
        <v/>
      </c>
      <c r="O373" s="88"/>
      <c r="P373" s="88"/>
      <c r="Q373" s="88"/>
      <c r="R373" s="88"/>
      <c r="S373" s="100" t="str">
        <f aca="false">IF(D373="","",LEFT(D373&amp;"",2))</f>
        <v/>
      </c>
      <c r="T373" s="101" t="str">
        <f aca="false">IF(D373="","",LEFT(D373&amp;"",3))</f>
        <v/>
      </c>
    </row>
    <row r="374" customFormat="false" ht="14.25" hidden="false" customHeight="true" outlineLevel="0" collapsed="false">
      <c r="A374" s="89"/>
      <c r="B374" s="90"/>
      <c r="C374" s="90"/>
      <c r="D374" s="90"/>
      <c r="E374" s="91" t="str">
        <f aca="false">IFERROR(VLOOKUP(D374,PLANI_LLOGARIVE!$A:$B,2,FALSE()),"")</f>
        <v/>
      </c>
      <c r="F374" s="92"/>
      <c r="G374" s="93"/>
      <c r="H374" s="94"/>
      <c r="I374" s="95"/>
      <c r="J374" s="96" t="str">
        <f aca="false">IF(TRIM($C374)="","",IF($M374&lt;&gt;"OK",$M374,IF(ABS(SUMIFS($F:$F,$C:$C,TRIM($C374))-SUMIFS($G:$G,$C:$C,TRIM($C374)))&lt;0.005,"OK","ERROR - veprimi nuk balancohet")))</f>
        <v/>
      </c>
      <c r="K374" s="97" t="str">
        <f aca="false">IF($D374="","",IFERROR(VLOOKUP($D374,PLANI_LLOGARIVE!$A:$J,10,FALSE()),FALSE()))</f>
        <v/>
      </c>
      <c r="L374" s="97" t="str">
        <f aca="false">IF($D374="","",IFERROR(VLOOKUP($D374,PLANI_LLOGARIVE!$A:$G,7,FALSE()),"NUK EKZISTON"))</f>
        <v/>
      </c>
      <c r="M374" s="98" t="str">
        <f aca="false">IF($D374="","",IF(COUNTIF(PLANI_LLOGARIVE!$A:$A,$D374)=0,"ERROR - llogaria nuk ekziston",IF($K374=TRUE(),"OK","ERROR - llogari jo-postuese/Header")))</f>
        <v/>
      </c>
      <c r="N374" s="99" t="str">
        <f aca="false">IF(TRIM($C374)="","",IF(ABS(SUMIFS($F:$F,$C:$C,TRIM($C374))-SUMIFS($G:$G,$C:$C,TRIM($C374)))&lt;0.005,"OK","ERROR - debi/kredi"))</f>
        <v/>
      </c>
      <c r="O374" s="88"/>
      <c r="P374" s="88"/>
      <c r="Q374" s="88"/>
      <c r="R374" s="88"/>
      <c r="S374" s="100" t="str">
        <f aca="false">IF(D374="","",LEFT(D374&amp;"",2))</f>
        <v/>
      </c>
      <c r="T374" s="101" t="str">
        <f aca="false">IF(D374="","",LEFT(D374&amp;"",3))</f>
        <v/>
      </c>
    </row>
    <row r="375" customFormat="false" ht="14.25" hidden="false" customHeight="true" outlineLevel="0" collapsed="false">
      <c r="A375" s="89"/>
      <c r="B375" s="90"/>
      <c r="C375" s="90"/>
      <c r="D375" s="90"/>
      <c r="E375" s="91" t="str">
        <f aca="false">IFERROR(VLOOKUP(D375,PLANI_LLOGARIVE!$A:$B,2,FALSE()),"")</f>
        <v/>
      </c>
      <c r="F375" s="92"/>
      <c r="G375" s="93"/>
      <c r="H375" s="94"/>
      <c r="I375" s="95"/>
      <c r="J375" s="96" t="str">
        <f aca="false">IF(TRIM($C375)="","",IF($M375&lt;&gt;"OK",$M375,IF(ABS(SUMIFS($F:$F,$C:$C,TRIM($C375))-SUMIFS($G:$G,$C:$C,TRIM($C375)))&lt;0.005,"OK","ERROR - veprimi nuk balancohet")))</f>
        <v/>
      </c>
      <c r="K375" s="97" t="str">
        <f aca="false">IF($D375="","",IFERROR(VLOOKUP($D375,PLANI_LLOGARIVE!$A:$J,10,FALSE()),FALSE()))</f>
        <v/>
      </c>
      <c r="L375" s="97" t="str">
        <f aca="false">IF($D375="","",IFERROR(VLOOKUP($D375,PLANI_LLOGARIVE!$A:$G,7,FALSE()),"NUK EKZISTON"))</f>
        <v/>
      </c>
      <c r="M375" s="98" t="str">
        <f aca="false">IF($D375="","",IF(COUNTIF(PLANI_LLOGARIVE!$A:$A,$D375)=0,"ERROR - llogaria nuk ekziston",IF($K375=TRUE(),"OK","ERROR - llogari jo-postuese/Header")))</f>
        <v/>
      </c>
      <c r="N375" s="99" t="str">
        <f aca="false">IF(TRIM($C375)="","",IF(ABS(SUMIFS($F:$F,$C:$C,TRIM($C375))-SUMIFS($G:$G,$C:$C,TRIM($C375)))&lt;0.005,"OK","ERROR - debi/kredi"))</f>
        <v/>
      </c>
      <c r="O375" s="88"/>
      <c r="P375" s="88"/>
      <c r="Q375" s="88"/>
      <c r="R375" s="88"/>
      <c r="S375" s="100" t="str">
        <f aca="false">IF(D375="","",LEFT(D375&amp;"",2))</f>
        <v/>
      </c>
      <c r="T375" s="101" t="str">
        <f aca="false">IF(D375="","",LEFT(D375&amp;"",3))</f>
        <v/>
      </c>
    </row>
    <row r="376" customFormat="false" ht="14.25" hidden="false" customHeight="true" outlineLevel="0" collapsed="false">
      <c r="A376" s="89"/>
      <c r="B376" s="90"/>
      <c r="C376" s="90"/>
      <c r="D376" s="90"/>
      <c r="E376" s="91" t="str">
        <f aca="false">IFERROR(VLOOKUP(D376,PLANI_LLOGARIVE!$A:$B,2,FALSE()),"")</f>
        <v/>
      </c>
      <c r="F376" s="92"/>
      <c r="G376" s="93"/>
      <c r="H376" s="94"/>
      <c r="I376" s="95"/>
      <c r="J376" s="96" t="str">
        <f aca="false">IF(TRIM($C376)="","",IF($M376&lt;&gt;"OK",$M376,IF(ABS(SUMIFS($F:$F,$C:$C,TRIM($C376))-SUMIFS($G:$G,$C:$C,TRIM($C376)))&lt;0.005,"OK","ERROR - veprimi nuk balancohet")))</f>
        <v/>
      </c>
      <c r="K376" s="97" t="str">
        <f aca="false">IF($D376="","",IFERROR(VLOOKUP($D376,PLANI_LLOGARIVE!$A:$J,10,FALSE()),FALSE()))</f>
        <v/>
      </c>
      <c r="L376" s="97" t="str">
        <f aca="false">IF($D376="","",IFERROR(VLOOKUP($D376,PLANI_LLOGARIVE!$A:$G,7,FALSE()),"NUK EKZISTON"))</f>
        <v/>
      </c>
      <c r="M376" s="98" t="str">
        <f aca="false">IF($D376="","",IF(COUNTIF(PLANI_LLOGARIVE!$A:$A,$D376)=0,"ERROR - llogaria nuk ekziston",IF($K376=TRUE(),"OK","ERROR - llogari jo-postuese/Header")))</f>
        <v/>
      </c>
      <c r="N376" s="99" t="str">
        <f aca="false">IF(TRIM($C376)="","",IF(ABS(SUMIFS($F:$F,$C:$C,TRIM($C376))-SUMIFS($G:$G,$C:$C,TRIM($C376)))&lt;0.005,"OK","ERROR - debi/kredi"))</f>
        <v/>
      </c>
      <c r="O376" s="88"/>
      <c r="P376" s="88"/>
      <c r="Q376" s="88"/>
      <c r="R376" s="88"/>
      <c r="S376" s="100" t="str">
        <f aca="false">IF(D376="","",LEFT(D376&amp;"",2))</f>
        <v/>
      </c>
      <c r="T376" s="101" t="str">
        <f aca="false">IF(D376="","",LEFT(D376&amp;"",3))</f>
        <v/>
      </c>
    </row>
    <row r="377" customFormat="false" ht="14.25" hidden="false" customHeight="true" outlineLevel="0" collapsed="false">
      <c r="A377" s="89"/>
      <c r="B377" s="90"/>
      <c r="C377" s="90"/>
      <c r="D377" s="90"/>
      <c r="E377" s="91" t="str">
        <f aca="false">IFERROR(VLOOKUP(D377,PLANI_LLOGARIVE!$A:$B,2,FALSE()),"")</f>
        <v/>
      </c>
      <c r="F377" s="92"/>
      <c r="G377" s="93"/>
      <c r="H377" s="94"/>
      <c r="I377" s="95"/>
      <c r="J377" s="96" t="str">
        <f aca="false">IF(TRIM($C377)="","",IF($M377&lt;&gt;"OK",$M377,IF(ABS(SUMIFS($F:$F,$C:$C,TRIM($C377))-SUMIFS($G:$G,$C:$C,TRIM($C377)))&lt;0.005,"OK","ERROR - veprimi nuk balancohet")))</f>
        <v/>
      </c>
      <c r="K377" s="97" t="str">
        <f aca="false">IF($D377="","",IFERROR(VLOOKUP($D377,PLANI_LLOGARIVE!$A:$J,10,FALSE()),FALSE()))</f>
        <v/>
      </c>
      <c r="L377" s="97" t="str">
        <f aca="false">IF($D377="","",IFERROR(VLOOKUP($D377,PLANI_LLOGARIVE!$A:$G,7,FALSE()),"NUK EKZISTON"))</f>
        <v/>
      </c>
      <c r="M377" s="98" t="str">
        <f aca="false">IF($D377="","",IF(COUNTIF(PLANI_LLOGARIVE!$A:$A,$D377)=0,"ERROR - llogaria nuk ekziston",IF($K377=TRUE(),"OK","ERROR - llogari jo-postuese/Header")))</f>
        <v/>
      </c>
      <c r="N377" s="99" t="str">
        <f aca="false">IF(TRIM($C377)="","",IF(ABS(SUMIFS($F:$F,$C:$C,TRIM($C377))-SUMIFS($G:$G,$C:$C,TRIM($C377)))&lt;0.005,"OK","ERROR - debi/kredi"))</f>
        <v/>
      </c>
      <c r="O377" s="88"/>
      <c r="P377" s="88"/>
      <c r="Q377" s="88"/>
      <c r="R377" s="88"/>
      <c r="S377" s="100" t="str">
        <f aca="false">IF(D377="","",LEFT(D377&amp;"",2))</f>
        <v/>
      </c>
      <c r="T377" s="101" t="str">
        <f aca="false">IF(D377="","",LEFT(D377&amp;"",3))</f>
        <v/>
      </c>
    </row>
    <row r="378" customFormat="false" ht="14.25" hidden="false" customHeight="true" outlineLevel="0" collapsed="false">
      <c r="A378" s="89"/>
      <c r="B378" s="90"/>
      <c r="C378" s="90"/>
      <c r="D378" s="90"/>
      <c r="E378" s="91" t="str">
        <f aca="false">IFERROR(VLOOKUP(D378,PLANI_LLOGARIVE!$A:$B,2,FALSE()),"")</f>
        <v/>
      </c>
      <c r="F378" s="92"/>
      <c r="G378" s="93"/>
      <c r="H378" s="94"/>
      <c r="I378" s="95"/>
      <c r="J378" s="96" t="str">
        <f aca="false">IF(TRIM($C378)="","",IF($M378&lt;&gt;"OK",$M378,IF(ABS(SUMIFS($F:$F,$C:$C,TRIM($C378))-SUMIFS($G:$G,$C:$C,TRIM($C378)))&lt;0.005,"OK","ERROR - veprimi nuk balancohet")))</f>
        <v/>
      </c>
      <c r="K378" s="97" t="str">
        <f aca="false">IF($D378="","",IFERROR(VLOOKUP($D378,PLANI_LLOGARIVE!$A:$J,10,FALSE()),FALSE()))</f>
        <v/>
      </c>
      <c r="L378" s="97" t="str">
        <f aca="false">IF($D378="","",IFERROR(VLOOKUP($D378,PLANI_LLOGARIVE!$A:$G,7,FALSE()),"NUK EKZISTON"))</f>
        <v/>
      </c>
      <c r="M378" s="98" t="str">
        <f aca="false">IF($D378="","",IF(COUNTIF(PLANI_LLOGARIVE!$A:$A,$D378)=0,"ERROR - llogaria nuk ekziston",IF($K378=TRUE(),"OK","ERROR - llogari jo-postuese/Header")))</f>
        <v/>
      </c>
      <c r="N378" s="99" t="str">
        <f aca="false">IF(TRIM($C378)="","",IF(ABS(SUMIFS($F:$F,$C:$C,TRIM($C378))-SUMIFS($G:$G,$C:$C,TRIM($C378)))&lt;0.005,"OK","ERROR - debi/kredi"))</f>
        <v/>
      </c>
      <c r="O378" s="88"/>
      <c r="P378" s="88"/>
      <c r="Q378" s="88"/>
      <c r="R378" s="88"/>
      <c r="S378" s="100" t="str">
        <f aca="false">IF(D378="","",LEFT(D378&amp;"",2))</f>
        <v/>
      </c>
      <c r="T378" s="101" t="str">
        <f aca="false">IF(D378="","",LEFT(D378&amp;"",3))</f>
        <v/>
      </c>
    </row>
    <row r="379" customFormat="false" ht="14.25" hidden="false" customHeight="true" outlineLevel="0" collapsed="false">
      <c r="A379" s="89"/>
      <c r="B379" s="90"/>
      <c r="C379" s="90"/>
      <c r="D379" s="90"/>
      <c r="E379" s="91" t="str">
        <f aca="false">IFERROR(VLOOKUP(D379,PLANI_LLOGARIVE!$A:$B,2,FALSE()),"")</f>
        <v/>
      </c>
      <c r="F379" s="92"/>
      <c r="G379" s="93"/>
      <c r="H379" s="94"/>
      <c r="I379" s="95"/>
      <c r="J379" s="96" t="str">
        <f aca="false">IF(TRIM($C379)="","",IF($M379&lt;&gt;"OK",$M379,IF(ABS(SUMIFS($F:$F,$C:$C,TRIM($C379))-SUMIFS($G:$G,$C:$C,TRIM($C379)))&lt;0.005,"OK","ERROR - veprimi nuk balancohet")))</f>
        <v/>
      </c>
      <c r="K379" s="97" t="str">
        <f aca="false">IF($D379="","",IFERROR(VLOOKUP($D379,PLANI_LLOGARIVE!$A:$J,10,FALSE()),FALSE()))</f>
        <v/>
      </c>
      <c r="L379" s="97" t="str">
        <f aca="false">IF($D379="","",IFERROR(VLOOKUP($D379,PLANI_LLOGARIVE!$A:$G,7,FALSE()),"NUK EKZISTON"))</f>
        <v/>
      </c>
      <c r="M379" s="98" t="str">
        <f aca="false">IF($D379="","",IF(COUNTIF(PLANI_LLOGARIVE!$A:$A,$D379)=0,"ERROR - llogaria nuk ekziston",IF($K379=TRUE(),"OK","ERROR - llogari jo-postuese/Header")))</f>
        <v/>
      </c>
      <c r="N379" s="99" t="str">
        <f aca="false">IF(TRIM($C379)="","",IF(ABS(SUMIFS($F:$F,$C:$C,TRIM($C379))-SUMIFS($G:$G,$C:$C,TRIM($C379)))&lt;0.005,"OK","ERROR - debi/kredi"))</f>
        <v/>
      </c>
      <c r="O379" s="88"/>
      <c r="P379" s="88"/>
      <c r="Q379" s="88"/>
      <c r="R379" s="88"/>
      <c r="S379" s="100" t="str">
        <f aca="false">IF(D379="","",LEFT(D379&amp;"",2))</f>
        <v/>
      </c>
      <c r="T379" s="101" t="str">
        <f aca="false">IF(D379="","",LEFT(D379&amp;"",3))</f>
        <v/>
      </c>
    </row>
    <row r="380" customFormat="false" ht="14.25" hidden="false" customHeight="true" outlineLevel="0" collapsed="false">
      <c r="A380" s="89"/>
      <c r="B380" s="90"/>
      <c r="C380" s="90"/>
      <c r="D380" s="90"/>
      <c r="E380" s="91" t="str">
        <f aca="false">IFERROR(VLOOKUP(D380,PLANI_LLOGARIVE!$A:$B,2,FALSE()),"")</f>
        <v/>
      </c>
      <c r="F380" s="92"/>
      <c r="G380" s="93"/>
      <c r="H380" s="94"/>
      <c r="I380" s="95"/>
      <c r="J380" s="96" t="str">
        <f aca="false">IF(TRIM($C380)="","",IF($M380&lt;&gt;"OK",$M380,IF(ABS(SUMIFS($F:$F,$C:$C,TRIM($C380))-SUMIFS($G:$G,$C:$C,TRIM($C380)))&lt;0.005,"OK","ERROR - veprimi nuk balancohet")))</f>
        <v/>
      </c>
      <c r="K380" s="97" t="str">
        <f aca="false">IF($D380="","",IFERROR(VLOOKUP($D380,PLANI_LLOGARIVE!$A:$J,10,FALSE()),FALSE()))</f>
        <v/>
      </c>
      <c r="L380" s="97" t="str">
        <f aca="false">IF($D380="","",IFERROR(VLOOKUP($D380,PLANI_LLOGARIVE!$A:$G,7,FALSE()),"NUK EKZISTON"))</f>
        <v/>
      </c>
      <c r="M380" s="98" t="str">
        <f aca="false">IF($D380="","",IF(COUNTIF(PLANI_LLOGARIVE!$A:$A,$D380)=0,"ERROR - llogaria nuk ekziston",IF($K380=TRUE(),"OK","ERROR - llogari jo-postuese/Header")))</f>
        <v/>
      </c>
      <c r="N380" s="99" t="str">
        <f aca="false">IF(TRIM($C380)="","",IF(ABS(SUMIFS($F:$F,$C:$C,TRIM($C380))-SUMIFS($G:$G,$C:$C,TRIM($C380)))&lt;0.005,"OK","ERROR - debi/kredi"))</f>
        <v/>
      </c>
      <c r="O380" s="88"/>
      <c r="P380" s="88"/>
      <c r="Q380" s="88"/>
      <c r="R380" s="88"/>
      <c r="S380" s="100" t="str">
        <f aca="false">IF(D380="","",LEFT(D380&amp;"",2))</f>
        <v/>
      </c>
      <c r="T380" s="101" t="str">
        <f aca="false">IF(D380="","",LEFT(D380&amp;"",3))</f>
        <v/>
      </c>
    </row>
    <row r="381" customFormat="false" ht="14.25" hidden="false" customHeight="true" outlineLevel="0" collapsed="false">
      <c r="A381" s="89"/>
      <c r="B381" s="90"/>
      <c r="C381" s="90"/>
      <c r="D381" s="90"/>
      <c r="E381" s="91" t="str">
        <f aca="false">IFERROR(VLOOKUP(D381,PLANI_LLOGARIVE!$A:$B,2,FALSE()),"")</f>
        <v/>
      </c>
      <c r="F381" s="92"/>
      <c r="G381" s="93"/>
      <c r="H381" s="94"/>
      <c r="I381" s="95"/>
      <c r="J381" s="96" t="str">
        <f aca="false">IF(TRIM($C381)="","",IF($M381&lt;&gt;"OK",$M381,IF(ABS(SUMIFS($F:$F,$C:$C,TRIM($C381))-SUMIFS($G:$G,$C:$C,TRIM($C381)))&lt;0.005,"OK","ERROR - veprimi nuk balancohet")))</f>
        <v/>
      </c>
      <c r="K381" s="97" t="str">
        <f aca="false">IF($D381="","",IFERROR(VLOOKUP($D381,PLANI_LLOGARIVE!$A:$J,10,FALSE()),FALSE()))</f>
        <v/>
      </c>
      <c r="L381" s="97" t="str">
        <f aca="false">IF($D381="","",IFERROR(VLOOKUP($D381,PLANI_LLOGARIVE!$A:$G,7,FALSE()),"NUK EKZISTON"))</f>
        <v/>
      </c>
      <c r="M381" s="98" t="str">
        <f aca="false">IF($D381="","",IF(COUNTIF(PLANI_LLOGARIVE!$A:$A,$D381)=0,"ERROR - llogaria nuk ekziston",IF($K381=TRUE(),"OK","ERROR - llogari jo-postuese/Header")))</f>
        <v/>
      </c>
      <c r="N381" s="99" t="str">
        <f aca="false">IF(TRIM($C381)="","",IF(ABS(SUMIFS($F:$F,$C:$C,TRIM($C381))-SUMIFS($G:$G,$C:$C,TRIM($C381)))&lt;0.005,"OK","ERROR - debi/kredi"))</f>
        <v/>
      </c>
      <c r="O381" s="88"/>
      <c r="P381" s="88"/>
      <c r="Q381" s="88"/>
      <c r="R381" s="88"/>
      <c r="S381" s="100" t="str">
        <f aca="false">IF(D381="","",LEFT(D381&amp;"",2))</f>
        <v/>
      </c>
      <c r="T381" s="101" t="str">
        <f aca="false">IF(D381="","",LEFT(D381&amp;"",3))</f>
        <v/>
      </c>
    </row>
    <row r="382" customFormat="false" ht="14.25" hidden="false" customHeight="true" outlineLevel="0" collapsed="false">
      <c r="A382" s="89"/>
      <c r="B382" s="90"/>
      <c r="C382" s="90"/>
      <c r="D382" s="90"/>
      <c r="E382" s="91" t="str">
        <f aca="false">IFERROR(VLOOKUP(D382,PLANI_LLOGARIVE!$A:$B,2,FALSE()),"")</f>
        <v/>
      </c>
      <c r="F382" s="92"/>
      <c r="G382" s="93"/>
      <c r="H382" s="94"/>
      <c r="I382" s="95"/>
      <c r="J382" s="96" t="str">
        <f aca="false">IF(TRIM($C382)="","",IF($M382&lt;&gt;"OK",$M382,IF(ABS(SUMIFS($F:$F,$C:$C,TRIM($C382))-SUMIFS($G:$G,$C:$C,TRIM($C382)))&lt;0.005,"OK","ERROR - veprimi nuk balancohet")))</f>
        <v/>
      </c>
      <c r="K382" s="97" t="str">
        <f aca="false">IF($D382="","",IFERROR(VLOOKUP($D382,PLANI_LLOGARIVE!$A:$J,10,FALSE()),FALSE()))</f>
        <v/>
      </c>
      <c r="L382" s="97" t="str">
        <f aca="false">IF($D382="","",IFERROR(VLOOKUP($D382,PLANI_LLOGARIVE!$A:$G,7,FALSE()),"NUK EKZISTON"))</f>
        <v/>
      </c>
      <c r="M382" s="98" t="str">
        <f aca="false">IF($D382="","",IF(COUNTIF(PLANI_LLOGARIVE!$A:$A,$D382)=0,"ERROR - llogaria nuk ekziston",IF($K382=TRUE(),"OK","ERROR - llogari jo-postuese/Header")))</f>
        <v/>
      </c>
      <c r="N382" s="99" t="str">
        <f aca="false">IF(TRIM($C382)="","",IF(ABS(SUMIFS($F:$F,$C:$C,TRIM($C382))-SUMIFS($G:$G,$C:$C,TRIM($C382)))&lt;0.005,"OK","ERROR - debi/kredi"))</f>
        <v/>
      </c>
      <c r="O382" s="88"/>
      <c r="P382" s="88"/>
      <c r="Q382" s="88"/>
      <c r="R382" s="88"/>
      <c r="S382" s="100" t="str">
        <f aca="false">IF(D382="","",LEFT(D382&amp;"",2))</f>
        <v/>
      </c>
      <c r="T382" s="101" t="str">
        <f aca="false">IF(D382="","",LEFT(D382&amp;"",3))</f>
        <v/>
      </c>
    </row>
    <row r="383" customFormat="false" ht="14.25" hidden="false" customHeight="true" outlineLevel="0" collapsed="false">
      <c r="A383" s="89"/>
      <c r="B383" s="90"/>
      <c r="C383" s="90"/>
      <c r="D383" s="90"/>
      <c r="E383" s="91" t="str">
        <f aca="false">IFERROR(VLOOKUP(D383,PLANI_LLOGARIVE!$A:$B,2,FALSE()),"")</f>
        <v/>
      </c>
      <c r="F383" s="92"/>
      <c r="G383" s="93"/>
      <c r="H383" s="94"/>
      <c r="I383" s="95"/>
      <c r="J383" s="96" t="str">
        <f aca="false">IF(TRIM($C383)="","",IF($M383&lt;&gt;"OK",$M383,IF(ABS(SUMIFS($F:$F,$C:$C,TRIM($C383))-SUMIFS($G:$G,$C:$C,TRIM($C383)))&lt;0.005,"OK","ERROR - veprimi nuk balancohet")))</f>
        <v/>
      </c>
      <c r="K383" s="97" t="str">
        <f aca="false">IF($D383="","",IFERROR(VLOOKUP($D383,PLANI_LLOGARIVE!$A:$J,10,FALSE()),FALSE()))</f>
        <v/>
      </c>
      <c r="L383" s="97" t="str">
        <f aca="false">IF($D383="","",IFERROR(VLOOKUP($D383,PLANI_LLOGARIVE!$A:$G,7,FALSE()),"NUK EKZISTON"))</f>
        <v/>
      </c>
      <c r="M383" s="98" t="str">
        <f aca="false">IF($D383="","",IF(COUNTIF(PLANI_LLOGARIVE!$A:$A,$D383)=0,"ERROR - llogaria nuk ekziston",IF($K383=TRUE(),"OK","ERROR - llogari jo-postuese/Header")))</f>
        <v/>
      </c>
      <c r="N383" s="99" t="str">
        <f aca="false">IF(TRIM($C383)="","",IF(ABS(SUMIFS($F:$F,$C:$C,TRIM($C383))-SUMIFS($G:$G,$C:$C,TRIM($C383)))&lt;0.005,"OK","ERROR - debi/kredi"))</f>
        <v/>
      </c>
      <c r="O383" s="88"/>
      <c r="P383" s="88"/>
      <c r="Q383" s="88"/>
      <c r="R383" s="88"/>
      <c r="S383" s="100" t="str">
        <f aca="false">IF(D383="","",LEFT(D383&amp;"",2))</f>
        <v/>
      </c>
      <c r="T383" s="101" t="str">
        <f aca="false">IF(D383="","",LEFT(D383&amp;"",3))</f>
        <v/>
      </c>
    </row>
    <row r="384" customFormat="false" ht="14.25" hidden="false" customHeight="true" outlineLevel="0" collapsed="false">
      <c r="A384" s="89"/>
      <c r="B384" s="90"/>
      <c r="C384" s="90"/>
      <c r="D384" s="90"/>
      <c r="E384" s="91" t="str">
        <f aca="false">IFERROR(VLOOKUP(D384,PLANI_LLOGARIVE!$A:$B,2,FALSE()),"")</f>
        <v/>
      </c>
      <c r="F384" s="92"/>
      <c r="G384" s="93"/>
      <c r="H384" s="94"/>
      <c r="I384" s="95"/>
      <c r="J384" s="96" t="str">
        <f aca="false">IF(TRIM($C384)="","",IF($M384&lt;&gt;"OK",$M384,IF(ABS(SUMIFS($F:$F,$C:$C,TRIM($C384))-SUMIFS($G:$G,$C:$C,TRIM($C384)))&lt;0.005,"OK","ERROR - veprimi nuk balancohet")))</f>
        <v/>
      </c>
      <c r="K384" s="97" t="str">
        <f aca="false">IF($D384="","",IFERROR(VLOOKUP($D384,PLANI_LLOGARIVE!$A:$J,10,FALSE()),FALSE()))</f>
        <v/>
      </c>
      <c r="L384" s="97" t="str">
        <f aca="false">IF($D384="","",IFERROR(VLOOKUP($D384,PLANI_LLOGARIVE!$A:$G,7,FALSE()),"NUK EKZISTON"))</f>
        <v/>
      </c>
      <c r="M384" s="98" t="str">
        <f aca="false">IF($D384="","",IF(COUNTIF(PLANI_LLOGARIVE!$A:$A,$D384)=0,"ERROR - llogaria nuk ekziston",IF($K384=TRUE(),"OK","ERROR - llogari jo-postuese/Header")))</f>
        <v/>
      </c>
      <c r="N384" s="99" t="str">
        <f aca="false">IF(TRIM($C384)="","",IF(ABS(SUMIFS($F:$F,$C:$C,TRIM($C384))-SUMIFS($G:$G,$C:$C,TRIM($C384)))&lt;0.005,"OK","ERROR - debi/kredi"))</f>
        <v/>
      </c>
      <c r="O384" s="88"/>
      <c r="P384" s="88"/>
      <c r="Q384" s="88"/>
      <c r="R384" s="88"/>
      <c r="S384" s="100" t="str">
        <f aca="false">IF(D384="","",LEFT(D384&amp;"",2))</f>
        <v/>
      </c>
      <c r="T384" s="101" t="str">
        <f aca="false">IF(D384="","",LEFT(D384&amp;"",3))</f>
        <v/>
      </c>
    </row>
    <row r="385" customFormat="false" ht="14.25" hidden="false" customHeight="true" outlineLevel="0" collapsed="false">
      <c r="A385" s="89"/>
      <c r="B385" s="90"/>
      <c r="C385" s="90"/>
      <c r="D385" s="90"/>
      <c r="E385" s="91" t="str">
        <f aca="false">IFERROR(VLOOKUP(D385,PLANI_LLOGARIVE!$A:$B,2,FALSE()),"")</f>
        <v/>
      </c>
      <c r="F385" s="92"/>
      <c r="G385" s="93"/>
      <c r="H385" s="94"/>
      <c r="I385" s="95"/>
      <c r="J385" s="96" t="str">
        <f aca="false">IF(TRIM($C385)="","",IF($M385&lt;&gt;"OK",$M385,IF(ABS(SUMIFS($F:$F,$C:$C,TRIM($C385))-SUMIFS($G:$G,$C:$C,TRIM($C385)))&lt;0.005,"OK","ERROR - veprimi nuk balancohet")))</f>
        <v/>
      </c>
      <c r="K385" s="97" t="str">
        <f aca="false">IF($D385="","",IFERROR(VLOOKUP($D385,PLANI_LLOGARIVE!$A:$J,10,FALSE()),FALSE()))</f>
        <v/>
      </c>
      <c r="L385" s="97" t="str">
        <f aca="false">IF($D385="","",IFERROR(VLOOKUP($D385,PLANI_LLOGARIVE!$A:$G,7,FALSE()),"NUK EKZISTON"))</f>
        <v/>
      </c>
      <c r="M385" s="98" t="str">
        <f aca="false">IF($D385="","",IF(COUNTIF(PLANI_LLOGARIVE!$A:$A,$D385)=0,"ERROR - llogaria nuk ekziston",IF($K385=TRUE(),"OK","ERROR - llogari jo-postuese/Header")))</f>
        <v/>
      </c>
      <c r="N385" s="99" t="str">
        <f aca="false">IF(TRIM($C385)="","",IF(ABS(SUMIFS($F:$F,$C:$C,TRIM($C385))-SUMIFS($G:$G,$C:$C,TRIM($C385)))&lt;0.005,"OK","ERROR - debi/kredi"))</f>
        <v/>
      </c>
      <c r="O385" s="88"/>
      <c r="P385" s="88"/>
      <c r="Q385" s="88"/>
      <c r="R385" s="88"/>
      <c r="S385" s="100" t="str">
        <f aca="false">IF(D385="","",LEFT(D385&amp;"",2))</f>
        <v/>
      </c>
      <c r="T385" s="101" t="str">
        <f aca="false">IF(D385="","",LEFT(D385&amp;"",3))</f>
        <v/>
      </c>
    </row>
    <row r="386" customFormat="false" ht="14.25" hidden="false" customHeight="true" outlineLevel="0" collapsed="false">
      <c r="A386" s="89"/>
      <c r="B386" s="90"/>
      <c r="C386" s="90"/>
      <c r="D386" s="90"/>
      <c r="E386" s="91" t="str">
        <f aca="false">IFERROR(VLOOKUP(D386,PLANI_LLOGARIVE!$A:$B,2,FALSE()),"")</f>
        <v/>
      </c>
      <c r="F386" s="92"/>
      <c r="G386" s="93"/>
      <c r="H386" s="94"/>
      <c r="I386" s="95"/>
      <c r="J386" s="96" t="str">
        <f aca="false">IF(TRIM($C386)="","",IF($M386&lt;&gt;"OK",$M386,IF(ABS(SUMIFS($F:$F,$C:$C,TRIM($C386))-SUMIFS($G:$G,$C:$C,TRIM($C386)))&lt;0.005,"OK","ERROR - veprimi nuk balancohet")))</f>
        <v/>
      </c>
      <c r="K386" s="97" t="str">
        <f aca="false">IF($D386="","",IFERROR(VLOOKUP($D386,PLANI_LLOGARIVE!$A:$J,10,FALSE()),FALSE()))</f>
        <v/>
      </c>
      <c r="L386" s="97" t="str">
        <f aca="false">IF($D386="","",IFERROR(VLOOKUP($D386,PLANI_LLOGARIVE!$A:$G,7,FALSE()),"NUK EKZISTON"))</f>
        <v/>
      </c>
      <c r="M386" s="98" t="str">
        <f aca="false">IF($D386="","",IF(COUNTIF(PLANI_LLOGARIVE!$A:$A,$D386)=0,"ERROR - llogaria nuk ekziston",IF($K386=TRUE(),"OK","ERROR - llogari jo-postuese/Header")))</f>
        <v/>
      </c>
      <c r="N386" s="99" t="str">
        <f aca="false">IF(TRIM($C386)="","",IF(ABS(SUMIFS($F:$F,$C:$C,TRIM($C386))-SUMIFS($G:$G,$C:$C,TRIM($C386)))&lt;0.005,"OK","ERROR - debi/kredi"))</f>
        <v/>
      </c>
      <c r="O386" s="88"/>
      <c r="P386" s="88"/>
      <c r="Q386" s="88"/>
      <c r="R386" s="88"/>
      <c r="S386" s="100" t="str">
        <f aca="false">IF(D386="","",LEFT(D386&amp;"",2))</f>
        <v/>
      </c>
      <c r="T386" s="101" t="str">
        <f aca="false">IF(D386="","",LEFT(D386&amp;"",3))</f>
        <v/>
      </c>
    </row>
    <row r="387" customFormat="false" ht="14.25" hidden="false" customHeight="true" outlineLevel="0" collapsed="false">
      <c r="A387" s="89"/>
      <c r="B387" s="90"/>
      <c r="C387" s="90"/>
      <c r="D387" s="90"/>
      <c r="E387" s="91" t="str">
        <f aca="false">IFERROR(VLOOKUP(D387,PLANI_LLOGARIVE!$A:$B,2,FALSE()),"")</f>
        <v/>
      </c>
      <c r="F387" s="92"/>
      <c r="G387" s="93"/>
      <c r="H387" s="94"/>
      <c r="I387" s="95"/>
      <c r="J387" s="96" t="str">
        <f aca="false">IF(TRIM($C387)="","",IF($M387&lt;&gt;"OK",$M387,IF(ABS(SUMIFS($F:$F,$C:$C,TRIM($C387))-SUMIFS($G:$G,$C:$C,TRIM($C387)))&lt;0.005,"OK","ERROR - veprimi nuk balancohet")))</f>
        <v/>
      </c>
      <c r="K387" s="97" t="str">
        <f aca="false">IF($D387="","",IFERROR(VLOOKUP($D387,PLANI_LLOGARIVE!$A:$J,10,FALSE()),FALSE()))</f>
        <v/>
      </c>
      <c r="L387" s="97" t="str">
        <f aca="false">IF($D387="","",IFERROR(VLOOKUP($D387,PLANI_LLOGARIVE!$A:$G,7,FALSE()),"NUK EKZISTON"))</f>
        <v/>
      </c>
      <c r="M387" s="98" t="str">
        <f aca="false">IF($D387="","",IF(COUNTIF(PLANI_LLOGARIVE!$A:$A,$D387)=0,"ERROR - llogaria nuk ekziston",IF($K387=TRUE(),"OK","ERROR - llogari jo-postuese/Header")))</f>
        <v/>
      </c>
      <c r="N387" s="99" t="str">
        <f aca="false">IF(TRIM($C387)="","",IF(ABS(SUMIFS($F:$F,$C:$C,TRIM($C387))-SUMIFS($G:$G,$C:$C,TRIM($C387)))&lt;0.005,"OK","ERROR - debi/kredi"))</f>
        <v/>
      </c>
      <c r="O387" s="88"/>
      <c r="P387" s="88"/>
      <c r="Q387" s="88"/>
      <c r="R387" s="88"/>
      <c r="S387" s="100" t="str">
        <f aca="false">IF(D387="","",LEFT(D387&amp;"",2))</f>
        <v/>
      </c>
      <c r="T387" s="101" t="str">
        <f aca="false">IF(D387="","",LEFT(D387&amp;"",3))</f>
        <v/>
      </c>
    </row>
    <row r="388" customFormat="false" ht="14.25" hidden="false" customHeight="true" outlineLevel="0" collapsed="false">
      <c r="A388" s="89"/>
      <c r="B388" s="90"/>
      <c r="C388" s="90"/>
      <c r="D388" s="90"/>
      <c r="E388" s="91" t="str">
        <f aca="false">IFERROR(VLOOKUP(D388,PLANI_LLOGARIVE!$A:$B,2,FALSE()),"")</f>
        <v/>
      </c>
      <c r="F388" s="92"/>
      <c r="G388" s="93"/>
      <c r="H388" s="94"/>
      <c r="I388" s="95"/>
      <c r="J388" s="96" t="str">
        <f aca="false">IF(TRIM($C388)="","",IF($M388&lt;&gt;"OK",$M388,IF(ABS(SUMIFS($F:$F,$C:$C,TRIM($C388))-SUMIFS($G:$G,$C:$C,TRIM($C388)))&lt;0.005,"OK","ERROR - veprimi nuk balancohet")))</f>
        <v/>
      </c>
      <c r="K388" s="97" t="str">
        <f aca="false">IF($D388="","",IFERROR(VLOOKUP($D388,PLANI_LLOGARIVE!$A:$J,10,FALSE()),FALSE()))</f>
        <v/>
      </c>
      <c r="L388" s="97" t="str">
        <f aca="false">IF($D388="","",IFERROR(VLOOKUP($D388,PLANI_LLOGARIVE!$A:$G,7,FALSE()),"NUK EKZISTON"))</f>
        <v/>
      </c>
      <c r="M388" s="98" t="str">
        <f aca="false">IF($D388="","",IF(COUNTIF(PLANI_LLOGARIVE!$A:$A,$D388)=0,"ERROR - llogaria nuk ekziston",IF($K388=TRUE(),"OK","ERROR - llogari jo-postuese/Header")))</f>
        <v/>
      </c>
      <c r="N388" s="99" t="str">
        <f aca="false">IF(TRIM($C388)="","",IF(ABS(SUMIFS($F:$F,$C:$C,TRIM($C388))-SUMIFS($G:$G,$C:$C,TRIM($C388)))&lt;0.005,"OK","ERROR - debi/kredi"))</f>
        <v/>
      </c>
      <c r="O388" s="88"/>
      <c r="P388" s="88"/>
      <c r="Q388" s="88"/>
      <c r="R388" s="88"/>
      <c r="S388" s="100" t="str">
        <f aca="false">IF(D388="","",LEFT(D388&amp;"",2))</f>
        <v/>
      </c>
      <c r="T388" s="101" t="str">
        <f aca="false">IF(D388="","",LEFT(D388&amp;"",3))</f>
        <v/>
      </c>
    </row>
    <row r="389" customFormat="false" ht="14.25" hidden="false" customHeight="true" outlineLevel="0" collapsed="false">
      <c r="A389" s="89"/>
      <c r="B389" s="90"/>
      <c r="C389" s="90"/>
      <c r="D389" s="90"/>
      <c r="E389" s="91" t="str">
        <f aca="false">IFERROR(VLOOKUP(D389,PLANI_LLOGARIVE!$A:$B,2,FALSE()),"")</f>
        <v/>
      </c>
      <c r="F389" s="92"/>
      <c r="G389" s="93"/>
      <c r="H389" s="94"/>
      <c r="I389" s="95"/>
      <c r="J389" s="96" t="str">
        <f aca="false">IF(TRIM($C389)="","",IF($M389&lt;&gt;"OK",$M389,IF(ABS(SUMIFS($F:$F,$C:$C,TRIM($C389))-SUMIFS($G:$G,$C:$C,TRIM($C389)))&lt;0.005,"OK","ERROR - veprimi nuk balancohet")))</f>
        <v/>
      </c>
      <c r="K389" s="97" t="str">
        <f aca="false">IF($D389="","",IFERROR(VLOOKUP($D389,PLANI_LLOGARIVE!$A:$J,10,FALSE()),FALSE()))</f>
        <v/>
      </c>
      <c r="L389" s="97" t="str">
        <f aca="false">IF($D389="","",IFERROR(VLOOKUP($D389,PLANI_LLOGARIVE!$A:$G,7,FALSE()),"NUK EKZISTON"))</f>
        <v/>
      </c>
      <c r="M389" s="98" t="str">
        <f aca="false">IF($D389="","",IF(COUNTIF(PLANI_LLOGARIVE!$A:$A,$D389)=0,"ERROR - llogaria nuk ekziston",IF($K389=TRUE(),"OK","ERROR - llogari jo-postuese/Header")))</f>
        <v/>
      </c>
      <c r="N389" s="99" t="str">
        <f aca="false">IF(TRIM($C389)="","",IF(ABS(SUMIFS($F:$F,$C:$C,TRIM($C389))-SUMIFS($G:$G,$C:$C,TRIM($C389)))&lt;0.005,"OK","ERROR - debi/kredi"))</f>
        <v/>
      </c>
      <c r="O389" s="88"/>
      <c r="P389" s="88"/>
      <c r="Q389" s="88"/>
      <c r="R389" s="88"/>
      <c r="S389" s="100" t="str">
        <f aca="false">IF(D389="","",LEFT(D389&amp;"",2))</f>
        <v/>
      </c>
      <c r="T389" s="101" t="str">
        <f aca="false">IF(D389="","",LEFT(D389&amp;"",3))</f>
        <v/>
      </c>
    </row>
    <row r="390" customFormat="false" ht="14.25" hidden="false" customHeight="true" outlineLevel="0" collapsed="false">
      <c r="A390" s="89"/>
      <c r="B390" s="90"/>
      <c r="C390" s="90"/>
      <c r="D390" s="90"/>
      <c r="E390" s="91" t="str">
        <f aca="false">IFERROR(VLOOKUP(D390,PLANI_LLOGARIVE!$A:$B,2,FALSE()),"")</f>
        <v/>
      </c>
      <c r="F390" s="92"/>
      <c r="G390" s="93"/>
      <c r="H390" s="94"/>
      <c r="I390" s="95"/>
      <c r="J390" s="96" t="str">
        <f aca="false">IF(TRIM($C390)="","",IF($M390&lt;&gt;"OK",$M390,IF(ABS(SUMIFS($F:$F,$C:$C,TRIM($C390))-SUMIFS($G:$G,$C:$C,TRIM($C390)))&lt;0.005,"OK","ERROR - veprimi nuk balancohet")))</f>
        <v/>
      </c>
      <c r="K390" s="97" t="str">
        <f aca="false">IF($D390="","",IFERROR(VLOOKUP($D390,PLANI_LLOGARIVE!$A:$J,10,FALSE()),FALSE()))</f>
        <v/>
      </c>
      <c r="L390" s="97" t="str">
        <f aca="false">IF($D390="","",IFERROR(VLOOKUP($D390,PLANI_LLOGARIVE!$A:$G,7,FALSE()),"NUK EKZISTON"))</f>
        <v/>
      </c>
      <c r="M390" s="98" t="str">
        <f aca="false">IF($D390="","",IF(COUNTIF(PLANI_LLOGARIVE!$A:$A,$D390)=0,"ERROR - llogaria nuk ekziston",IF($K390=TRUE(),"OK","ERROR - llogari jo-postuese/Header")))</f>
        <v/>
      </c>
      <c r="N390" s="99" t="str">
        <f aca="false">IF(TRIM($C390)="","",IF(ABS(SUMIFS($F:$F,$C:$C,TRIM($C390))-SUMIFS($G:$G,$C:$C,TRIM($C390)))&lt;0.005,"OK","ERROR - debi/kredi"))</f>
        <v/>
      </c>
      <c r="O390" s="88"/>
      <c r="P390" s="88"/>
      <c r="Q390" s="88"/>
      <c r="R390" s="88"/>
      <c r="S390" s="100" t="str">
        <f aca="false">IF(D390="","",LEFT(D390&amp;"",2))</f>
        <v/>
      </c>
      <c r="T390" s="101" t="str">
        <f aca="false">IF(D390="","",LEFT(D390&amp;"",3))</f>
        <v/>
      </c>
    </row>
    <row r="391" customFormat="false" ht="14.25" hidden="false" customHeight="true" outlineLevel="0" collapsed="false">
      <c r="A391" s="89"/>
      <c r="B391" s="90"/>
      <c r="C391" s="90"/>
      <c r="D391" s="90"/>
      <c r="E391" s="91" t="str">
        <f aca="false">IFERROR(VLOOKUP(D391,PLANI_LLOGARIVE!$A:$B,2,FALSE()),"")</f>
        <v/>
      </c>
      <c r="F391" s="92"/>
      <c r="G391" s="93"/>
      <c r="H391" s="94"/>
      <c r="I391" s="95"/>
      <c r="J391" s="96" t="str">
        <f aca="false">IF(TRIM($C391)="","",IF($M391&lt;&gt;"OK",$M391,IF(ABS(SUMIFS($F:$F,$C:$C,TRIM($C391))-SUMIFS($G:$G,$C:$C,TRIM($C391)))&lt;0.005,"OK","ERROR - veprimi nuk balancohet")))</f>
        <v/>
      </c>
      <c r="K391" s="97" t="str">
        <f aca="false">IF($D391="","",IFERROR(VLOOKUP($D391,PLANI_LLOGARIVE!$A:$J,10,FALSE()),FALSE()))</f>
        <v/>
      </c>
      <c r="L391" s="97" t="str">
        <f aca="false">IF($D391="","",IFERROR(VLOOKUP($D391,PLANI_LLOGARIVE!$A:$G,7,FALSE()),"NUK EKZISTON"))</f>
        <v/>
      </c>
      <c r="M391" s="98" t="str">
        <f aca="false">IF($D391="","",IF(COUNTIF(PLANI_LLOGARIVE!$A:$A,$D391)=0,"ERROR - llogaria nuk ekziston",IF($K391=TRUE(),"OK","ERROR - llogari jo-postuese/Header")))</f>
        <v/>
      </c>
      <c r="N391" s="99" t="str">
        <f aca="false">IF(TRIM($C391)="","",IF(ABS(SUMIFS($F:$F,$C:$C,TRIM($C391))-SUMIFS($G:$G,$C:$C,TRIM($C391)))&lt;0.005,"OK","ERROR - debi/kredi"))</f>
        <v/>
      </c>
      <c r="O391" s="88"/>
      <c r="P391" s="88"/>
      <c r="Q391" s="88"/>
      <c r="R391" s="88"/>
      <c r="S391" s="100" t="str">
        <f aca="false">IF(D391="","",LEFT(D391&amp;"",2))</f>
        <v/>
      </c>
      <c r="T391" s="101" t="str">
        <f aca="false">IF(D391="","",LEFT(D391&amp;"",3))</f>
        <v/>
      </c>
    </row>
    <row r="392" customFormat="false" ht="14.25" hidden="false" customHeight="true" outlineLevel="0" collapsed="false">
      <c r="A392" s="89"/>
      <c r="B392" s="90"/>
      <c r="C392" s="90"/>
      <c r="D392" s="90"/>
      <c r="E392" s="91" t="str">
        <f aca="false">IFERROR(VLOOKUP(D392,PLANI_LLOGARIVE!$A:$B,2,FALSE()),"")</f>
        <v/>
      </c>
      <c r="F392" s="92"/>
      <c r="G392" s="93"/>
      <c r="H392" s="94"/>
      <c r="I392" s="95"/>
      <c r="J392" s="96" t="str">
        <f aca="false">IF(TRIM($C392)="","",IF($M392&lt;&gt;"OK",$M392,IF(ABS(SUMIFS($F:$F,$C:$C,TRIM($C392))-SUMIFS($G:$G,$C:$C,TRIM($C392)))&lt;0.005,"OK","ERROR - veprimi nuk balancohet")))</f>
        <v/>
      </c>
      <c r="K392" s="97" t="str">
        <f aca="false">IF($D392="","",IFERROR(VLOOKUP($D392,PLANI_LLOGARIVE!$A:$J,10,FALSE()),FALSE()))</f>
        <v/>
      </c>
      <c r="L392" s="97" t="str">
        <f aca="false">IF($D392="","",IFERROR(VLOOKUP($D392,PLANI_LLOGARIVE!$A:$G,7,FALSE()),"NUK EKZISTON"))</f>
        <v/>
      </c>
      <c r="M392" s="98" t="str">
        <f aca="false">IF($D392="","",IF(COUNTIF(PLANI_LLOGARIVE!$A:$A,$D392)=0,"ERROR - llogaria nuk ekziston",IF($K392=TRUE(),"OK","ERROR - llogari jo-postuese/Header")))</f>
        <v/>
      </c>
      <c r="N392" s="99" t="str">
        <f aca="false">IF(TRIM($C392)="","",IF(ABS(SUMIFS($F:$F,$C:$C,TRIM($C392))-SUMIFS($G:$G,$C:$C,TRIM($C392)))&lt;0.005,"OK","ERROR - debi/kredi"))</f>
        <v/>
      </c>
      <c r="O392" s="88"/>
      <c r="P392" s="88"/>
      <c r="Q392" s="88"/>
      <c r="R392" s="88"/>
      <c r="S392" s="100" t="str">
        <f aca="false">IF(D392="","",LEFT(D392&amp;"",2))</f>
        <v/>
      </c>
      <c r="T392" s="101" t="str">
        <f aca="false">IF(D392="","",LEFT(D392&amp;"",3))</f>
        <v/>
      </c>
    </row>
    <row r="393" customFormat="false" ht="14.25" hidden="false" customHeight="true" outlineLevel="0" collapsed="false">
      <c r="A393" s="89"/>
      <c r="B393" s="90"/>
      <c r="C393" s="90"/>
      <c r="D393" s="90"/>
      <c r="E393" s="91" t="str">
        <f aca="false">IFERROR(VLOOKUP(D393,PLANI_LLOGARIVE!$A:$B,2,FALSE()),"")</f>
        <v/>
      </c>
      <c r="F393" s="92"/>
      <c r="G393" s="93"/>
      <c r="H393" s="94"/>
      <c r="I393" s="95"/>
      <c r="J393" s="96" t="str">
        <f aca="false">IF(TRIM($C393)="","",IF($M393&lt;&gt;"OK",$M393,IF(ABS(SUMIFS($F:$F,$C:$C,TRIM($C393))-SUMIFS($G:$G,$C:$C,TRIM($C393)))&lt;0.005,"OK","ERROR - veprimi nuk balancohet")))</f>
        <v/>
      </c>
      <c r="K393" s="97" t="str">
        <f aca="false">IF($D393="","",IFERROR(VLOOKUP($D393,PLANI_LLOGARIVE!$A:$J,10,FALSE()),FALSE()))</f>
        <v/>
      </c>
      <c r="L393" s="97" t="str">
        <f aca="false">IF($D393="","",IFERROR(VLOOKUP($D393,PLANI_LLOGARIVE!$A:$G,7,FALSE()),"NUK EKZISTON"))</f>
        <v/>
      </c>
      <c r="M393" s="98" t="str">
        <f aca="false">IF($D393="","",IF(COUNTIF(PLANI_LLOGARIVE!$A:$A,$D393)=0,"ERROR - llogaria nuk ekziston",IF($K393=TRUE(),"OK","ERROR - llogari jo-postuese/Header")))</f>
        <v/>
      </c>
      <c r="N393" s="99" t="str">
        <f aca="false">IF(TRIM($C393)="","",IF(ABS(SUMIFS($F:$F,$C:$C,TRIM($C393))-SUMIFS($G:$G,$C:$C,TRIM($C393)))&lt;0.005,"OK","ERROR - debi/kredi"))</f>
        <v/>
      </c>
      <c r="O393" s="88"/>
      <c r="P393" s="88"/>
      <c r="Q393" s="88"/>
      <c r="R393" s="88"/>
      <c r="S393" s="100" t="str">
        <f aca="false">IF(D393="","",LEFT(D393&amp;"",2))</f>
        <v/>
      </c>
      <c r="T393" s="101" t="str">
        <f aca="false">IF(D393="","",LEFT(D393&amp;"",3))</f>
        <v/>
      </c>
    </row>
    <row r="394" customFormat="false" ht="14.25" hidden="false" customHeight="true" outlineLevel="0" collapsed="false">
      <c r="A394" s="89"/>
      <c r="B394" s="90"/>
      <c r="C394" s="90"/>
      <c r="D394" s="90"/>
      <c r="E394" s="91" t="str">
        <f aca="false">IFERROR(VLOOKUP(D394,PLANI_LLOGARIVE!$A:$B,2,FALSE()),"")</f>
        <v/>
      </c>
      <c r="F394" s="92"/>
      <c r="G394" s="93"/>
      <c r="H394" s="94"/>
      <c r="I394" s="95"/>
      <c r="J394" s="96" t="str">
        <f aca="false">IF(TRIM($C394)="","",IF($M394&lt;&gt;"OK",$M394,IF(ABS(SUMIFS($F:$F,$C:$C,TRIM($C394))-SUMIFS($G:$G,$C:$C,TRIM($C394)))&lt;0.005,"OK","ERROR - veprimi nuk balancohet")))</f>
        <v/>
      </c>
      <c r="K394" s="97" t="str">
        <f aca="false">IF($D394="","",IFERROR(VLOOKUP($D394,PLANI_LLOGARIVE!$A:$J,10,FALSE()),FALSE()))</f>
        <v/>
      </c>
      <c r="L394" s="97" t="str">
        <f aca="false">IF($D394="","",IFERROR(VLOOKUP($D394,PLANI_LLOGARIVE!$A:$G,7,FALSE()),"NUK EKZISTON"))</f>
        <v/>
      </c>
      <c r="M394" s="98" t="str">
        <f aca="false">IF($D394="","",IF(COUNTIF(PLANI_LLOGARIVE!$A:$A,$D394)=0,"ERROR - llogaria nuk ekziston",IF($K394=TRUE(),"OK","ERROR - llogari jo-postuese/Header")))</f>
        <v/>
      </c>
      <c r="N394" s="99" t="str">
        <f aca="false">IF(TRIM($C394)="","",IF(ABS(SUMIFS($F:$F,$C:$C,TRIM($C394))-SUMIFS($G:$G,$C:$C,TRIM($C394)))&lt;0.005,"OK","ERROR - debi/kredi"))</f>
        <v/>
      </c>
      <c r="O394" s="88"/>
      <c r="P394" s="88"/>
      <c r="Q394" s="88"/>
      <c r="R394" s="88"/>
      <c r="S394" s="100" t="str">
        <f aca="false">IF(D394="","",LEFT(D394&amp;"",2))</f>
        <v/>
      </c>
      <c r="T394" s="101" t="str">
        <f aca="false">IF(D394="","",LEFT(D394&amp;"",3))</f>
        <v/>
      </c>
    </row>
    <row r="395" customFormat="false" ht="14.25" hidden="false" customHeight="true" outlineLevel="0" collapsed="false">
      <c r="A395" s="89"/>
      <c r="B395" s="90"/>
      <c r="C395" s="90"/>
      <c r="D395" s="90"/>
      <c r="E395" s="91" t="str">
        <f aca="false">IFERROR(VLOOKUP(D395,PLANI_LLOGARIVE!$A:$B,2,FALSE()),"")</f>
        <v/>
      </c>
      <c r="F395" s="92"/>
      <c r="G395" s="93"/>
      <c r="H395" s="94"/>
      <c r="I395" s="95"/>
      <c r="J395" s="96" t="str">
        <f aca="false">IF(TRIM($C395)="","",IF($M395&lt;&gt;"OK",$M395,IF(ABS(SUMIFS($F:$F,$C:$C,TRIM($C395))-SUMIFS($G:$G,$C:$C,TRIM($C395)))&lt;0.005,"OK","ERROR - veprimi nuk balancohet")))</f>
        <v/>
      </c>
      <c r="K395" s="97" t="str">
        <f aca="false">IF($D395="","",IFERROR(VLOOKUP($D395,PLANI_LLOGARIVE!$A:$J,10,FALSE()),FALSE()))</f>
        <v/>
      </c>
      <c r="L395" s="97" t="str">
        <f aca="false">IF($D395="","",IFERROR(VLOOKUP($D395,PLANI_LLOGARIVE!$A:$G,7,FALSE()),"NUK EKZISTON"))</f>
        <v/>
      </c>
      <c r="M395" s="98" t="str">
        <f aca="false">IF($D395="","",IF(COUNTIF(PLANI_LLOGARIVE!$A:$A,$D395)=0,"ERROR - llogaria nuk ekziston",IF($K395=TRUE(),"OK","ERROR - llogari jo-postuese/Header")))</f>
        <v/>
      </c>
      <c r="N395" s="99" t="str">
        <f aca="false">IF(TRIM($C395)="","",IF(ABS(SUMIFS($F:$F,$C:$C,TRIM($C395))-SUMIFS($G:$G,$C:$C,TRIM($C395)))&lt;0.005,"OK","ERROR - debi/kredi"))</f>
        <v/>
      </c>
      <c r="O395" s="88"/>
      <c r="P395" s="88"/>
      <c r="Q395" s="88"/>
      <c r="R395" s="88"/>
      <c r="S395" s="100" t="str">
        <f aca="false">IF(D395="","",LEFT(D395&amp;"",2))</f>
        <v/>
      </c>
      <c r="T395" s="101" t="str">
        <f aca="false">IF(D395="","",LEFT(D395&amp;"",3))</f>
        <v/>
      </c>
    </row>
    <row r="396" customFormat="false" ht="14.25" hidden="false" customHeight="true" outlineLevel="0" collapsed="false">
      <c r="A396" s="89"/>
      <c r="B396" s="90"/>
      <c r="C396" s="90"/>
      <c r="D396" s="90"/>
      <c r="E396" s="91" t="str">
        <f aca="false">IFERROR(VLOOKUP(D396,PLANI_LLOGARIVE!$A:$B,2,FALSE()),"")</f>
        <v/>
      </c>
      <c r="F396" s="92"/>
      <c r="G396" s="93"/>
      <c r="H396" s="94"/>
      <c r="I396" s="95"/>
      <c r="J396" s="96" t="str">
        <f aca="false">IF(TRIM($C396)="","",IF($M396&lt;&gt;"OK",$M396,IF(ABS(SUMIFS($F:$F,$C:$C,TRIM($C396))-SUMIFS($G:$G,$C:$C,TRIM($C396)))&lt;0.005,"OK","ERROR - veprimi nuk balancohet")))</f>
        <v/>
      </c>
      <c r="K396" s="97" t="str">
        <f aca="false">IF($D396="","",IFERROR(VLOOKUP($D396,PLANI_LLOGARIVE!$A:$J,10,FALSE()),FALSE()))</f>
        <v/>
      </c>
      <c r="L396" s="97" t="str">
        <f aca="false">IF($D396="","",IFERROR(VLOOKUP($D396,PLANI_LLOGARIVE!$A:$G,7,FALSE()),"NUK EKZISTON"))</f>
        <v/>
      </c>
      <c r="M396" s="98" t="str">
        <f aca="false">IF($D396="","",IF(COUNTIF(PLANI_LLOGARIVE!$A:$A,$D396)=0,"ERROR - llogaria nuk ekziston",IF($K396=TRUE(),"OK","ERROR - llogari jo-postuese/Header")))</f>
        <v/>
      </c>
      <c r="N396" s="99" t="str">
        <f aca="false">IF(TRIM($C396)="","",IF(ABS(SUMIFS($F:$F,$C:$C,TRIM($C396))-SUMIFS($G:$G,$C:$C,TRIM($C396)))&lt;0.005,"OK","ERROR - debi/kredi"))</f>
        <v/>
      </c>
      <c r="O396" s="88"/>
      <c r="P396" s="88"/>
      <c r="Q396" s="88"/>
      <c r="R396" s="88"/>
      <c r="S396" s="100" t="str">
        <f aca="false">IF(D396="","",LEFT(D396&amp;"",2))</f>
        <v/>
      </c>
      <c r="T396" s="101" t="str">
        <f aca="false">IF(D396="","",LEFT(D396&amp;"",3))</f>
        <v/>
      </c>
    </row>
    <row r="397" customFormat="false" ht="14.25" hidden="false" customHeight="true" outlineLevel="0" collapsed="false">
      <c r="A397" s="89"/>
      <c r="B397" s="90"/>
      <c r="C397" s="90"/>
      <c r="D397" s="90"/>
      <c r="E397" s="91" t="str">
        <f aca="false">IFERROR(VLOOKUP(D397,PLANI_LLOGARIVE!$A:$B,2,FALSE()),"")</f>
        <v/>
      </c>
      <c r="F397" s="92"/>
      <c r="G397" s="93"/>
      <c r="H397" s="94"/>
      <c r="I397" s="95"/>
      <c r="J397" s="96" t="str">
        <f aca="false">IF(TRIM($C397)="","",IF($M397&lt;&gt;"OK",$M397,IF(ABS(SUMIFS($F:$F,$C:$C,TRIM($C397))-SUMIFS($G:$G,$C:$C,TRIM($C397)))&lt;0.005,"OK","ERROR - veprimi nuk balancohet")))</f>
        <v/>
      </c>
      <c r="K397" s="97" t="str">
        <f aca="false">IF($D397="","",IFERROR(VLOOKUP($D397,PLANI_LLOGARIVE!$A:$J,10,FALSE()),FALSE()))</f>
        <v/>
      </c>
      <c r="L397" s="97" t="str">
        <f aca="false">IF($D397="","",IFERROR(VLOOKUP($D397,PLANI_LLOGARIVE!$A:$G,7,FALSE()),"NUK EKZISTON"))</f>
        <v/>
      </c>
      <c r="M397" s="98" t="str">
        <f aca="false">IF($D397="","",IF(COUNTIF(PLANI_LLOGARIVE!$A:$A,$D397)=0,"ERROR - llogaria nuk ekziston",IF($K397=TRUE(),"OK","ERROR - llogari jo-postuese/Header")))</f>
        <v/>
      </c>
      <c r="N397" s="99" t="str">
        <f aca="false">IF(TRIM($C397)="","",IF(ABS(SUMIFS($F:$F,$C:$C,TRIM($C397))-SUMIFS($G:$G,$C:$C,TRIM($C397)))&lt;0.005,"OK","ERROR - debi/kredi"))</f>
        <v/>
      </c>
      <c r="O397" s="88"/>
      <c r="P397" s="88"/>
      <c r="Q397" s="88"/>
      <c r="R397" s="88"/>
      <c r="S397" s="100" t="str">
        <f aca="false">IF(D397="","",LEFT(D397&amp;"",2))</f>
        <v/>
      </c>
      <c r="T397" s="101" t="str">
        <f aca="false">IF(D397="","",LEFT(D397&amp;"",3))</f>
        <v/>
      </c>
    </row>
    <row r="398" customFormat="false" ht="14.25" hidden="false" customHeight="true" outlineLevel="0" collapsed="false">
      <c r="A398" s="89"/>
      <c r="B398" s="90"/>
      <c r="C398" s="90"/>
      <c r="D398" s="90"/>
      <c r="E398" s="91" t="str">
        <f aca="false">IFERROR(VLOOKUP(D398,PLANI_LLOGARIVE!$A:$B,2,FALSE()),"")</f>
        <v/>
      </c>
      <c r="F398" s="92"/>
      <c r="G398" s="93"/>
      <c r="H398" s="94"/>
      <c r="I398" s="95"/>
      <c r="J398" s="96" t="str">
        <f aca="false">IF(TRIM($C398)="","",IF($M398&lt;&gt;"OK",$M398,IF(ABS(SUMIFS($F:$F,$C:$C,TRIM($C398))-SUMIFS($G:$G,$C:$C,TRIM($C398)))&lt;0.005,"OK","ERROR - veprimi nuk balancohet")))</f>
        <v/>
      </c>
      <c r="K398" s="97" t="str">
        <f aca="false">IF($D398="","",IFERROR(VLOOKUP($D398,PLANI_LLOGARIVE!$A:$J,10,FALSE()),FALSE()))</f>
        <v/>
      </c>
      <c r="L398" s="97" t="str">
        <f aca="false">IF($D398="","",IFERROR(VLOOKUP($D398,PLANI_LLOGARIVE!$A:$G,7,FALSE()),"NUK EKZISTON"))</f>
        <v/>
      </c>
      <c r="M398" s="98" t="str">
        <f aca="false">IF($D398="","",IF(COUNTIF(PLANI_LLOGARIVE!$A:$A,$D398)=0,"ERROR - llogaria nuk ekziston",IF($K398=TRUE(),"OK","ERROR - llogari jo-postuese/Header")))</f>
        <v/>
      </c>
      <c r="N398" s="99" t="str">
        <f aca="false">IF(TRIM($C398)="","",IF(ABS(SUMIFS($F:$F,$C:$C,TRIM($C398))-SUMIFS($G:$G,$C:$C,TRIM($C398)))&lt;0.005,"OK","ERROR - debi/kredi"))</f>
        <v/>
      </c>
      <c r="O398" s="88"/>
      <c r="P398" s="88"/>
      <c r="Q398" s="88"/>
      <c r="R398" s="88"/>
      <c r="S398" s="100" t="str">
        <f aca="false">IF(D398="","",LEFT(D398&amp;"",2))</f>
        <v/>
      </c>
      <c r="T398" s="101" t="str">
        <f aca="false">IF(D398="","",LEFT(D398&amp;"",3))</f>
        <v/>
      </c>
    </row>
    <row r="399" customFormat="false" ht="14.25" hidden="false" customHeight="true" outlineLevel="0" collapsed="false">
      <c r="A399" s="89"/>
      <c r="B399" s="90"/>
      <c r="C399" s="90"/>
      <c r="D399" s="90"/>
      <c r="E399" s="91" t="str">
        <f aca="false">IFERROR(VLOOKUP(D399,PLANI_LLOGARIVE!$A:$B,2,FALSE()),"")</f>
        <v/>
      </c>
      <c r="F399" s="92"/>
      <c r="G399" s="93"/>
      <c r="H399" s="94"/>
      <c r="I399" s="95"/>
      <c r="J399" s="96" t="str">
        <f aca="false">IF(TRIM($C399)="","",IF($M399&lt;&gt;"OK",$M399,IF(ABS(SUMIFS($F:$F,$C:$C,TRIM($C399))-SUMIFS($G:$G,$C:$C,TRIM($C399)))&lt;0.005,"OK","ERROR - veprimi nuk balancohet")))</f>
        <v/>
      </c>
      <c r="K399" s="97" t="str">
        <f aca="false">IF($D399="","",IFERROR(VLOOKUP($D399,PLANI_LLOGARIVE!$A:$J,10,FALSE()),FALSE()))</f>
        <v/>
      </c>
      <c r="L399" s="97" t="str">
        <f aca="false">IF($D399="","",IFERROR(VLOOKUP($D399,PLANI_LLOGARIVE!$A:$G,7,FALSE()),"NUK EKZISTON"))</f>
        <v/>
      </c>
      <c r="M399" s="98" t="str">
        <f aca="false">IF($D399="","",IF(COUNTIF(PLANI_LLOGARIVE!$A:$A,$D399)=0,"ERROR - llogaria nuk ekziston",IF($K399=TRUE(),"OK","ERROR - llogari jo-postuese/Header")))</f>
        <v/>
      </c>
      <c r="N399" s="99" t="str">
        <f aca="false">IF(TRIM($C399)="","",IF(ABS(SUMIFS($F:$F,$C:$C,TRIM($C399))-SUMIFS($G:$G,$C:$C,TRIM($C399)))&lt;0.005,"OK","ERROR - debi/kredi"))</f>
        <v/>
      </c>
      <c r="O399" s="88"/>
      <c r="P399" s="88"/>
      <c r="Q399" s="88"/>
      <c r="R399" s="88"/>
      <c r="S399" s="100" t="str">
        <f aca="false">IF(D399="","",LEFT(D399&amp;"",2))</f>
        <v/>
      </c>
      <c r="T399" s="101" t="str">
        <f aca="false">IF(D399="","",LEFT(D399&amp;"",3))</f>
        <v/>
      </c>
    </row>
    <row r="400" customFormat="false" ht="14.25" hidden="false" customHeight="true" outlineLevel="0" collapsed="false">
      <c r="A400" s="89"/>
      <c r="B400" s="90"/>
      <c r="C400" s="90"/>
      <c r="D400" s="90"/>
      <c r="E400" s="91" t="str">
        <f aca="false">IFERROR(VLOOKUP(D400,PLANI_LLOGARIVE!$A:$B,2,FALSE()),"")</f>
        <v/>
      </c>
      <c r="F400" s="92"/>
      <c r="G400" s="93"/>
      <c r="H400" s="94"/>
      <c r="I400" s="95"/>
      <c r="J400" s="96" t="str">
        <f aca="false">IF(TRIM($C400)="","",IF($M400&lt;&gt;"OK",$M400,IF(ABS(SUMIFS($F:$F,$C:$C,TRIM($C400))-SUMIFS($G:$G,$C:$C,TRIM($C400)))&lt;0.005,"OK","ERROR - veprimi nuk balancohet")))</f>
        <v/>
      </c>
      <c r="K400" s="97" t="str">
        <f aca="false">IF($D400="","",IFERROR(VLOOKUP($D400,PLANI_LLOGARIVE!$A:$J,10,FALSE()),FALSE()))</f>
        <v/>
      </c>
      <c r="L400" s="97" t="str">
        <f aca="false">IF($D400="","",IFERROR(VLOOKUP($D400,PLANI_LLOGARIVE!$A:$G,7,FALSE()),"NUK EKZISTON"))</f>
        <v/>
      </c>
      <c r="M400" s="98" t="str">
        <f aca="false">IF($D400="","",IF(COUNTIF(PLANI_LLOGARIVE!$A:$A,$D400)=0,"ERROR - llogaria nuk ekziston",IF($K400=TRUE(),"OK","ERROR - llogari jo-postuese/Header")))</f>
        <v/>
      </c>
      <c r="N400" s="99" t="str">
        <f aca="false">IF(TRIM($C400)="","",IF(ABS(SUMIFS($F:$F,$C:$C,TRIM($C400))-SUMIFS($G:$G,$C:$C,TRIM($C400)))&lt;0.005,"OK","ERROR - debi/kredi"))</f>
        <v/>
      </c>
      <c r="O400" s="88"/>
      <c r="P400" s="88"/>
      <c r="Q400" s="88"/>
      <c r="R400" s="88"/>
      <c r="S400" s="100" t="str">
        <f aca="false">IF(D400="","",LEFT(D400&amp;"",2))</f>
        <v/>
      </c>
      <c r="T400" s="101" t="str">
        <f aca="false">IF(D400="","",LEFT(D400&amp;"",3))</f>
        <v/>
      </c>
    </row>
    <row r="401" customFormat="false" ht="14.25" hidden="false" customHeight="true" outlineLevel="0" collapsed="false">
      <c r="A401" s="105" t="str">
        <f aca="false">IF(AND(MBYLLJA_6_7_AUTO!$B$8="PO",POSTIM_NE_DITAR!$D$86&lt;&gt;""),POSTIM_NE_DITAR!A$86,"")</f>
        <v/>
      </c>
      <c r="B401" s="106" t="str">
        <f aca="false">IF(AND(MBYLLJA_6_7_AUTO!$B$8="PO",POSTIM_NE_DITAR!$D$86&lt;&gt;""),POSTIM_NE_DITAR!B$86,"")</f>
        <v/>
      </c>
      <c r="C401" s="106" t="str">
        <f aca="false">IF(AND(MBYLLJA_6_7_AUTO!$B$8="PO",POSTIM_NE_DITAR!$D$86&lt;&gt;""),POSTIM_NE_DITAR!C$86,"")</f>
        <v/>
      </c>
      <c r="D401" s="106" t="str">
        <f aca="false">IF(AND(MBYLLJA_6_7_AUTO!$B$8="PO",POSTIM_NE_DITAR!$D$86&lt;&gt;""),POSTIM_NE_DITAR!D$86,"")</f>
        <v/>
      </c>
      <c r="E401" s="91" t="str">
        <f aca="false">IF(AND(MBYLLJA_6_7_AUTO!$B$8="PO",POSTIM_NE_DITAR!$D$86&lt;&gt;""),POSTIM_NE_DITAR!E$86,"")</f>
        <v/>
      </c>
      <c r="F401" s="107" t="str">
        <f aca="false">IF(AND(MBYLLJA_6_7_AUTO!$B$8="PO",POSTIM_NE_DITAR!$D$86&lt;&gt;""),POSTIM_NE_DITAR!F$86,"")</f>
        <v/>
      </c>
      <c r="G401" s="108" t="str">
        <f aca="false">IF(AND(MBYLLJA_6_7_AUTO!$B$8="PO",POSTIM_NE_DITAR!$D$86&lt;&gt;""),POSTIM_NE_DITAR!G$86,"")</f>
        <v/>
      </c>
      <c r="H401" s="109" t="str">
        <f aca="false">IF(AND(MBYLLJA_6_7_AUTO!$B$8="PO",POSTIM_NE_DITAR!$D$86&lt;&gt;""),POSTIM_NE_DITAR!H$86,"")</f>
        <v/>
      </c>
      <c r="I401" s="110" t="str">
        <f aca="false">IF(AND(MBYLLJA_6_7_AUTO!$B$8="PO",POSTIM_NE_DITAR!$D$86&lt;&gt;""),POSTIM_NE_DITAR!I$86,"")</f>
        <v/>
      </c>
      <c r="J401" s="96" t="str">
        <f aca="false">IF(TRIM($C401)="","",IF($M401&lt;&gt;"OK",$M401,IF(ABS(SUMIFS($F:$F,$C:$C,TRIM($C401))-SUMIFS($G:$G,$C:$C,TRIM($C401)))&lt;0.005,"OK","ERROR - veprimi nuk balancohet")))</f>
        <v/>
      </c>
      <c r="K401" s="97" t="str">
        <f aca="false">IF($D401="","",IFERROR(VLOOKUP($D401,PLANI_LLOGARIVE!$A:$J,10,FALSE()),FALSE()))</f>
        <v/>
      </c>
      <c r="L401" s="97" t="str">
        <f aca="false">IF($D401="","",IFERROR(VLOOKUP($D401,PLANI_LLOGARIVE!$A:$G,7,FALSE()),"NUK EKZISTON"))</f>
        <v/>
      </c>
      <c r="M401" s="98" t="str">
        <f aca="false">IF($D401="","",IF(COUNTIF(PLANI_LLOGARIVE!$A:$A,$D401)=0,"ERROR - llogaria nuk ekziston",IF($K401=TRUE(),"OK","ERROR - llogari jo-postuese/Header")))</f>
        <v/>
      </c>
      <c r="N401" s="99" t="str">
        <f aca="false">IF(TRIM($C401)="","",IF(ABS(SUMIFS($F:$F,$C:$C,TRIM($C401))-SUMIFS($G:$G,$C:$C,TRIM($C401)))&lt;0.005,"OK","ERROR - debi/kredi"))</f>
        <v/>
      </c>
      <c r="O401" s="88"/>
      <c r="P401" s="88"/>
      <c r="Q401" s="88"/>
      <c r="R401" s="88"/>
      <c r="S401" s="100" t="str">
        <f aca="false">IF(D401="","",LEFT(D401&amp;"",2))</f>
        <v/>
      </c>
      <c r="T401" s="101" t="str">
        <f aca="false">IF(D401="","",LEFT(D401&amp;"",3))</f>
        <v/>
      </c>
    </row>
    <row r="402" customFormat="false" ht="14.25" hidden="false" customHeight="true" outlineLevel="0" collapsed="false">
      <c r="A402" s="105" t="str">
        <f aca="false">IF(AND(MBYLLJA_6_7_AUTO!$B$8="PO",POSTIM_NE_DITAR!$D$87&lt;&gt;""),POSTIM_NE_DITAR!A$87,"")</f>
        <v/>
      </c>
      <c r="B402" s="106" t="str">
        <f aca="false">IF(AND(MBYLLJA_6_7_AUTO!$B$8="PO",POSTIM_NE_DITAR!$D$87&lt;&gt;""),POSTIM_NE_DITAR!B$87,"")</f>
        <v/>
      </c>
      <c r="C402" s="106" t="str">
        <f aca="false">IF(AND(MBYLLJA_6_7_AUTO!$B$8="PO",POSTIM_NE_DITAR!$D$87&lt;&gt;""),POSTIM_NE_DITAR!C$87,"")</f>
        <v/>
      </c>
      <c r="D402" s="106" t="str">
        <f aca="false">IF(AND(MBYLLJA_6_7_AUTO!$B$8="PO",POSTIM_NE_DITAR!$D$87&lt;&gt;""),POSTIM_NE_DITAR!D$87,"")</f>
        <v/>
      </c>
      <c r="E402" s="91" t="str">
        <f aca="false">IF(AND(MBYLLJA_6_7_AUTO!$B$8="PO",POSTIM_NE_DITAR!$D$87&lt;&gt;""),POSTIM_NE_DITAR!E$87,"")</f>
        <v/>
      </c>
      <c r="F402" s="107" t="str">
        <f aca="false">IF(AND(MBYLLJA_6_7_AUTO!$B$8="PO",POSTIM_NE_DITAR!$D$87&lt;&gt;""),POSTIM_NE_DITAR!F$87,"")</f>
        <v/>
      </c>
      <c r="G402" s="108" t="str">
        <f aca="false">IF(AND(MBYLLJA_6_7_AUTO!$B$8="PO",POSTIM_NE_DITAR!$D$87&lt;&gt;""),POSTIM_NE_DITAR!G$87,"")</f>
        <v/>
      </c>
      <c r="H402" s="109" t="str">
        <f aca="false">IF(AND(MBYLLJA_6_7_AUTO!$B$8="PO",POSTIM_NE_DITAR!$D$87&lt;&gt;""),POSTIM_NE_DITAR!H$87,"")</f>
        <v/>
      </c>
      <c r="I402" s="110" t="str">
        <f aca="false">IF(AND(MBYLLJA_6_7_AUTO!$B$8="PO",POSTIM_NE_DITAR!$D$87&lt;&gt;""),POSTIM_NE_DITAR!I$87,"")</f>
        <v/>
      </c>
      <c r="J402" s="96" t="str">
        <f aca="false">IF(TRIM($C402)="","",IF($M402&lt;&gt;"OK",$M402,IF(ABS(SUMIFS($F:$F,$C:$C,TRIM($C402))-SUMIFS($G:$G,$C:$C,TRIM($C402)))&lt;0.005,"OK","ERROR - veprimi nuk balancohet")))</f>
        <v/>
      </c>
      <c r="K402" s="97" t="str">
        <f aca="false">IF($D402="","",IFERROR(VLOOKUP($D402,PLANI_LLOGARIVE!$A:$J,10,FALSE()),FALSE()))</f>
        <v/>
      </c>
      <c r="L402" s="97" t="str">
        <f aca="false">IF($D402="","",IFERROR(VLOOKUP($D402,PLANI_LLOGARIVE!$A:$G,7,FALSE()),"NUK EKZISTON"))</f>
        <v/>
      </c>
      <c r="M402" s="98" t="str">
        <f aca="false">IF($D402="","",IF(COUNTIF(PLANI_LLOGARIVE!$A:$A,$D402)=0,"ERROR - llogaria nuk ekziston",IF($K402=TRUE(),"OK","ERROR - llogari jo-postuese/Header")))</f>
        <v/>
      </c>
      <c r="N402" s="99" t="str">
        <f aca="false">IF(TRIM($C402)="","",IF(ABS(SUMIFS($F:$F,$C:$C,TRIM($C402))-SUMIFS($G:$G,$C:$C,TRIM($C402)))&lt;0.005,"OK","ERROR - debi/kredi"))</f>
        <v/>
      </c>
      <c r="O402" s="88"/>
      <c r="P402" s="88"/>
      <c r="Q402" s="88"/>
      <c r="R402" s="88"/>
      <c r="S402" s="100" t="str">
        <f aca="false">IF(D402="","",LEFT(D402&amp;"",2))</f>
        <v/>
      </c>
      <c r="T402" s="101" t="str">
        <f aca="false">IF(D402="","",LEFT(D402&amp;"",3))</f>
        <v/>
      </c>
    </row>
    <row r="403" customFormat="false" ht="14.25" hidden="false" customHeight="true" outlineLevel="0" collapsed="false">
      <c r="A403" s="105" t="str">
        <f aca="false">IF(AND(MBYLLJA_6_7_AUTO!$B$8="PO",POSTIM_NE_DITAR!$D$88&lt;&gt;""),POSTIM_NE_DITAR!A$88,"")</f>
        <v/>
      </c>
      <c r="B403" s="106" t="str">
        <f aca="false">IF(AND(MBYLLJA_6_7_AUTO!$B$8="PO",POSTIM_NE_DITAR!$D$88&lt;&gt;""),POSTIM_NE_DITAR!B$88,"")</f>
        <v/>
      </c>
      <c r="C403" s="106" t="str">
        <f aca="false">IF(AND(MBYLLJA_6_7_AUTO!$B$8="PO",POSTIM_NE_DITAR!$D$88&lt;&gt;""),POSTIM_NE_DITAR!C$88,"")</f>
        <v/>
      </c>
      <c r="D403" s="106" t="str">
        <f aca="false">IF(AND(MBYLLJA_6_7_AUTO!$B$8="PO",POSTIM_NE_DITAR!$D$88&lt;&gt;""),POSTIM_NE_DITAR!D$88,"")</f>
        <v/>
      </c>
      <c r="E403" s="91" t="str">
        <f aca="false">IF(AND(MBYLLJA_6_7_AUTO!$B$8="PO",POSTIM_NE_DITAR!$D$88&lt;&gt;""),POSTIM_NE_DITAR!E$88,"")</f>
        <v/>
      </c>
      <c r="F403" s="107" t="str">
        <f aca="false">IF(AND(MBYLLJA_6_7_AUTO!$B$8="PO",POSTIM_NE_DITAR!$D$88&lt;&gt;""),POSTIM_NE_DITAR!F$88,"")</f>
        <v/>
      </c>
      <c r="G403" s="108" t="str">
        <f aca="false">IF(AND(MBYLLJA_6_7_AUTO!$B$8="PO",POSTIM_NE_DITAR!$D$88&lt;&gt;""),POSTIM_NE_DITAR!G$88,"")</f>
        <v/>
      </c>
      <c r="H403" s="109" t="str">
        <f aca="false">IF(AND(MBYLLJA_6_7_AUTO!$B$8="PO",POSTIM_NE_DITAR!$D$88&lt;&gt;""),POSTIM_NE_DITAR!H$88,"")</f>
        <v/>
      </c>
      <c r="I403" s="110" t="str">
        <f aca="false">IF(AND(MBYLLJA_6_7_AUTO!$B$8="PO",POSTIM_NE_DITAR!$D$88&lt;&gt;""),POSTIM_NE_DITAR!I$88,"")</f>
        <v/>
      </c>
      <c r="J403" s="96" t="str">
        <f aca="false">IF(TRIM($C403)="","",IF($M403&lt;&gt;"OK",$M403,IF(ABS(SUMIFS($F:$F,$C:$C,TRIM($C403))-SUMIFS($G:$G,$C:$C,TRIM($C403)))&lt;0.005,"OK","ERROR - veprimi nuk balancohet")))</f>
        <v/>
      </c>
      <c r="K403" s="97" t="str">
        <f aca="false">IF($D403="","",IFERROR(VLOOKUP($D403,PLANI_LLOGARIVE!$A:$J,10,FALSE()),FALSE()))</f>
        <v/>
      </c>
      <c r="L403" s="97" t="str">
        <f aca="false">IF($D403="","",IFERROR(VLOOKUP($D403,PLANI_LLOGARIVE!$A:$G,7,FALSE()),"NUK EKZISTON"))</f>
        <v/>
      </c>
      <c r="M403" s="98" t="str">
        <f aca="false">IF($D403="","",IF(COUNTIF(PLANI_LLOGARIVE!$A:$A,$D403)=0,"ERROR - llogaria nuk ekziston",IF($K403=TRUE(),"OK","ERROR - llogari jo-postuese/Header")))</f>
        <v/>
      </c>
      <c r="N403" s="99" t="str">
        <f aca="false">IF(TRIM($C403)="","",IF(ABS(SUMIFS($F:$F,$C:$C,TRIM($C403))-SUMIFS($G:$G,$C:$C,TRIM($C403)))&lt;0.005,"OK","ERROR - debi/kredi"))</f>
        <v/>
      </c>
      <c r="O403" s="88"/>
      <c r="P403" s="88"/>
      <c r="Q403" s="88"/>
      <c r="R403" s="88"/>
      <c r="S403" s="100" t="str">
        <f aca="false">IF(D403="","",LEFT(D403&amp;"",2))</f>
        <v/>
      </c>
      <c r="T403" s="101" t="str">
        <f aca="false">IF(D403="","",LEFT(D403&amp;"",3))</f>
        <v/>
      </c>
    </row>
    <row r="404" customFormat="false" ht="14.25" hidden="false" customHeight="true" outlineLevel="0" collapsed="false">
      <c r="A404" s="105" t="str">
        <f aca="false">IF(AND(MBYLLJA_6_7_AUTO!$B$8="PO",POSTIM_NE_DITAR!$D$89&lt;&gt;""),POSTIM_NE_DITAR!A$89,"")</f>
        <v/>
      </c>
      <c r="B404" s="106" t="str">
        <f aca="false">IF(AND(MBYLLJA_6_7_AUTO!$B$8="PO",POSTIM_NE_DITAR!$D$89&lt;&gt;""),POSTIM_NE_DITAR!B$89,"")</f>
        <v/>
      </c>
      <c r="C404" s="106" t="str">
        <f aca="false">IF(AND(MBYLLJA_6_7_AUTO!$B$8="PO",POSTIM_NE_DITAR!$D$89&lt;&gt;""),POSTIM_NE_DITAR!C$89,"")</f>
        <v/>
      </c>
      <c r="D404" s="106" t="str">
        <f aca="false">IF(AND(MBYLLJA_6_7_AUTO!$B$8="PO",POSTIM_NE_DITAR!$D$89&lt;&gt;""),POSTIM_NE_DITAR!D$89,"")</f>
        <v/>
      </c>
      <c r="E404" s="91" t="str">
        <f aca="false">IF(AND(MBYLLJA_6_7_AUTO!$B$8="PO",POSTIM_NE_DITAR!$D$89&lt;&gt;""),POSTIM_NE_DITAR!E$89,"")</f>
        <v/>
      </c>
      <c r="F404" s="107" t="str">
        <f aca="false">IF(AND(MBYLLJA_6_7_AUTO!$B$8="PO",POSTIM_NE_DITAR!$D$89&lt;&gt;""),POSTIM_NE_DITAR!F$89,"")</f>
        <v/>
      </c>
      <c r="G404" s="108" t="str">
        <f aca="false">IF(AND(MBYLLJA_6_7_AUTO!$B$8="PO",POSTIM_NE_DITAR!$D$89&lt;&gt;""),POSTIM_NE_DITAR!G$89,"")</f>
        <v/>
      </c>
      <c r="H404" s="109" t="str">
        <f aca="false">IF(AND(MBYLLJA_6_7_AUTO!$B$8="PO",POSTIM_NE_DITAR!$D$89&lt;&gt;""),POSTIM_NE_DITAR!H$89,"")</f>
        <v/>
      </c>
      <c r="I404" s="110" t="str">
        <f aca="false">IF(AND(MBYLLJA_6_7_AUTO!$B$8="PO",POSTIM_NE_DITAR!$D$89&lt;&gt;""),POSTIM_NE_DITAR!I$89,"")</f>
        <v/>
      </c>
      <c r="J404" s="96" t="str">
        <f aca="false">IF(TRIM($C404)="","",IF($M404&lt;&gt;"OK",$M404,IF(ABS(SUMIFS($F:$F,$C:$C,TRIM($C404))-SUMIFS($G:$G,$C:$C,TRIM($C404)))&lt;0.005,"OK","ERROR - veprimi nuk balancohet")))</f>
        <v/>
      </c>
      <c r="K404" s="97" t="str">
        <f aca="false">IF($D404="","",IFERROR(VLOOKUP($D404,PLANI_LLOGARIVE!$A:$J,10,FALSE()),FALSE()))</f>
        <v/>
      </c>
      <c r="L404" s="97" t="str">
        <f aca="false">IF($D404="","",IFERROR(VLOOKUP($D404,PLANI_LLOGARIVE!$A:$G,7,FALSE()),"NUK EKZISTON"))</f>
        <v/>
      </c>
      <c r="M404" s="98" t="str">
        <f aca="false">IF($D404="","",IF(COUNTIF(PLANI_LLOGARIVE!$A:$A,$D404)=0,"ERROR - llogaria nuk ekziston",IF($K404=TRUE(),"OK","ERROR - llogari jo-postuese/Header")))</f>
        <v/>
      </c>
      <c r="N404" s="99" t="str">
        <f aca="false">IF(TRIM($C404)="","",IF(ABS(SUMIFS($F:$F,$C:$C,TRIM($C404))-SUMIFS($G:$G,$C:$C,TRIM($C404)))&lt;0.005,"OK","ERROR - debi/kredi"))</f>
        <v/>
      </c>
      <c r="O404" s="88"/>
      <c r="P404" s="88"/>
      <c r="Q404" s="88"/>
      <c r="R404" s="88"/>
      <c r="S404" s="100" t="str">
        <f aca="false">IF(D404="","",LEFT(D404&amp;"",2))</f>
        <v/>
      </c>
      <c r="T404" s="101" t="str">
        <f aca="false">IF(D404="","",LEFT(D404&amp;"",3))</f>
        <v/>
      </c>
    </row>
    <row r="405" customFormat="false" ht="14.25" hidden="false" customHeight="true" outlineLevel="0" collapsed="false">
      <c r="A405" s="111" t="str">
        <f aca="false">IF(AND(MBYLLJA_6_7_AUTO!$B$8="PO",POSTIM_NE_DITAR!$D$90&lt;&gt;""),POSTIM_NE_DITAR!A$90,"")</f>
        <v/>
      </c>
      <c r="B405" s="112" t="str">
        <f aca="false">IF(AND(MBYLLJA_6_7_AUTO!$B$8="PO",POSTIM_NE_DITAR!$D$90&lt;&gt;""),POSTIM_NE_DITAR!B$90,"")</f>
        <v/>
      </c>
      <c r="C405" s="112" t="str">
        <f aca="false">IF(AND(MBYLLJA_6_7_AUTO!$B$8="PO",POSTIM_NE_DITAR!$D$90&lt;&gt;""),POSTIM_NE_DITAR!C$90,"")</f>
        <v/>
      </c>
      <c r="D405" s="112" t="str">
        <f aca="false">IF(AND(MBYLLJA_6_7_AUTO!$B$8="PO",POSTIM_NE_DITAR!$D$90&lt;&gt;""),POSTIM_NE_DITAR!D$90,"")</f>
        <v/>
      </c>
      <c r="E405" s="113" t="str">
        <f aca="false">IF(AND(MBYLLJA_6_7_AUTO!$B$8="PO",POSTIM_NE_DITAR!$D$90&lt;&gt;""),POSTIM_NE_DITAR!E$90,"")</f>
        <v/>
      </c>
      <c r="F405" s="114" t="str">
        <f aca="false">IF(AND(MBYLLJA_6_7_AUTO!$B$8="PO",POSTIM_NE_DITAR!$D$90&lt;&gt;""),POSTIM_NE_DITAR!F$90,"")</f>
        <v/>
      </c>
      <c r="G405" s="114" t="str">
        <f aca="false">IF(AND(MBYLLJA_6_7_AUTO!$B$8="PO",POSTIM_NE_DITAR!$D$90&lt;&gt;""),POSTIM_NE_DITAR!G$90,"")</f>
        <v/>
      </c>
      <c r="H405" s="112" t="str">
        <f aca="false">IF(AND(MBYLLJA_6_7_AUTO!$B$8="PO",POSTIM_NE_DITAR!$D$90&lt;&gt;""),POSTIM_NE_DITAR!H$90,"")</f>
        <v/>
      </c>
      <c r="I405" s="112" t="str">
        <f aca="false">IF(AND(MBYLLJA_6_7_AUTO!$B$8="PO",POSTIM_NE_DITAR!$D$90&lt;&gt;""),POSTIM_NE_DITAR!I$90,"")</f>
        <v/>
      </c>
      <c r="J405" s="113" t="str">
        <f aca="false">IF(TRIM($C405)="","",IF($M405&lt;&gt;"OK",$M405,IF(ABS(SUMIFS($F:$F,$C:$C,TRIM($C405))-SUMIFS($G:$G,$C:$C,TRIM($C405)))&lt;0.005,"OK","ERROR - veprimi nuk balancohet")))</f>
        <v/>
      </c>
      <c r="K405" s="115" t="str">
        <f aca="false">IF($D405="","",IFERROR(VLOOKUP($D405,PLANI_LLOGARIVE!$A:$J,10,FALSE()),FALSE()))</f>
        <v/>
      </c>
      <c r="L405" s="115" t="str">
        <f aca="false">IF($D405="","",IFERROR(VLOOKUP($D405,PLANI_LLOGARIVE!$A:$G,7,FALSE()),"NUK EKZISTON"))</f>
        <v/>
      </c>
      <c r="M405" s="115" t="str">
        <f aca="false">IF($D405="","",IF(COUNTIF(PLANI_LLOGARIVE!$A:$A,$D405)=0,"ERROR - llogaria nuk ekziston",IF($K405=TRUE(),"OK","ERROR - llogari jo-postuese/Header")))</f>
        <v/>
      </c>
      <c r="N405" s="115" t="str">
        <f aca="false">IF(TRIM($C405)="","",IF(ABS(SUMIFS($F:$F,$C:$C,TRIM($C405))-SUMIFS($G:$G,$C:$C,TRIM($C405)))&lt;0.005,"OK","ERROR - debi/kredi"))</f>
        <v/>
      </c>
      <c r="S405" s="116" t="str">
        <f aca="false">IF(D405="","",LEFT(D405&amp;"",2))</f>
        <v/>
      </c>
      <c r="T405" s="101" t="str">
        <f aca="false">IF(D405="","",LEFT(D405&amp;"",3))</f>
        <v/>
      </c>
    </row>
    <row r="406" customFormat="false" ht="14.25" hidden="false" customHeight="true" outlineLevel="0" collapsed="false">
      <c r="A406" s="111" t="str">
        <f aca="false">IF(AND(MBYLLJA_6_7_AUTO!$B$8="PO",POSTIM_NE_DITAR!$D$91&lt;&gt;""),POSTIM_NE_DITAR!A$91,"")</f>
        <v/>
      </c>
      <c r="B406" s="112" t="str">
        <f aca="false">IF(AND(MBYLLJA_6_7_AUTO!$B$8="PO",POSTIM_NE_DITAR!$D$91&lt;&gt;""),POSTIM_NE_DITAR!B$91,"")</f>
        <v/>
      </c>
      <c r="C406" s="112" t="str">
        <f aca="false">IF(AND(MBYLLJA_6_7_AUTO!$B$8="PO",POSTIM_NE_DITAR!$D$91&lt;&gt;""),POSTIM_NE_DITAR!C$91,"")</f>
        <v/>
      </c>
      <c r="D406" s="112" t="str">
        <f aca="false">IF(AND(MBYLLJA_6_7_AUTO!$B$8="PO",POSTIM_NE_DITAR!$D$91&lt;&gt;""),POSTIM_NE_DITAR!D$91,"")</f>
        <v/>
      </c>
      <c r="E406" s="113" t="str">
        <f aca="false">IF(AND(MBYLLJA_6_7_AUTO!$B$8="PO",POSTIM_NE_DITAR!$D$91&lt;&gt;""),POSTIM_NE_DITAR!E$91,"")</f>
        <v/>
      </c>
      <c r="F406" s="114" t="str">
        <f aca="false">IF(AND(MBYLLJA_6_7_AUTO!$B$8="PO",POSTIM_NE_DITAR!$D$91&lt;&gt;""),POSTIM_NE_DITAR!F$91,"")</f>
        <v/>
      </c>
      <c r="G406" s="114" t="str">
        <f aca="false">IF(AND(MBYLLJA_6_7_AUTO!$B$8="PO",POSTIM_NE_DITAR!$D$91&lt;&gt;""),POSTIM_NE_DITAR!G$91,"")</f>
        <v/>
      </c>
      <c r="H406" s="112" t="str">
        <f aca="false">IF(AND(MBYLLJA_6_7_AUTO!$B$8="PO",POSTIM_NE_DITAR!$D$91&lt;&gt;""),POSTIM_NE_DITAR!H$91,"")</f>
        <v/>
      </c>
      <c r="I406" s="112" t="str">
        <f aca="false">IF(AND(MBYLLJA_6_7_AUTO!$B$8="PO",POSTIM_NE_DITAR!$D$91&lt;&gt;""),POSTIM_NE_DITAR!I$91,"")</f>
        <v/>
      </c>
      <c r="J406" s="113" t="str">
        <f aca="false">IF(TRIM($C406)="","",IF($M406&lt;&gt;"OK",$M406,IF(ABS(SUMIFS($F:$F,$C:$C,TRIM($C406))-SUMIFS($G:$G,$C:$C,TRIM($C406)))&lt;0.005,"OK","ERROR - veprimi nuk balancohet")))</f>
        <v/>
      </c>
      <c r="K406" s="115" t="str">
        <f aca="false">IF($D406="","",IFERROR(VLOOKUP($D406,PLANI_LLOGARIVE!$A:$J,10,FALSE()),FALSE()))</f>
        <v/>
      </c>
      <c r="L406" s="115" t="str">
        <f aca="false">IF($D406="","",IFERROR(VLOOKUP($D406,PLANI_LLOGARIVE!$A:$G,7,FALSE()),"NUK EKZISTON"))</f>
        <v/>
      </c>
      <c r="M406" s="115" t="str">
        <f aca="false">IF($D406="","",IF(COUNTIF(PLANI_LLOGARIVE!$A:$A,$D406)=0,"ERROR - llogaria nuk ekziston",IF($K406=TRUE(),"OK","ERROR - llogari jo-postuese/Header")))</f>
        <v/>
      </c>
      <c r="N406" s="115" t="str">
        <f aca="false">IF(TRIM($C406)="","",IF(ABS(SUMIFS($F:$F,$C:$C,TRIM($C406))-SUMIFS($G:$G,$C:$C,TRIM($C406)))&lt;0.005,"OK","ERROR - debi/kredi"))</f>
        <v/>
      </c>
      <c r="S406" s="116" t="str">
        <f aca="false">IF(D406="","",LEFT(D406&amp;"",2))</f>
        <v/>
      </c>
      <c r="T406" s="101" t="str">
        <f aca="false">IF(D406="","",LEFT(D406&amp;"",3))</f>
        <v/>
      </c>
    </row>
    <row r="407" customFormat="false" ht="14.25" hidden="false" customHeight="true" outlineLevel="0" collapsed="false">
      <c r="A407" s="111" t="str">
        <f aca="false">IF(AND(MBYLLJA_6_7_AUTO!$B$8="PO",POSTIM_NE_DITAR!$D$92&lt;&gt;""),POSTIM_NE_DITAR!A$92,"")</f>
        <v/>
      </c>
      <c r="B407" s="112" t="str">
        <f aca="false">IF(AND(MBYLLJA_6_7_AUTO!$B$8="PO",POSTIM_NE_DITAR!$D$92&lt;&gt;""),POSTIM_NE_DITAR!B$92,"")</f>
        <v/>
      </c>
      <c r="C407" s="112" t="str">
        <f aca="false">IF(AND(MBYLLJA_6_7_AUTO!$B$8="PO",POSTIM_NE_DITAR!$D$92&lt;&gt;""),POSTIM_NE_DITAR!C$92,"")</f>
        <v/>
      </c>
      <c r="D407" s="112" t="str">
        <f aca="false">IF(AND(MBYLLJA_6_7_AUTO!$B$8="PO",POSTIM_NE_DITAR!$D$92&lt;&gt;""),POSTIM_NE_DITAR!D$92,"")</f>
        <v/>
      </c>
      <c r="E407" s="113" t="str">
        <f aca="false">IF(AND(MBYLLJA_6_7_AUTO!$B$8="PO",POSTIM_NE_DITAR!$D$92&lt;&gt;""),POSTIM_NE_DITAR!E$92,"")</f>
        <v/>
      </c>
      <c r="F407" s="114" t="str">
        <f aca="false">IF(AND(MBYLLJA_6_7_AUTO!$B$8="PO",POSTIM_NE_DITAR!$D$92&lt;&gt;""),POSTIM_NE_DITAR!F$92,"")</f>
        <v/>
      </c>
      <c r="G407" s="114" t="str">
        <f aca="false">IF(AND(MBYLLJA_6_7_AUTO!$B$8="PO",POSTIM_NE_DITAR!$D$92&lt;&gt;""),POSTIM_NE_DITAR!G$92,"")</f>
        <v/>
      </c>
      <c r="H407" s="112" t="str">
        <f aca="false">IF(AND(MBYLLJA_6_7_AUTO!$B$8="PO",POSTIM_NE_DITAR!$D$92&lt;&gt;""),POSTIM_NE_DITAR!H$92,"")</f>
        <v/>
      </c>
      <c r="I407" s="112" t="str">
        <f aca="false">IF(AND(MBYLLJA_6_7_AUTO!$B$8="PO",POSTIM_NE_DITAR!$D$92&lt;&gt;""),POSTIM_NE_DITAR!I$92,"")</f>
        <v/>
      </c>
      <c r="J407" s="113" t="str">
        <f aca="false">IF(TRIM($C407)="","",IF($M407&lt;&gt;"OK",$M407,IF(ABS(SUMIFS($F:$F,$C:$C,TRIM($C407))-SUMIFS($G:$G,$C:$C,TRIM($C407)))&lt;0.005,"OK","ERROR - veprimi nuk balancohet")))</f>
        <v/>
      </c>
      <c r="K407" s="115" t="str">
        <f aca="false">IF($D407="","",IFERROR(VLOOKUP($D407,PLANI_LLOGARIVE!$A:$J,10,FALSE()),FALSE()))</f>
        <v/>
      </c>
      <c r="L407" s="115" t="str">
        <f aca="false">IF($D407="","",IFERROR(VLOOKUP($D407,PLANI_LLOGARIVE!$A:$G,7,FALSE()),"NUK EKZISTON"))</f>
        <v/>
      </c>
      <c r="M407" s="115" t="str">
        <f aca="false">IF($D407="","",IF(COUNTIF(PLANI_LLOGARIVE!$A:$A,$D407)=0,"ERROR - llogaria nuk ekziston",IF($K407=TRUE(),"OK","ERROR - llogari jo-postuese/Header")))</f>
        <v/>
      </c>
      <c r="N407" s="115" t="str">
        <f aca="false">IF(TRIM($C407)="","",IF(ABS(SUMIFS($F:$F,$C:$C,TRIM($C407))-SUMIFS($G:$G,$C:$C,TRIM($C407)))&lt;0.005,"OK","ERROR - debi/kredi"))</f>
        <v/>
      </c>
      <c r="S407" s="116" t="str">
        <f aca="false">IF(D407="","",LEFT(D407&amp;"",2))</f>
        <v/>
      </c>
      <c r="T407" s="101" t="str">
        <f aca="false">IF(D407="","",LEFT(D407&amp;"",3))</f>
        <v/>
      </c>
    </row>
    <row r="408" customFormat="false" ht="14.25" hidden="false" customHeight="true" outlineLevel="0" collapsed="false">
      <c r="A408" s="111" t="str">
        <f aca="false">IF(AND(MBYLLJA_6_7_AUTO!$B$8="PO",POSTIM_NE_DITAR!$D$93&lt;&gt;""),POSTIM_NE_DITAR!A$93,"")</f>
        <v/>
      </c>
      <c r="B408" s="112" t="str">
        <f aca="false">IF(AND(MBYLLJA_6_7_AUTO!$B$8="PO",POSTIM_NE_DITAR!$D$93&lt;&gt;""),POSTIM_NE_DITAR!B$93,"")</f>
        <v/>
      </c>
      <c r="C408" s="112" t="str">
        <f aca="false">IF(AND(MBYLLJA_6_7_AUTO!$B$8="PO",POSTIM_NE_DITAR!$D$93&lt;&gt;""),POSTIM_NE_DITAR!C$93,"")</f>
        <v/>
      </c>
      <c r="D408" s="112" t="str">
        <f aca="false">IF(AND(MBYLLJA_6_7_AUTO!$B$8="PO",POSTIM_NE_DITAR!$D$93&lt;&gt;""),POSTIM_NE_DITAR!D$93,"")</f>
        <v/>
      </c>
      <c r="E408" s="113" t="str">
        <f aca="false">IF(AND(MBYLLJA_6_7_AUTO!$B$8="PO",POSTIM_NE_DITAR!$D$93&lt;&gt;""),POSTIM_NE_DITAR!E$93,"")</f>
        <v/>
      </c>
      <c r="F408" s="114" t="str">
        <f aca="false">IF(AND(MBYLLJA_6_7_AUTO!$B$8="PO",POSTIM_NE_DITAR!$D$93&lt;&gt;""),POSTIM_NE_DITAR!F$93,"")</f>
        <v/>
      </c>
      <c r="G408" s="114" t="str">
        <f aca="false">IF(AND(MBYLLJA_6_7_AUTO!$B$8="PO",POSTIM_NE_DITAR!$D$93&lt;&gt;""),POSTIM_NE_DITAR!G$93,"")</f>
        <v/>
      </c>
      <c r="H408" s="112" t="str">
        <f aca="false">IF(AND(MBYLLJA_6_7_AUTO!$B$8="PO",POSTIM_NE_DITAR!$D$93&lt;&gt;""),POSTIM_NE_DITAR!H$93,"")</f>
        <v/>
      </c>
      <c r="I408" s="112" t="str">
        <f aca="false">IF(AND(MBYLLJA_6_7_AUTO!$B$8="PO",POSTIM_NE_DITAR!$D$93&lt;&gt;""),POSTIM_NE_DITAR!I$93,"")</f>
        <v/>
      </c>
      <c r="J408" s="113" t="str">
        <f aca="false">IF(TRIM($C408)="","",IF($M408&lt;&gt;"OK",$M408,IF(ABS(SUMIFS($F:$F,$C:$C,TRIM($C408))-SUMIFS($G:$G,$C:$C,TRIM($C408)))&lt;0.005,"OK","ERROR - veprimi nuk balancohet")))</f>
        <v/>
      </c>
      <c r="K408" s="115" t="str">
        <f aca="false">IF($D408="","",IFERROR(VLOOKUP($D408,PLANI_LLOGARIVE!$A:$J,10,FALSE()),FALSE()))</f>
        <v/>
      </c>
      <c r="L408" s="115" t="str">
        <f aca="false">IF($D408="","",IFERROR(VLOOKUP($D408,PLANI_LLOGARIVE!$A:$G,7,FALSE()),"NUK EKZISTON"))</f>
        <v/>
      </c>
      <c r="M408" s="115" t="str">
        <f aca="false">IF($D408="","",IF(COUNTIF(PLANI_LLOGARIVE!$A:$A,$D408)=0,"ERROR - llogaria nuk ekziston",IF($K408=TRUE(),"OK","ERROR - llogari jo-postuese/Header")))</f>
        <v/>
      </c>
      <c r="N408" s="115" t="str">
        <f aca="false">IF(TRIM($C408)="","",IF(ABS(SUMIFS($F:$F,$C:$C,TRIM($C408))-SUMIFS($G:$G,$C:$C,TRIM($C408)))&lt;0.005,"OK","ERROR - debi/kredi"))</f>
        <v/>
      </c>
      <c r="S408" s="116" t="str">
        <f aca="false">IF(D408="","",LEFT(D408&amp;"",2))</f>
        <v/>
      </c>
      <c r="T408" s="101" t="str">
        <f aca="false">IF(D408="","",LEFT(D408&amp;"",3))</f>
        <v/>
      </c>
    </row>
    <row r="409" customFormat="false" ht="14.25" hidden="false" customHeight="true" outlineLevel="0" collapsed="false">
      <c r="A409" s="111" t="str">
        <f aca="false">IF(AND(MBYLLJA_6_7_AUTO!$B$8="PO",POSTIM_NE_DITAR!$D$94&lt;&gt;""),POSTIM_NE_DITAR!A$94,"")</f>
        <v/>
      </c>
      <c r="B409" s="112" t="str">
        <f aca="false">IF(AND(MBYLLJA_6_7_AUTO!$B$8="PO",POSTIM_NE_DITAR!$D$94&lt;&gt;""),POSTIM_NE_DITAR!B$94,"")</f>
        <v/>
      </c>
      <c r="C409" s="112" t="str">
        <f aca="false">IF(AND(MBYLLJA_6_7_AUTO!$B$8="PO",POSTIM_NE_DITAR!$D$94&lt;&gt;""),POSTIM_NE_DITAR!C$94,"")</f>
        <v/>
      </c>
      <c r="D409" s="112" t="str">
        <f aca="false">IF(AND(MBYLLJA_6_7_AUTO!$B$8="PO",POSTIM_NE_DITAR!$D$94&lt;&gt;""),POSTIM_NE_DITAR!D$94,"")</f>
        <v/>
      </c>
      <c r="E409" s="113" t="str">
        <f aca="false">IF(AND(MBYLLJA_6_7_AUTO!$B$8="PO",POSTIM_NE_DITAR!$D$94&lt;&gt;""),POSTIM_NE_DITAR!E$94,"")</f>
        <v/>
      </c>
      <c r="F409" s="114" t="str">
        <f aca="false">IF(AND(MBYLLJA_6_7_AUTO!$B$8="PO",POSTIM_NE_DITAR!$D$94&lt;&gt;""),POSTIM_NE_DITAR!F$94,"")</f>
        <v/>
      </c>
      <c r="G409" s="114" t="str">
        <f aca="false">IF(AND(MBYLLJA_6_7_AUTO!$B$8="PO",POSTIM_NE_DITAR!$D$94&lt;&gt;""),POSTIM_NE_DITAR!G$94,"")</f>
        <v/>
      </c>
      <c r="H409" s="112" t="str">
        <f aca="false">IF(AND(MBYLLJA_6_7_AUTO!$B$8="PO",POSTIM_NE_DITAR!$D$94&lt;&gt;""),POSTIM_NE_DITAR!H$94,"")</f>
        <v/>
      </c>
      <c r="I409" s="112" t="str">
        <f aca="false">IF(AND(MBYLLJA_6_7_AUTO!$B$8="PO",POSTIM_NE_DITAR!$D$94&lt;&gt;""),POSTIM_NE_DITAR!I$94,"")</f>
        <v/>
      </c>
      <c r="J409" s="113" t="str">
        <f aca="false">IF(TRIM($C409)="","",IF($M409&lt;&gt;"OK",$M409,IF(ABS(SUMIFS($F:$F,$C:$C,TRIM($C409))-SUMIFS($G:$G,$C:$C,TRIM($C409)))&lt;0.005,"OK","ERROR - veprimi nuk balancohet")))</f>
        <v/>
      </c>
      <c r="K409" s="115" t="str">
        <f aca="false">IF($D409="","",IFERROR(VLOOKUP($D409,PLANI_LLOGARIVE!$A:$J,10,FALSE()),FALSE()))</f>
        <v/>
      </c>
      <c r="L409" s="115" t="str">
        <f aca="false">IF($D409="","",IFERROR(VLOOKUP($D409,PLANI_LLOGARIVE!$A:$G,7,FALSE()),"NUK EKZISTON"))</f>
        <v/>
      </c>
      <c r="M409" s="115" t="str">
        <f aca="false">IF($D409="","",IF(COUNTIF(PLANI_LLOGARIVE!$A:$A,$D409)=0,"ERROR - llogaria nuk ekziston",IF($K409=TRUE(),"OK","ERROR - llogari jo-postuese/Header")))</f>
        <v/>
      </c>
      <c r="N409" s="115" t="str">
        <f aca="false">IF(TRIM($C409)="","",IF(ABS(SUMIFS($F:$F,$C:$C,TRIM($C409))-SUMIFS($G:$G,$C:$C,TRIM($C409)))&lt;0.005,"OK","ERROR - debi/kredi"))</f>
        <v/>
      </c>
      <c r="S409" s="116" t="str">
        <f aca="false">IF(D409="","",LEFT(D409&amp;"",2))</f>
        <v/>
      </c>
      <c r="T409" s="101" t="str">
        <f aca="false">IF(D409="","",LEFT(D409&amp;"",3))</f>
        <v/>
      </c>
    </row>
    <row r="410" customFormat="false" ht="14.25" hidden="false" customHeight="true" outlineLevel="0" collapsed="false">
      <c r="A410" s="111" t="str">
        <f aca="false">IF(AND(MBYLLJA_6_7_AUTO!$B$8="PO",POSTIM_NE_DITAR!$D$95&lt;&gt;""),POSTIM_NE_DITAR!A$95,"")</f>
        <v/>
      </c>
      <c r="B410" s="112" t="str">
        <f aca="false">IF(AND(MBYLLJA_6_7_AUTO!$B$8="PO",POSTIM_NE_DITAR!$D$95&lt;&gt;""),POSTIM_NE_DITAR!B$95,"")</f>
        <v/>
      </c>
      <c r="C410" s="112" t="str">
        <f aca="false">IF(AND(MBYLLJA_6_7_AUTO!$B$8="PO",POSTIM_NE_DITAR!$D$95&lt;&gt;""),POSTIM_NE_DITAR!C$95,"")</f>
        <v/>
      </c>
      <c r="D410" s="112" t="str">
        <f aca="false">IF(AND(MBYLLJA_6_7_AUTO!$B$8="PO",POSTIM_NE_DITAR!$D$95&lt;&gt;""),POSTIM_NE_DITAR!D$95,"")</f>
        <v/>
      </c>
      <c r="E410" s="113" t="str">
        <f aca="false">IF(AND(MBYLLJA_6_7_AUTO!$B$8="PO",POSTIM_NE_DITAR!$D$95&lt;&gt;""),POSTIM_NE_DITAR!E$95,"")</f>
        <v/>
      </c>
      <c r="F410" s="114" t="str">
        <f aca="false">IF(AND(MBYLLJA_6_7_AUTO!$B$8="PO",POSTIM_NE_DITAR!$D$95&lt;&gt;""),POSTIM_NE_DITAR!F$95,"")</f>
        <v/>
      </c>
      <c r="G410" s="114" t="str">
        <f aca="false">IF(AND(MBYLLJA_6_7_AUTO!$B$8="PO",POSTIM_NE_DITAR!$D$95&lt;&gt;""),POSTIM_NE_DITAR!G$95,"")</f>
        <v/>
      </c>
      <c r="H410" s="112" t="str">
        <f aca="false">IF(AND(MBYLLJA_6_7_AUTO!$B$8="PO",POSTIM_NE_DITAR!$D$95&lt;&gt;""),POSTIM_NE_DITAR!H$95,"")</f>
        <v/>
      </c>
      <c r="I410" s="112" t="str">
        <f aca="false">IF(AND(MBYLLJA_6_7_AUTO!$B$8="PO",POSTIM_NE_DITAR!$D$95&lt;&gt;""),POSTIM_NE_DITAR!I$95,"")</f>
        <v/>
      </c>
      <c r="J410" s="113" t="str">
        <f aca="false">IF(TRIM($C410)="","",IF($M410&lt;&gt;"OK",$M410,IF(ABS(SUMIFS($F:$F,$C:$C,TRIM($C410))-SUMIFS($G:$G,$C:$C,TRIM($C410)))&lt;0.005,"OK","ERROR - veprimi nuk balancohet")))</f>
        <v/>
      </c>
      <c r="K410" s="115" t="str">
        <f aca="false">IF($D410="","",IFERROR(VLOOKUP($D410,PLANI_LLOGARIVE!$A:$J,10,FALSE()),FALSE()))</f>
        <v/>
      </c>
      <c r="L410" s="115" t="str">
        <f aca="false">IF($D410="","",IFERROR(VLOOKUP($D410,PLANI_LLOGARIVE!$A:$G,7,FALSE()),"NUK EKZISTON"))</f>
        <v/>
      </c>
      <c r="M410" s="115" t="str">
        <f aca="false">IF($D410="","",IF(COUNTIF(PLANI_LLOGARIVE!$A:$A,$D410)=0,"ERROR - llogaria nuk ekziston",IF($K410=TRUE(),"OK","ERROR - llogari jo-postuese/Header")))</f>
        <v/>
      </c>
      <c r="N410" s="115" t="str">
        <f aca="false">IF(TRIM($C410)="","",IF(ABS(SUMIFS($F:$F,$C:$C,TRIM($C410))-SUMIFS($G:$G,$C:$C,TRIM($C410)))&lt;0.005,"OK","ERROR - debi/kredi"))</f>
        <v/>
      </c>
      <c r="S410" s="116" t="str">
        <f aca="false">IF(D410="","",LEFT(D410&amp;"",2))</f>
        <v/>
      </c>
      <c r="T410" s="101" t="str">
        <f aca="false">IF(D410="","",LEFT(D410&amp;"",3))</f>
        <v/>
      </c>
    </row>
    <row r="411" customFormat="false" ht="14.25" hidden="false" customHeight="true" outlineLevel="0" collapsed="false">
      <c r="A411" s="111" t="str">
        <f aca="false">IF(AND(MBYLLJA_6_7_AUTO!$B$8="PO",POSTIM_NE_DITAR!$D$96&lt;&gt;""),POSTIM_NE_DITAR!A$96,"")</f>
        <v/>
      </c>
      <c r="B411" s="112" t="str">
        <f aca="false">IF(AND(MBYLLJA_6_7_AUTO!$B$8="PO",POSTIM_NE_DITAR!$D$96&lt;&gt;""),POSTIM_NE_DITAR!B$96,"")</f>
        <v/>
      </c>
      <c r="C411" s="112" t="str">
        <f aca="false">IF(AND(MBYLLJA_6_7_AUTO!$B$8="PO",POSTIM_NE_DITAR!$D$96&lt;&gt;""),POSTIM_NE_DITAR!C$96,"")</f>
        <v/>
      </c>
      <c r="D411" s="112" t="str">
        <f aca="false">IF(AND(MBYLLJA_6_7_AUTO!$B$8="PO",POSTIM_NE_DITAR!$D$96&lt;&gt;""),POSTIM_NE_DITAR!D$96,"")</f>
        <v/>
      </c>
      <c r="E411" s="113" t="str">
        <f aca="false">IF(AND(MBYLLJA_6_7_AUTO!$B$8="PO",POSTIM_NE_DITAR!$D$96&lt;&gt;""),POSTIM_NE_DITAR!E$96,"")</f>
        <v/>
      </c>
      <c r="F411" s="114" t="str">
        <f aca="false">IF(AND(MBYLLJA_6_7_AUTO!$B$8="PO",POSTIM_NE_DITAR!$D$96&lt;&gt;""),POSTIM_NE_DITAR!F$96,"")</f>
        <v/>
      </c>
      <c r="G411" s="114" t="str">
        <f aca="false">IF(AND(MBYLLJA_6_7_AUTO!$B$8="PO",POSTIM_NE_DITAR!$D$96&lt;&gt;""),POSTIM_NE_DITAR!G$96,"")</f>
        <v/>
      </c>
      <c r="H411" s="112" t="str">
        <f aca="false">IF(AND(MBYLLJA_6_7_AUTO!$B$8="PO",POSTIM_NE_DITAR!$D$96&lt;&gt;""),POSTIM_NE_DITAR!H$96,"")</f>
        <v/>
      </c>
      <c r="I411" s="112" t="str">
        <f aca="false">IF(AND(MBYLLJA_6_7_AUTO!$B$8="PO",POSTIM_NE_DITAR!$D$96&lt;&gt;""),POSTIM_NE_DITAR!I$96,"")</f>
        <v/>
      </c>
      <c r="J411" s="113" t="str">
        <f aca="false">IF(TRIM($C411)="","",IF($M411&lt;&gt;"OK",$M411,IF(ABS(SUMIFS($F:$F,$C:$C,TRIM($C411))-SUMIFS($G:$G,$C:$C,TRIM($C411)))&lt;0.005,"OK","ERROR - veprimi nuk balancohet")))</f>
        <v/>
      </c>
      <c r="K411" s="115" t="str">
        <f aca="false">IF($D411="","",IFERROR(VLOOKUP($D411,PLANI_LLOGARIVE!$A:$J,10,FALSE()),FALSE()))</f>
        <v/>
      </c>
      <c r="L411" s="115" t="str">
        <f aca="false">IF($D411="","",IFERROR(VLOOKUP($D411,PLANI_LLOGARIVE!$A:$G,7,FALSE()),"NUK EKZISTON"))</f>
        <v/>
      </c>
      <c r="M411" s="115" t="str">
        <f aca="false">IF($D411="","",IF(COUNTIF(PLANI_LLOGARIVE!$A:$A,$D411)=0,"ERROR - llogaria nuk ekziston",IF($K411=TRUE(),"OK","ERROR - llogari jo-postuese/Header")))</f>
        <v/>
      </c>
      <c r="N411" s="115" t="str">
        <f aca="false">IF(TRIM($C411)="","",IF(ABS(SUMIFS($F:$F,$C:$C,TRIM($C411))-SUMIFS($G:$G,$C:$C,TRIM($C411)))&lt;0.005,"OK","ERROR - debi/kredi"))</f>
        <v/>
      </c>
      <c r="S411" s="116" t="str">
        <f aca="false">IF(D411="","",LEFT(D411&amp;"",2))</f>
        <v/>
      </c>
      <c r="T411" s="101" t="str">
        <f aca="false">IF(D411="","",LEFT(D411&amp;"",3))</f>
        <v/>
      </c>
    </row>
    <row r="412" customFormat="false" ht="14.25" hidden="false" customHeight="true" outlineLevel="0" collapsed="false">
      <c r="A412" s="111" t="str">
        <f aca="false">IF(AND(MBYLLJA_6_7_AUTO!$B$8="PO",POSTIM_NE_DITAR!$D$97&lt;&gt;""),POSTIM_NE_DITAR!A$97,"")</f>
        <v/>
      </c>
      <c r="B412" s="112" t="str">
        <f aca="false">IF(AND(MBYLLJA_6_7_AUTO!$B$8="PO",POSTIM_NE_DITAR!$D$97&lt;&gt;""),POSTIM_NE_DITAR!B$97,"")</f>
        <v/>
      </c>
      <c r="C412" s="112" t="str">
        <f aca="false">IF(AND(MBYLLJA_6_7_AUTO!$B$8="PO",POSTIM_NE_DITAR!$D$97&lt;&gt;""),POSTIM_NE_DITAR!C$97,"")</f>
        <v/>
      </c>
      <c r="D412" s="112" t="str">
        <f aca="false">IF(AND(MBYLLJA_6_7_AUTO!$B$8="PO",POSTIM_NE_DITAR!$D$97&lt;&gt;""),POSTIM_NE_DITAR!D$97,"")</f>
        <v/>
      </c>
      <c r="E412" s="113" t="str">
        <f aca="false">IF(AND(MBYLLJA_6_7_AUTO!$B$8="PO",POSTIM_NE_DITAR!$D$97&lt;&gt;""),POSTIM_NE_DITAR!E$97,"")</f>
        <v/>
      </c>
      <c r="F412" s="114" t="str">
        <f aca="false">IF(AND(MBYLLJA_6_7_AUTO!$B$8="PO",POSTIM_NE_DITAR!$D$97&lt;&gt;""),POSTIM_NE_DITAR!F$97,"")</f>
        <v/>
      </c>
      <c r="G412" s="114" t="str">
        <f aca="false">IF(AND(MBYLLJA_6_7_AUTO!$B$8="PO",POSTIM_NE_DITAR!$D$97&lt;&gt;""),POSTIM_NE_DITAR!G$97,"")</f>
        <v/>
      </c>
      <c r="H412" s="112" t="str">
        <f aca="false">IF(AND(MBYLLJA_6_7_AUTO!$B$8="PO",POSTIM_NE_DITAR!$D$97&lt;&gt;""),POSTIM_NE_DITAR!H$97,"")</f>
        <v/>
      </c>
      <c r="I412" s="112" t="str">
        <f aca="false">IF(AND(MBYLLJA_6_7_AUTO!$B$8="PO",POSTIM_NE_DITAR!$D$97&lt;&gt;""),POSTIM_NE_DITAR!I$97,"")</f>
        <v/>
      </c>
      <c r="J412" s="113" t="str">
        <f aca="false">IF(TRIM($C412)="","",IF($M412&lt;&gt;"OK",$M412,IF(ABS(SUMIFS($F:$F,$C:$C,TRIM($C412))-SUMIFS($G:$G,$C:$C,TRIM($C412)))&lt;0.005,"OK","ERROR - veprimi nuk balancohet")))</f>
        <v/>
      </c>
      <c r="K412" s="115" t="str">
        <f aca="false">IF($D412="","",IFERROR(VLOOKUP($D412,PLANI_LLOGARIVE!$A:$J,10,FALSE()),FALSE()))</f>
        <v/>
      </c>
      <c r="L412" s="115" t="str">
        <f aca="false">IF($D412="","",IFERROR(VLOOKUP($D412,PLANI_LLOGARIVE!$A:$G,7,FALSE()),"NUK EKZISTON"))</f>
        <v/>
      </c>
      <c r="M412" s="115" t="str">
        <f aca="false">IF($D412="","",IF(COUNTIF(PLANI_LLOGARIVE!$A:$A,$D412)=0,"ERROR - llogaria nuk ekziston",IF($K412=TRUE(),"OK","ERROR - llogari jo-postuese/Header")))</f>
        <v/>
      </c>
      <c r="N412" s="115" t="str">
        <f aca="false">IF(TRIM($C412)="","",IF(ABS(SUMIFS($F:$F,$C:$C,TRIM($C412))-SUMIFS($G:$G,$C:$C,TRIM($C412)))&lt;0.005,"OK","ERROR - debi/kredi"))</f>
        <v/>
      </c>
      <c r="S412" s="116" t="str">
        <f aca="false">IF(D412="","",LEFT(D412&amp;"",2))</f>
        <v/>
      </c>
      <c r="T412" s="101" t="str">
        <f aca="false">IF(D412="","",LEFT(D412&amp;"",3))</f>
        <v/>
      </c>
    </row>
    <row r="413" customFormat="false" ht="14.25" hidden="false" customHeight="true" outlineLevel="0" collapsed="false">
      <c r="A413" s="111" t="str">
        <f aca="false">IF(AND(MBYLLJA_6_7_AUTO!$B$8="PO",POSTIM_NE_DITAR!$D$98&lt;&gt;""),POSTIM_NE_DITAR!A$98,"")</f>
        <v/>
      </c>
      <c r="B413" s="112" t="str">
        <f aca="false">IF(AND(MBYLLJA_6_7_AUTO!$B$8="PO",POSTIM_NE_DITAR!$D$98&lt;&gt;""),POSTIM_NE_DITAR!B$98,"")</f>
        <v/>
      </c>
      <c r="C413" s="112" t="str">
        <f aca="false">IF(AND(MBYLLJA_6_7_AUTO!$B$8="PO",POSTIM_NE_DITAR!$D$98&lt;&gt;""),POSTIM_NE_DITAR!C$98,"")</f>
        <v/>
      </c>
      <c r="D413" s="112" t="str">
        <f aca="false">IF(AND(MBYLLJA_6_7_AUTO!$B$8="PO",POSTIM_NE_DITAR!$D$98&lt;&gt;""),POSTIM_NE_DITAR!D$98,"")</f>
        <v/>
      </c>
      <c r="E413" s="113" t="str">
        <f aca="false">IF(AND(MBYLLJA_6_7_AUTO!$B$8="PO",POSTIM_NE_DITAR!$D$98&lt;&gt;""),POSTIM_NE_DITAR!E$98,"")</f>
        <v/>
      </c>
      <c r="F413" s="114" t="str">
        <f aca="false">IF(AND(MBYLLJA_6_7_AUTO!$B$8="PO",POSTIM_NE_DITAR!$D$98&lt;&gt;""),POSTIM_NE_DITAR!F$98,"")</f>
        <v/>
      </c>
      <c r="G413" s="114" t="str">
        <f aca="false">IF(AND(MBYLLJA_6_7_AUTO!$B$8="PO",POSTIM_NE_DITAR!$D$98&lt;&gt;""),POSTIM_NE_DITAR!G$98,"")</f>
        <v/>
      </c>
      <c r="H413" s="112" t="str">
        <f aca="false">IF(AND(MBYLLJA_6_7_AUTO!$B$8="PO",POSTIM_NE_DITAR!$D$98&lt;&gt;""),POSTIM_NE_DITAR!H$98,"")</f>
        <v/>
      </c>
      <c r="I413" s="112" t="str">
        <f aca="false">IF(AND(MBYLLJA_6_7_AUTO!$B$8="PO",POSTIM_NE_DITAR!$D$98&lt;&gt;""),POSTIM_NE_DITAR!I$98,"")</f>
        <v/>
      </c>
      <c r="J413" s="113" t="str">
        <f aca="false">IF(TRIM($C413)="","",IF($M413&lt;&gt;"OK",$M413,IF(ABS(SUMIFS($F:$F,$C:$C,TRIM($C413))-SUMIFS($G:$G,$C:$C,TRIM($C413)))&lt;0.005,"OK","ERROR - veprimi nuk balancohet")))</f>
        <v/>
      </c>
      <c r="K413" s="115" t="str">
        <f aca="false">IF($D413="","",IFERROR(VLOOKUP($D413,PLANI_LLOGARIVE!$A:$J,10,FALSE()),FALSE()))</f>
        <v/>
      </c>
      <c r="L413" s="115" t="str">
        <f aca="false">IF($D413="","",IFERROR(VLOOKUP($D413,PLANI_LLOGARIVE!$A:$G,7,FALSE()),"NUK EKZISTON"))</f>
        <v/>
      </c>
      <c r="M413" s="115" t="str">
        <f aca="false">IF($D413="","",IF(COUNTIF(PLANI_LLOGARIVE!$A:$A,$D413)=0,"ERROR - llogaria nuk ekziston",IF($K413=TRUE(),"OK","ERROR - llogari jo-postuese/Header")))</f>
        <v/>
      </c>
      <c r="N413" s="115" t="str">
        <f aca="false">IF(TRIM($C413)="","",IF(ABS(SUMIFS($F:$F,$C:$C,TRIM($C413))-SUMIFS($G:$G,$C:$C,TRIM($C413)))&lt;0.005,"OK","ERROR - debi/kredi"))</f>
        <v/>
      </c>
      <c r="S413" s="116" t="str">
        <f aca="false">IF(D413="","",LEFT(D413&amp;"",2))</f>
        <v/>
      </c>
      <c r="T413" s="101" t="str">
        <f aca="false">IF(D413="","",LEFT(D413&amp;"",3))</f>
        <v/>
      </c>
    </row>
    <row r="414" customFormat="false" ht="14.25" hidden="false" customHeight="true" outlineLevel="0" collapsed="false">
      <c r="A414" s="111" t="str">
        <f aca="false">IF(AND(MBYLLJA_6_7_AUTO!$B$8="PO",POSTIM_NE_DITAR!$D$99&lt;&gt;""),POSTIM_NE_DITAR!A$99,"")</f>
        <v/>
      </c>
      <c r="B414" s="112" t="str">
        <f aca="false">IF(AND(MBYLLJA_6_7_AUTO!$B$8="PO",POSTIM_NE_DITAR!$D$99&lt;&gt;""),POSTIM_NE_DITAR!B$99,"")</f>
        <v/>
      </c>
      <c r="C414" s="112" t="str">
        <f aca="false">IF(AND(MBYLLJA_6_7_AUTO!$B$8="PO",POSTIM_NE_DITAR!$D$99&lt;&gt;""),POSTIM_NE_DITAR!C$99,"")</f>
        <v/>
      </c>
      <c r="D414" s="112" t="str">
        <f aca="false">IF(AND(MBYLLJA_6_7_AUTO!$B$8="PO",POSTIM_NE_DITAR!$D$99&lt;&gt;""),POSTIM_NE_DITAR!D$99,"")</f>
        <v/>
      </c>
      <c r="E414" s="113" t="str">
        <f aca="false">IF(AND(MBYLLJA_6_7_AUTO!$B$8="PO",POSTIM_NE_DITAR!$D$99&lt;&gt;""),POSTIM_NE_DITAR!E$99,"")</f>
        <v/>
      </c>
      <c r="F414" s="114" t="str">
        <f aca="false">IF(AND(MBYLLJA_6_7_AUTO!$B$8="PO",POSTIM_NE_DITAR!$D$99&lt;&gt;""),POSTIM_NE_DITAR!F$99,"")</f>
        <v/>
      </c>
      <c r="G414" s="114" t="str">
        <f aca="false">IF(AND(MBYLLJA_6_7_AUTO!$B$8="PO",POSTIM_NE_DITAR!$D$99&lt;&gt;""),POSTIM_NE_DITAR!G$99,"")</f>
        <v/>
      </c>
      <c r="H414" s="112" t="str">
        <f aca="false">IF(AND(MBYLLJA_6_7_AUTO!$B$8="PO",POSTIM_NE_DITAR!$D$99&lt;&gt;""),POSTIM_NE_DITAR!H$99,"")</f>
        <v/>
      </c>
      <c r="I414" s="112" t="str">
        <f aca="false">IF(AND(MBYLLJA_6_7_AUTO!$B$8="PO",POSTIM_NE_DITAR!$D$99&lt;&gt;""),POSTIM_NE_DITAR!I$99,"")</f>
        <v/>
      </c>
      <c r="J414" s="113" t="str">
        <f aca="false">IF(TRIM($C414)="","",IF($M414&lt;&gt;"OK",$M414,IF(ABS(SUMIFS($F:$F,$C:$C,TRIM($C414))-SUMIFS($G:$G,$C:$C,TRIM($C414)))&lt;0.005,"OK","ERROR - veprimi nuk balancohet")))</f>
        <v/>
      </c>
      <c r="K414" s="115" t="str">
        <f aca="false">IF($D414="","",IFERROR(VLOOKUP($D414,PLANI_LLOGARIVE!$A:$J,10,FALSE()),FALSE()))</f>
        <v/>
      </c>
      <c r="L414" s="115" t="str">
        <f aca="false">IF($D414="","",IFERROR(VLOOKUP($D414,PLANI_LLOGARIVE!$A:$G,7,FALSE()),"NUK EKZISTON"))</f>
        <v/>
      </c>
      <c r="M414" s="115" t="str">
        <f aca="false">IF($D414="","",IF(COUNTIF(PLANI_LLOGARIVE!$A:$A,$D414)=0,"ERROR - llogaria nuk ekziston",IF($K414=TRUE(),"OK","ERROR - llogari jo-postuese/Header")))</f>
        <v/>
      </c>
      <c r="N414" s="115" t="str">
        <f aca="false">IF(TRIM($C414)="","",IF(ABS(SUMIFS($F:$F,$C:$C,TRIM($C414))-SUMIFS($G:$G,$C:$C,TRIM($C414)))&lt;0.005,"OK","ERROR - debi/kredi"))</f>
        <v/>
      </c>
      <c r="S414" s="116" t="str">
        <f aca="false">IF(D414="","",LEFT(D414&amp;"",2))</f>
        <v/>
      </c>
      <c r="T414" s="101" t="str">
        <f aca="false">IF(D414="","",LEFT(D414&amp;"",3))</f>
        <v/>
      </c>
    </row>
    <row r="415" customFormat="false" ht="14.25" hidden="false" customHeight="true" outlineLevel="0" collapsed="false">
      <c r="A415" s="111" t="str">
        <f aca="false">IF(AND(MBYLLJA_6_7_AUTO!$B$8="PO",POSTIM_NE_DITAR!$D$100&lt;&gt;""),POSTIM_NE_DITAR!A$100,"")</f>
        <v/>
      </c>
      <c r="B415" s="112" t="str">
        <f aca="false">IF(AND(MBYLLJA_6_7_AUTO!$B$8="PO",POSTIM_NE_DITAR!$D$100&lt;&gt;""),POSTIM_NE_DITAR!B$100,"")</f>
        <v/>
      </c>
      <c r="C415" s="112" t="str">
        <f aca="false">IF(AND(MBYLLJA_6_7_AUTO!$B$8="PO",POSTIM_NE_DITAR!$D$100&lt;&gt;""),POSTIM_NE_DITAR!C$100,"")</f>
        <v/>
      </c>
      <c r="D415" s="112" t="str">
        <f aca="false">IF(AND(MBYLLJA_6_7_AUTO!$B$8="PO",POSTIM_NE_DITAR!$D$100&lt;&gt;""),POSTIM_NE_DITAR!D$100,"")</f>
        <v/>
      </c>
      <c r="E415" s="113" t="str">
        <f aca="false">IF(AND(MBYLLJA_6_7_AUTO!$B$8="PO",POSTIM_NE_DITAR!$D$100&lt;&gt;""),POSTIM_NE_DITAR!E$100,"")</f>
        <v/>
      </c>
      <c r="F415" s="114" t="str">
        <f aca="false">IF(AND(MBYLLJA_6_7_AUTO!$B$8="PO",POSTIM_NE_DITAR!$D$100&lt;&gt;""),POSTIM_NE_DITAR!F$100,"")</f>
        <v/>
      </c>
      <c r="G415" s="114" t="str">
        <f aca="false">IF(AND(MBYLLJA_6_7_AUTO!$B$8="PO",POSTIM_NE_DITAR!$D$100&lt;&gt;""),POSTIM_NE_DITAR!G$100,"")</f>
        <v/>
      </c>
      <c r="H415" s="112" t="str">
        <f aca="false">IF(AND(MBYLLJA_6_7_AUTO!$B$8="PO",POSTIM_NE_DITAR!$D$100&lt;&gt;""),POSTIM_NE_DITAR!H$100,"")</f>
        <v/>
      </c>
      <c r="I415" s="112" t="str">
        <f aca="false">IF(AND(MBYLLJA_6_7_AUTO!$B$8="PO",POSTIM_NE_DITAR!$D$100&lt;&gt;""),POSTIM_NE_DITAR!I$100,"")</f>
        <v/>
      </c>
      <c r="J415" s="113" t="str">
        <f aca="false">IF(TRIM($C415)="","",IF($M415&lt;&gt;"OK",$M415,IF(ABS(SUMIFS($F:$F,$C:$C,TRIM($C415))-SUMIFS($G:$G,$C:$C,TRIM($C415)))&lt;0.005,"OK","ERROR - veprimi nuk balancohet")))</f>
        <v/>
      </c>
      <c r="K415" s="115" t="str">
        <f aca="false">IF($D415="","",IFERROR(VLOOKUP($D415,PLANI_LLOGARIVE!$A:$J,10,FALSE()),FALSE()))</f>
        <v/>
      </c>
      <c r="L415" s="115" t="str">
        <f aca="false">IF($D415="","",IFERROR(VLOOKUP($D415,PLANI_LLOGARIVE!$A:$G,7,FALSE()),"NUK EKZISTON"))</f>
        <v/>
      </c>
      <c r="M415" s="115" t="str">
        <f aca="false">IF($D415="","",IF(COUNTIF(PLANI_LLOGARIVE!$A:$A,$D415)=0,"ERROR - llogaria nuk ekziston",IF($K415=TRUE(),"OK","ERROR - llogari jo-postuese/Header")))</f>
        <v/>
      </c>
      <c r="N415" s="115" t="str">
        <f aca="false">IF(TRIM($C415)="","",IF(ABS(SUMIFS($F:$F,$C:$C,TRIM($C415))-SUMIFS($G:$G,$C:$C,TRIM($C415)))&lt;0.005,"OK","ERROR - debi/kredi"))</f>
        <v/>
      </c>
      <c r="S415" s="116" t="str">
        <f aca="false">IF(D415="","",LEFT(D415&amp;"",2))</f>
        <v/>
      </c>
      <c r="T415" s="101" t="str">
        <f aca="false">IF(D415="","",LEFT(D415&amp;"",3))</f>
        <v/>
      </c>
    </row>
    <row r="416" customFormat="false" ht="14.25" hidden="false" customHeight="true" outlineLevel="0" collapsed="false">
      <c r="A416" s="111" t="str">
        <f aca="false">IF(AND(MBYLLJA_6_7_AUTO!$B$8="PO",POSTIM_NE_DITAR!$D$101&lt;&gt;""),POSTIM_NE_DITAR!A$101,"")</f>
        <v/>
      </c>
      <c r="B416" s="112" t="str">
        <f aca="false">IF(AND(MBYLLJA_6_7_AUTO!$B$8="PO",POSTIM_NE_DITAR!$D$101&lt;&gt;""),POSTIM_NE_DITAR!B$101,"")</f>
        <v/>
      </c>
      <c r="C416" s="112" t="str">
        <f aca="false">IF(AND(MBYLLJA_6_7_AUTO!$B$8="PO",POSTIM_NE_DITAR!$D$101&lt;&gt;""),POSTIM_NE_DITAR!C$101,"")</f>
        <v/>
      </c>
      <c r="D416" s="112" t="str">
        <f aca="false">IF(AND(MBYLLJA_6_7_AUTO!$B$8="PO",POSTIM_NE_DITAR!$D$101&lt;&gt;""),POSTIM_NE_DITAR!D$101,"")</f>
        <v/>
      </c>
      <c r="E416" s="113" t="str">
        <f aca="false">IF(AND(MBYLLJA_6_7_AUTO!$B$8="PO",POSTIM_NE_DITAR!$D$101&lt;&gt;""),POSTIM_NE_DITAR!E$101,"")</f>
        <v/>
      </c>
      <c r="F416" s="114" t="str">
        <f aca="false">IF(AND(MBYLLJA_6_7_AUTO!$B$8="PO",POSTIM_NE_DITAR!$D$101&lt;&gt;""),POSTIM_NE_DITAR!F$101,"")</f>
        <v/>
      </c>
      <c r="G416" s="114" t="str">
        <f aca="false">IF(AND(MBYLLJA_6_7_AUTO!$B$8="PO",POSTIM_NE_DITAR!$D$101&lt;&gt;""),POSTIM_NE_DITAR!G$101,"")</f>
        <v/>
      </c>
      <c r="H416" s="112" t="str">
        <f aca="false">IF(AND(MBYLLJA_6_7_AUTO!$B$8="PO",POSTIM_NE_DITAR!$D$101&lt;&gt;""),POSTIM_NE_DITAR!H$101,"")</f>
        <v/>
      </c>
      <c r="I416" s="112" t="str">
        <f aca="false">IF(AND(MBYLLJA_6_7_AUTO!$B$8="PO",POSTIM_NE_DITAR!$D$101&lt;&gt;""),POSTIM_NE_DITAR!I$101,"")</f>
        <v/>
      </c>
      <c r="J416" s="113" t="str">
        <f aca="false">IF(TRIM($C416)="","",IF($M416&lt;&gt;"OK",$M416,IF(ABS(SUMIFS($F:$F,$C:$C,TRIM($C416))-SUMIFS($G:$G,$C:$C,TRIM($C416)))&lt;0.005,"OK","ERROR - veprimi nuk balancohet")))</f>
        <v/>
      </c>
      <c r="K416" s="115" t="str">
        <f aca="false">IF($D416="","",IFERROR(VLOOKUP($D416,PLANI_LLOGARIVE!$A:$J,10,FALSE()),FALSE()))</f>
        <v/>
      </c>
      <c r="L416" s="115" t="str">
        <f aca="false">IF($D416="","",IFERROR(VLOOKUP($D416,PLANI_LLOGARIVE!$A:$G,7,FALSE()),"NUK EKZISTON"))</f>
        <v/>
      </c>
      <c r="M416" s="115" t="str">
        <f aca="false">IF($D416="","",IF(COUNTIF(PLANI_LLOGARIVE!$A:$A,$D416)=0,"ERROR - llogaria nuk ekziston",IF($K416=TRUE(),"OK","ERROR - llogari jo-postuese/Header")))</f>
        <v/>
      </c>
      <c r="N416" s="115" t="str">
        <f aca="false">IF(TRIM($C416)="","",IF(ABS(SUMIFS($F:$F,$C:$C,TRIM($C416))-SUMIFS($G:$G,$C:$C,TRIM($C416)))&lt;0.005,"OK","ERROR - debi/kredi"))</f>
        <v/>
      </c>
      <c r="S416" s="116" t="str">
        <f aca="false">IF(D416="","",LEFT(D416&amp;"",2))</f>
        <v/>
      </c>
      <c r="T416" s="101" t="str">
        <f aca="false">IF(D416="","",LEFT(D416&amp;"",3))</f>
        <v/>
      </c>
    </row>
    <row r="417" customFormat="false" ht="14.25" hidden="false" customHeight="true" outlineLevel="0" collapsed="false">
      <c r="A417" s="111" t="str">
        <f aca="false">IF(AND(MBYLLJA_6_7_AUTO!$B$8="PO",POSTIM_NE_DITAR!$D$102&lt;&gt;""),POSTIM_NE_DITAR!A$102,"")</f>
        <v/>
      </c>
      <c r="B417" s="112" t="str">
        <f aca="false">IF(AND(MBYLLJA_6_7_AUTO!$B$8="PO",POSTIM_NE_DITAR!$D$102&lt;&gt;""),POSTIM_NE_DITAR!B$102,"")</f>
        <v/>
      </c>
      <c r="C417" s="112" t="str">
        <f aca="false">IF(AND(MBYLLJA_6_7_AUTO!$B$8="PO",POSTIM_NE_DITAR!$D$102&lt;&gt;""),POSTIM_NE_DITAR!C$102,"")</f>
        <v/>
      </c>
      <c r="D417" s="112" t="str">
        <f aca="false">IF(AND(MBYLLJA_6_7_AUTO!$B$8="PO",POSTIM_NE_DITAR!$D$102&lt;&gt;""),POSTIM_NE_DITAR!D$102,"")</f>
        <v/>
      </c>
      <c r="E417" s="113" t="str">
        <f aca="false">IF(AND(MBYLLJA_6_7_AUTO!$B$8="PO",POSTIM_NE_DITAR!$D$102&lt;&gt;""),POSTIM_NE_DITAR!E$102,"")</f>
        <v/>
      </c>
      <c r="F417" s="114" t="str">
        <f aca="false">IF(AND(MBYLLJA_6_7_AUTO!$B$8="PO",POSTIM_NE_DITAR!$D$102&lt;&gt;""),POSTIM_NE_DITAR!F$102,"")</f>
        <v/>
      </c>
      <c r="G417" s="114" t="str">
        <f aca="false">IF(AND(MBYLLJA_6_7_AUTO!$B$8="PO",POSTIM_NE_DITAR!$D$102&lt;&gt;""),POSTIM_NE_DITAR!G$102,"")</f>
        <v/>
      </c>
      <c r="H417" s="112" t="str">
        <f aca="false">IF(AND(MBYLLJA_6_7_AUTO!$B$8="PO",POSTIM_NE_DITAR!$D$102&lt;&gt;""),POSTIM_NE_DITAR!H$102,"")</f>
        <v/>
      </c>
      <c r="I417" s="112" t="str">
        <f aca="false">IF(AND(MBYLLJA_6_7_AUTO!$B$8="PO",POSTIM_NE_DITAR!$D$102&lt;&gt;""),POSTIM_NE_DITAR!I$102,"")</f>
        <v/>
      </c>
      <c r="J417" s="113" t="str">
        <f aca="false">IF(TRIM($C417)="","",IF($M417&lt;&gt;"OK",$M417,IF(ABS(SUMIFS($F:$F,$C:$C,TRIM($C417))-SUMIFS($G:$G,$C:$C,TRIM($C417)))&lt;0.005,"OK","ERROR - veprimi nuk balancohet")))</f>
        <v/>
      </c>
      <c r="K417" s="115" t="str">
        <f aca="false">IF($D417="","",IFERROR(VLOOKUP($D417,PLANI_LLOGARIVE!$A:$J,10,FALSE()),FALSE()))</f>
        <v/>
      </c>
      <c r="L417" s="115" t="str">
        <f aca="false">IF($D417="","",IFERROR(VLOOKUP($D417,PLANI_LLOGARIVE!$A:$G,7,FALSE()),"NUK EKZISTON"))</f>
        <v/>
      </c>
      <c r="M417" s="115" t="str">
        <f aca="false">IF($D417="","",IF(COUNTIF(PLANI_LLOGARIVE!$A:$A,$D417)=0,"ERROR - llogaria nuk ekziston",IF($K417=TRUE(),"OK","ERROR - llogari jo-postuese/Header")))</f>
        <v/>
      </c>
      <c r="N417" s="115" t="str">
        <f aca="false">IF(TRIM($C417)="","",IF(ABS(SUMIFS($F:$F,$C:$C,TRIM($C417))-SUMIFS($G:$G,$C:$C,TRIM($C417)))&lt;0.005,"OK","ERROR - debi/kredi"))</f>
        <v/>
      </c>
      <c r="S417" s="116" t="str">
        <f aca="false">IF(D417="","",LEFT(D417&amp;"",2))</f>
        <v/>
      </c>
      <c r="T417" s="101" t="str">
        <f aca="false">IF(D417="","",LEFT(D417&amp;"",3))</f>
        <v/>
      </c>
    </row>
    <row r="418" customFormat="false" ht="14.25" hidden="false" customHeight="true" outlineLevel="0" collapsed="false">
      <c r="A418" s="111" t="str">
        <f aca="false">IF(AND(MBYLLJA_6_7_AUTO!$B$8="PO",POSTIM_NE_DITAR!$D$103&lt;&gt;""),POSTIM_NE_DITAR!A$103,"")</f>
        <v/>
      </c>
      <c r="B418" s="112" t="str">
        <f aca="false">IF(AND(MBYLLJA_6_7_AUTO!$B$8="PO",POSTIM_NE_DITAR!$D$103&lt;&gt;""),POSTIM_NE_DITAR!B$103,"")</f>
        <v/>
      </c>
      <c r="C418" s="112" t="str">
        <f aca="false">IF(AND(MBYLLJA_6_7_AUTO!$B$8="PO",POSTIM_NE_DITAR!$D$103&lt;&gt;""),POSTIM_NE_DITAR!C$103,"")</f>
        <v/>
      </c>
      <c r="D418" s="112" t="str">
        <f aca="false">IF(AND(MBYLLJA_6_7_AUTO!$B$8="PO",POSTIM_NE_DITAR!$D$103&lt;&gt;""),POSTIM_NE_DITAR!D$103,"")</f>
        <v/>
      </c>
      <c r="E418" s="113" t="str">
        <f aca="false">IF(AND(MBYLLJA_6_7_AUTO!$B$8="PO",POSTIM_NE_DITAR!$D$103&lt;&gt;""),POSTIM_NE_DITAR!E$103,"")</f>
        <v/>
      </c>
      <c r="F418" s="114" t="str">
        <f aca="false">IF(AND(MBYLLJA_6_7_AUTO!$B$8="PO",POSTIM_NE_DITAR!$D$103&lt;&gt;""),POSTIM_NE_DITAR!F$103,"")</f>
        <v/>
      </c>
      <c r="G418" s="114" t="str">
        <f aca="false">IF(AND(MBYLLJA_6_7_AUTO!$B$8="PO",POSTIM_NE_DITAR!$D$103&lt;&gt;""),POSTIM_NE_DITAR!G$103,"")</f>
        <v/>
      </c>
      <c r="H418" s="112" t="str">
        <f aca="false">IF(AND(MBYLLJA_6_7_AUTO!$B$8="PO",POSTIM_NE_DITAR!$D$103&lt;&gt;""),POSTIM_NE_DITAR!H$103,"")</f>
        <v/>
      </c>
      <c r="I418" s="112" t="str">
        <f aca="false">IF(AND(MBYLLJA_6_7_AUTO!$B$8="PO",POSTIM_NE_DITAR!$D$103&lt;&gt;""),POSTIM_NE_DITAR!I$103,"")</f>
        <v/>
      </c>
      <c r="J418" s="113" t="str">
        <f aca="false">IF(TRIM($C418)="","",IF($M418&lt;&gt;"OK",$M418,IF(ABS(SUMIFS($F:$F,$C:$C,TRIM($C418))-SUMIFS($G:$G,$C:$C,TRIM($C418)))&lt;0.005,"OK","ERROR - veprimi nuk balancohet")))</f>
        <v/>
      </c>
      <c r="K418" s="115" t="str">
        <f aca="false">IF($D418="","",IFERROR(VLOOKUP($D418,PLANI_LLOGARIVE!$A:$J,10,FALSE()),FALSE()))</f>
        <v/>
      </c>
      <c r="L418" s="115" t="str">
        <f aca="false">IF($D418="","",IFERROR(VLOOKUP($D418,PLANI_LLOGARIVE!$A:$G,7,FALSE()),"NUK EKZISTON"))</f>
        <v/>
      </c>
      <c r="M418" s="115" t="str">
        <f aca="false">IF($D418="","",IF(COUNTIF(PLANI_LLOGARIVE!$A:$A,$D418)=0,"ERROR - llogaria nuk ekziston",IF($K418=TRUE(),"OK","ERROR - llogari jo-postuese/Header")))</f>
        <v/>
      </c>
      <c r="N418" s="115" t="str">
        <f aca="false">IF(TRIM($C418)="","",IF(ABS(SUMIFS($F:$F,$C:$C,TRIM($C418))-SUMIFS($G:$G,$C:$C,TRIM($C418)))&lt;0.005,"OK","ERROR - debi/kredi"))</f>
        <v/>
      </c>
      <c r="S418" s="116" t="str">
        <f aca="false">IF(D418="","",LEFT(D418&amp;"",2))</f>
        <v/>
      </c>
      <c r="T418" s="101" t="str">
        <f aca="false">IF(D418="","",LEFT(D418&amp;"",3))</f>
        <v/>
      </c>
    </row>
    <row r="419" customFormat="false" ht="14.25" hidden="false" customHeight="true" outlineLevel="0" collapsed="false">
      <c r="A419" s="111" t="str">
        <f aca="false">IF(AND(MBYLLJA_6_7_AUTO!$B$8="PO",POSTIM_NE_DITAR!$D$104&lt;&gt;""),POSTIM_NE_DITAR!A$104,"")</f>
        <v/>
      </c>
      <c r="B419" s="112" t="str">
        <f aca="false">IF(AND(MBYLLJA_6_7_AUTO!$B$8="PO",POSTIM_NE_DITAR!$D$104&lt;&gt;""),POSTIM_NE_DITAR!B$104,"")</f>
        <v/>
      </c>
      <c r="C419" s="112" t="str">
        <f aca="false">IF(AND(MBYLLJA_6_7_AUTO!$B$8="PO",POSTIM_NE_DITAR!$D$104&lt;&gt;""),POSTIM_NE_DITAR!C$104,"")</f>
        <v/>
      </c>
      <c r="D419" s="112" t="str">
        <f aca="false">IF(AND(MBYLLJA_6_7_AUTO!$B$8="PO",POSTIM_NE_DITAR!$D$104&lt;&gt;""),POSTIM_NE_DITAR!D$104,"")</f>
        <v/>
      </c>
      <c r="E419" s="113" t="str">
        <f aca="false">IF(AND(MBYLLJA_6_7_AUTO!$B$8="PO",POSTIM_NE_DITAR!$D$104&lt;&gt;""),POSTIM_NE_DITAR!E$104,"")</f>
        <v/>
      </c>
      <c r="F419" s="114" t="str">
        <f aca="false">IF(AND(MBYLLJA_6_7_AUTO!$B$8="PO",POSTIM_NE_DITAR!$D$104&lt;&gt;""),POSTIM_NE_DITAR!F$104,"")</f>
        <v/>
      </c>
      <c r="G419" s="114" t="str">
        <f aca="false">IF(AND(MBYLLJA_6_7_AUTO!$B$8="PO",POSTIM_NE_DITAR!$D$104&lt;&gt;""),POSTIM_NE_DITAR!G$104,"")</f>
        <v/>
      </c>
      <c r="H419" s="112" t="str">
        <f aca="false">IF(AND(MBYLLJA_6_7_AUTO!$B$8="PO",POSTIM_NE_DITAR!$D$104&lt;&gt;""),POSTIM_NE_DITAR!H$104,"")</f>
        <v/>
      </c>
      <c r="I419" s="112" t="str">
        <f aca="false">IF(AND(MBYLLJA_6_7_AUTO!$B$8="PO",POSTIM_NE_DITAR!$D$104&lt;&gt;""),POSTIM_NE_DITAR!I$104,"")</f>
        <v/>
      </c>
      <c r="J419" s="113" t="str">
        <f aca="false">IF(TRIM($C419)="","",IF($M419&lt;&gt;"OK",$M419,IF(ABS(SUMIFS($F:$F,$C:$C,TRIM($C419))-SUMIFS($G:$G,$C:$C,TRIM($C419)))&lt;0.005,"OK","ERROR - veprimi nuk balancohet")))</f>
        <v/>
      </c>
      <c r="K419" s="115" t="str">
        <f aca="false">IF($D419="","",IFERROR(VLOOKUP($D419,PLANI_LLOGARIVE!$A:$J,10,FALSE()),FALSE()))</f>
        <v/>
      </c>
      <c r="L419" s="115" t="str">
        <f aca="false">IF($D419="","",IFERROR(VLOOKUP($D419,PLANI_LLOGARIVE!$A:$G,7,FALSE()),"NUK EKZISTON"))</f>
        <v/>
      </c>
      <c r="M419" s="115" t="str">
        <f aca="false">IF($D419="","",IF(COUNTIF(PLANI_LLOGARIVE!$A:$A,$D419)=0,"ERROR - llogaria nuk ekziston",IF($K419=TRUE(),"OK","ERROR - llogari jo-postuese/Header")))</f>
        <v/>
      </c>
      <c r="N419" s="115" t="str">
        <f aca="false">IF(TRIM($C419)="","",IF(ABS(SUMIFS($F:$F,$C:$C,TRIM($C419))-SUMIFS($G:$G,$C:$C,TRIM($C419)))&lt;0.005,"OK","ERROR - debi/kredi"))</f>
        <v/>
      </c>
      <c r="S419" s="116" t="str">
        <f aca="false">IF(D419="","",LEFT(D419&amp;"",2))</f>
        <v/>
      </c>
      <c r="T419" s="101" t="str">
        <f aca="false">IF(D419="","",LEFT(D419&amp;"",3))</f>
        <v/>
      </c>
    </row>
    <row r="420" customFormat="false" ht="14.25" hidden="false" customHeight="true" outlineLevel="0" collapsed="false">
      <c r="A420" s="111" t="str">
        <f aca="false">IF(AND(MBYLLJA_6_7_AUTO!$B$8="PO",POSTIM_NE_DITAR!$D$105&lt;&gt;""),POSTIM_NE_DITAR!A$105,"")</f>
        <v/>
      </c>
      <c r="B420" s="112" t="str">
        <f aca="false">IF(AND(MBYLLJA_6_7_AUTO!$B$8="PO",POSTIM_NE_DITAR!$D$105&lt;&gt;""),POSTIM_NE_DITAR!B$105,"")</f>
        <v/>
      </c>
      <c r="C420" s="112" t="str">
        <f aca="false">IF(AND(MBYLLJA_6_7_AUTO!$B$8="PO",POSTIM_NE_DITAR!$D$105&lt;&gt;""),POSTIM_NE_DITAR!C$105,"")</f>
        <v/>
      </c>
      <c r="D420" s="112" t="str">
        <f aca="false">IF(AND(MBYLLJA_6_7_AUTO!$B$8="PO",POSTIM_NE_DITAR!$D$105&lt;&gt;""),POSTIM_NE_DITAR!D$105,"")</f>
        <v/>
      </c>
      <c r="E420" s="113" t="str">
        <f aca="false">IF(AND(MBYLLJA_6_7_AUTO!$B$8="PO",POSTIM_NE_DITAR!$D$105&lt;&gt;""),POSTIM_NE_DITAR!E$105,"")</f>
        <v/>
      </c>
      <c r="F420" s="114" t="str">
        <f aca="false">IF(AND(MBYLLJA_6_7_AUTO!$B$8="PO",POSTIM_NE_DITAR!$D$105&lt;&gt;""),POSTIM_NE_DITAR!F$105,"")</f>
        <v/>
      </c>
      <c r="G420" s="114" t="str">
        <f aca="false">IF(AND(MBYLLJA_6_7_AUTO!$B$8="PO",POSTIM_NE_DITAR!$D$105&lt;&gt;""),POSTIM_NE_DITAR!G$105,"")</f>
        <v/>
      </c>
      <c r="H420" s="112" t="str">
        <f aca="false">IF(AND(MBYLLJA_6_7_AUTO!$B$8="PO",POSTIM_NE_DITAR!$D$105&lt;&gt;""),POSTIM_NE_DITAR!H$105,"")</f>
        <v/>
      </c>
      <c r="I420" s="112" t="str">
        <f aca="false">IF(AND(MBYLLJA_6_7_AUTO!$B$8="PO",POSTIM_NE_DITAR!$D$105&lt;&gt;""),POSTIM_NE_DITAR!I$105,"")</f>
        <v/>
      </c>
      <c r="J420" s="113" t="str">
        <f aca="false">IF(TRIM($C420)="","",IF($M420&lt;&gt;"OK",$M420,IF(ABS(SUMIFS($F:$F,$C:$C,TRIM($C420))-SUMIFS($G:$G,$C:$C,TRIM($C420)))&lt;0.005,"OK","ERROR - veprimi nuk balancohet")))</f>
        <v/>
      </c>
      <c r="K420" s="115" t="str">
        <f aca="false">IF($D420="","",IFERROR(VLOOKUP($D420,PLANI_LLOGARIVE!$A:$J,10,FALSE()),FALSE()))</f>
        <v/>
      </c>
      <c r="L420" s="115" t="str">
        <f aca="false">IF($D420="","",IFERROR(VLOOKUP($D420,PLANI_LLOGARIVE!$A:$G,7,FALSE()),"NUK EKZISTON"))</f>
        <v/>
      </c>
      <c r="M420" s="115" t="str">
        <f aca="false">IF($D420="","",IF(COUNTIF(PLANI_LLOGARIVE!$A:$A,$D420)=0,"ERROR - llogaria nuk ekziston",IF($K420=TRUE(),"OK","ERROR - llogari jo-postuese/Header")))</f>
        <v/>
      </c>
      <c r="N420" s="115" t="str">
        <f aca="false">IF(TRIM($C420)="","",IF(ABS(SUMIFS($F:$F,$C:$C,TRIM($C420))-SUMIFS($G:$G,$C:$C,TRIM($C420)))&lt;0.005,"OK","ERROR - debi/kredi"))</f>
        <v/>
      </c>
      <c r="S420" s="116" t="str">
        <f aca="false">IF(D420="","",LEFT(D420&amp;"",2))</f>
        <v/>
      </c>
      <c r="T420" s="101" t="str">
        <f aca="false">IF(D420="","",LEFT(D420&amp;"",3))</f>
        <v/>
      </c>
    </row>
    <row r="421" customFormat="false" ht="14.25" hidden="false" customHeight="true" outlineLevel="0" collapsed="false">
      <c r="A421" s="111" t="str">
        <f aca="false">IF(AND(MBYLLJA_6_7_AUTO!$B$8="PO",POSTIM_NE_DITAR!$D$106&lt;&gt;""),POSTIM_NE_DITAR!A$106,"")</f>
        <v/>
      </c>
      <c r="B421" s="112" t="str">
        <f aca="false">IF(AND(MBYLLJA_6_7_AUTO!$B$8="PO",POSTIM_NE_DITAR!$D$106&lt;&gt;""),POSTIM_NE_DITAR!B$106,"")</f>
        <v/>
      </c>
      <c r="C421" s="112" t="str">
        <f aca="false">IF(AND(MBYLLJA_6_7_AUTO!$B$8="PO",POSTIM_NE_DITAR!$D$106&lt;&gt;""),POSTIM_NE_DITAR!C$106,"")</f>
        <v/>
      </c>
      <c r="D421" s="112" t="str">
        <f aca="false">IF(AND(MBYLLJA_6_7_AUTO!$B$8="PO",POSTIM_NE_DITAR!$D$106&lt;&gt;""),POSTIM_NE_DITAR!D$106,"")</f>
        <v/>
      </c>
      <c r="E421" s="113" t="str">
        <f aca="false">IF(AND(MBYLLJA_6_7_AUTO!$B$8="PO",POSTIM_NE_DITAR!$D$106&lt;&gt;""),POSTIM_NE_DITAR!E$106,"")</f>
        <v/>
      </c>
      <c r="F421" s="114" t="str">
        <f aca="false">IF(AND(MBYLLJA_6_7_AUTO!$B$8="PO",POSTIM_NE_DITAR!$D$106&lt;&gt;""),POSTIM_NE_DITAR!F$106,"")</f>
        <v/>
      </c>
      <c r="G421" s="114" t="str">
        <f aca="false">IF(AND(MBYLLJA_6_7_AUTO!$B$8="PO",POSTIM_NE_DITAR!$D$106&lt;&gt;""),POSTIM_NE_DITAR!G$106,"")</f>
        <v/>
      </c>
      <c r="H421" s="112" t="str">
        <f aca="false">IF(AND(MBYLLJA_6_7_AUTO!$B$8="PO",POSTIM_NE_DITAR!$D$106&lt;&gt;""),POSTIM_NE_DITAR!H$106,"")</f>
        <v/>
      </c>
      <c r="I421" s="112" t="str">
        <f aca="false">IF(AND(MBYLLJA_6_7_AUTO!$B$8="PO",POSTIM_NE_DITAR!$D$106&lt;&gt;""),POSTIM_NE_DITAR!I$106,"")</f>
        <v/>
      </c>
      <c r="J421" s="113" t="str">
        <f aca="false">IF(TRIM($C421)="","",IF($M421&lt;&gt;"OK",$M421,IF(ABS(SUMIFS($F:$F,$C:$C,TRIM($C421))-SUMIFS($G:$G,$C:$C,TRIM($C421)))&lt;0.005,"OK","ERROR - veprimi nuk balancohet")))</f>
        <v/>
      </c>
      <c r="K421" s="115" t="str">
        <f aca="false">IF($D421="","",IFERROR(VLOOKUP($D421,PLANI_LLOGARIVE!$A:$J,10,FALSE()),FALSE()))</f>
        <v/>
      </c>
      <c r="L421" s="115" t="str">
        <f aca="false">IF($D421="","",IFERROR(VLOOKUP($D421,PLANI_LLOGARIVE!$A:$G,7,FALSE()),"NUK EKZISTON"))</f>
        <v/>
      </c>
      <c r="M421" s="115" t="str">
        <f aca="false">IF($D421="","",IF(COUNTIF(PLANI_LLOGARIVE!$A:$A,$D421)=0,"ERROR - llogaria nuk ekziston",IF($K421=TRUE(),"OK","ERROR - llogari jo-postuese/Header")))</f>
        <v/>
      </c>
      <c r="N421" s="115" t="str">
        <f aca="false">IF(TRIM($C421)="","",IF(ABS(SUMIFS($F:$F,$C:$C,TRIM($C421))-SUMIFS($G:$G,$C:$C,TRIM($C421)))&lt;0.005,"OK","ERROR - debi/kredi"))</f>
        <v/>
      </c>
      <c r="S421" s="116" t="str">
        <f aca="false">IF(D421="","",LEFT(D421&amp;"",2))</f>
        <v/>
      </c>
      <c r="T421" s="101" t="str">
        <f aca="false">IF(D421="","",LEFT(D421&amp;"",3))</f>
        <v/>
      </c>
    </row>
    <row r="422" customFormat="false" ht="14.25" hidden="false" customHeight="true" outlineLevel="0" collapsed="false">
      <c r="A422" s="111" t="str">
        <f aca="false">IF(AND(MBYLLJA_6_7_AUTO!$B$8="PO",POSTIM_NE_DITAR!$D$107&lt;&gt;""),POSTIM_NE_DITAR!A$107,"")</f>
        <v/>
      </c>
      <c r="B422" s="112" t="str">
        <f aca="false">IF(AND(MBYLLJA_6_7_AUTO!$B$8="PO",POSTIM_NE_DITAR!$D$107&lt;&gt;""),POSTIM_NE_DITAR!B$107,"")</f>
        <v/>
      </c>
      <c r="C422" s="112" t="str">
        <f aca="false">IF(AND(MBYLLJA_6_7_AUTO!$B$8="PO",POSTIM_NE_DITAR!$D$107&lt;&gt;""),POSTIM_NE_DITAR!C$107,"")</f>
        <v/>
      </c>
      <c r="D422" s="112" t="str">
        <f aca="false">IF(AND(MBYLLJA_6_7_AUTO!$B$8="PO",POSTIM_NE_DITAR!$D$107&lt;&gt;""),POSTIM_NE_DITAR!D$107,"")</f>
        <v/>
      </c>
      <c r="E422" s="113" t="str">
        <f aca="false">IF(AND(MBYLLJA_6_7_AUTO!$B$8="PO",POSTIM_NE_DITAR!$D$107&lt;&gt;""),POSTIM_NE_DITAR!E$107,"")</f>
        <v/>
      </c>
      <c r="F422" s="114" t="str">
        <f aca="false">IF(AND(MBYLLJA_6_7_AUTO!$B$8="PO",POSTIM_NE_DITAR!$D$107&lt;&gt;""),POSTIM_NE_DITAR!F$107,"")</f>
        <v/>
      </c>
      <c r="G422" s="114" t="str">
        <f aca="false">IF(AND(MBYLLJA_6_7_AUTO!$B$8="PO",POSTIM_NE_DITAR!$D$107&lt;&gt;""),POSTIM_NE_DITAR!G$107,"")</f>
        <v/>
      </c>
      <c r="H422" s="112" t="str">
        <f aca="false">IF(AND(MBYLLJA_6_7_AUTO!$B$8="PO",POSTIM_NE_DITAR!$D$107&lt;&gt;""),POSTIM_NE_DITAR!H$107,"")</f>
        <v/>
      </c>
      <c r="I422" s="112" t="str">
        <f aca="false">IF(AND(MBYLLJA_6_7_AUTO!$B$8="PO",POSTIM_NE_DITAR!$D$107&lt;&gt;""),POSTIM_NE_DITAR!I$107,"")</f>
        <v/>
      </c>
      <c r="J422" s="113" t="str">
        <f aca="false">IF(TRIM($C422)="","",IF($M422&lt;&gt;"OK",$M422,IF(ABS(SUMIFS($F:$F,$C:$C,TRIM($C422))-SUMIFS($G:$G,$C:$C,TRIM($C422)))&lt;0.005,"OK","ERROR - veprimi nuk balancohet")))</f>
        <v/>
      </c>
      <c r="K422" s="115" t="str">
        <f aca="false">IF($D422="","",IFERROR(VLOOKUP($D422,PLANI_LLOGARIVE!$A:$J,10,FALSE()),FALSE()))</f>
        <v/>
      </c>
      <c r="L422" s="115" t="str">
        <f aca="false">IF($D422="","",IFERROR(VLOOKUP($D422,PLANI_LLOGARIVE!$A:$G,7,FALSE()),"NUK EKZISTON"))</f>
        <v/>
      </c>
      <c r="M422" s="115" t="str">
        <f aca="false">IF($D422="","",IF(COUNTIF(PLANI_LLOGARIVE!$A:$A,$D422)=0,"ERROR - llogaria nuk ekziston",IF($K422=TRUE(),"OK","ERROR - llogari jo-postuese/Header")))</f>
        <v/>
      </c>
      <c r="N422" s="115" t="str">
        <f aca="false">IF(TRIM($C422)="","",IF(ABS(SUMIFS($F:$F,$C:$C,TRIM($C422))-SUMIFS($G:$G,$C:$C,TRIM($C422)))&lt;0.005,"OK","ERROR - debi/kredi"))</f>
        <v/>
      </c>
      <c r="S422" s="116" t="str">
        <f aca="false">IF(D422="","",LEFT(D422&amp;"",2))</f>
        <v/>
      </c>
      <c r="T422" s="101" t="str">
        <f aca="false">IF(D422="","",LEFT(D422&amp;"",3))</f>
        <v/>
      </c>
    </row>
    <row r="423" customFormat="false" ht="14.25" hidden="false" customHeight="true" outlineLevel="0" collapsed="false">
      <c r="A423" s="111" t="str">
        <f aca="false">IF(AND(MBYLLJA_6_7_AUTO!$B$8="PO",POSTIM_NE_DITAR!$D$108&lt;&gt;""),POSTIM_NE_DITAR!A$108,"")</f>
        <v/>
      </c>
      <c r="B423" s="112" t="str">
        <f aca="false">IF(AND(MBYLLJA_6_7_AUTO!$B$8="PO",POSTIM_NE_DITAR!$D$108&lt;&gt;""),POSTIM_NE_DITAR!B$108,"")</f>
        <v/>
      </c>
      <c r="C423" s="112" t="str">
        <f aca="false">IF(AND(MBYLLJA_6_7_AUTO!$B$8="PO",POSTIM_NE_DITAR!$D$108&lt;&gt;""),POSTIM_NE_DITAR!C$108,"")</f>
        <v/>
      </c>
      <c r="D423" s="112" t="str">
        <f aca="false">IF(AND(MBYLLJA_6_7_AUTO!$B$8="PO",POSTIM_NE_DITAR!$D$108&lt;&gt;""),POSTIM_NE_DITAR!D$108,"")</f>
        <v/>
      </c>
      <c r="E423" s="113" t="str">
        <f aca="false">IF(AND(MBYLLJA_6_7_AUTO!$B$8="PO",POSTIM_NE_DITAR!$D$108&lt;&gt;""),POSTIM_NE_DITAR!E$108,"")</f>
        <v/>
      </c>
      <c r="F423" s="114" t="str">
        <f aca="false">IF(AND(MBYLLJA_6_7_AUTO!$B$8="PO",POSTIM_NE_DITAR!$D$108&lt;&gt;""),POSTIM_NE_DITAR!F$108,"")</f>
        <v/>
      </c>
      <c r="G423" s="114" t="str">
        <f aca="false">IF(AND(MBYLLJA_6_7_AUTO!$B$8="PO",POSTIM_NE_DITAR!$D$108&lt;&gt;""),POSTIM_NE_DITAR!G$108,"")</f>
        <v/>
      </c>
      <c r="H423" s="112" t="str">
        <f aca="false">IF(AND(MBYLLJA_6_7_AUTO!$B$8="PO",POSTIM_NE_DITAR!$D$108&lt;&gt;""),POSTIM_NE_DITAR!H$108,"")</f>
        <v/>
      </c>
      <c r="I423" s="112" t="str">
        <f aca="false">IF(AND(MBYLLJA_6_7_AUTO!$B$8="PO",POSTIM_NE_DITAR!$D$108&lt;&gt;""),POSTIM_NE_DITAR!I$108,"")</f>
        <v/>
      </c>
      <c r="J423" s="113" t="str">
        <f aca="false">IF(TRIM($C423)="","",IF($M423&lt;&gt;"OK",$M423,IF(ABS(SUMIFS($F:$F,$C:$C,TRIM($C423))-SUMIFS($G:$G,$C:$C,TRIM($C423)))&lt;0.005,"OK","ERROR - veprimi nuk balancohet")))</f>
        <v/>
      </c>
      <c r="K423" s="115" t="str">
        <f aca="false">IF($D423="","",IFERROR(VLOOKUP($D423,PLANI_LLOGARIVE!$A:$J,10,FALSE()),FALSE()))</f>
        <v/>
      </c>
      <c r="L423" s="115" t="str">
        <f aca="false">IF($D423="","",IFERROR(VLOOKUP($D423,PLANI_LLOGARIVE!$A:$G,7,FALSE()),"NUK EKZISTON"))</f>
        <v/>
      </c>
      <c r="M423" s="115" t="str">
        <f aca="false">IF($D423="","",IF(COUNTIF(PLANI_LLOGARIVE!$A:$A,$D423)=0,"ERROR - llogaria nuk ekziston",IF($K423=TRUE(),"OK","ERROR - llogari jo-postuese/Header")))</f>
        <v/>
      </c>
      <c r="N423" s="115" t="str">
        <f aca="false">IF(TRIM($C423)="","",IF(ABS(SUMIFS($F:$F,$C:$C,TRIM($C423))-SUMIFS($G:$G,$C:$C,TRIM($C423)))&lt;0.005,"OK","ERROR - debi/kredi"))</f>
        <v/>
      </c>
      <c r="S423" s="116" t="str">
        <f aca="false">IF(D423="","",LEFT(D423&amp;"",2))</f>
        <v/>
      </c>
      <c r="T423" s="101" t="str">
        <f aca="false">IF(D423="","",LEFT(D423&amp;"",3))</f>
        <v/>
      </c>
    </row>
    <row r="424" customFormat="false" ht="14.25" hidden="false" customHeight="true" outlineLevel="0" collapsed="false">
      <c r="A424" s="111" t="str">
        <f aca="false">IF(AND(MBYLLJA_6_7_AUTO!$B$8="PO",POSTIM_NE_DITAR!$D$109&lt;&gt;""),POSTIM_NE_DITAR!A$109,"")</f>
        <v/>
      </c>
      <c r="B424" s="112" t="str">
        <f aca="false">IF(AND(MBYLLJA_6_7_AUTO!$B$8="PO",POSTIM_NE_DITAR!$D$109&lt;&gt;""),POSTIM_NE_DITAR!B$109,"")</f>
        <v/>
      </c>
      <c r="C424" s="112" t="str">
        <f aca="false">IF(AND(MBYLLJA_6_7_AUTO!$B$8="PO",POSTIM_NE_DITAR!$D$109&lt;&gt;""),POSTIM_NE_DITAR!C$109,"")</f>
        <v/>
      </c>
      <c r="D424" s="112" t="str">
        <f aca="false">IF(AND(MBYLLJA_6_7_AUTO!$B$8="PO",POSTIM_NE_DITAR!$D$109&lt;&gt;""),POSTIM_NE_DITAR!D$109,"")</f>
        <v/>
      </c>
      <c r="E424" s="113" t="str">
        <f aca="false">IF(AND(MBYLLJA_6_7_AUTO!$B$8="PO",POSTIM_NE_DITAR!$D$109&lt;&gt;""),POSTIM_NE_DITAR!E$109,"")</f>
        <v/>
      </c>
      <c r="F424" s="114" t="str">
        <f aca="false">IF(AND(MBYLLJA_6_7_AUTO!$B$8="PO",POSTIM_NE_DITAR!$D$109&lt;&gt;""),POSTIM_NE_DITAR!F$109,"")</f>
        <v/>
      </c>
      <c r="G424" s="114" t="str">
        <f aca="false">IF(AND(MBYLLJA_6_7_AUTO!$B$8="PO",POSTIM_NE_DITAR!$D$109&lt;&gt;""),POSTIM_NE_DITAR!G$109,"")</f>
        <v/>
      </c>
      <c r="H424" s="112" t="str">
        <f aca="false">IF(AND(MBYLLJA_6_7_AUTO!$B$8="PO",POSTIM_NE_DITAR!$D$109&lt;&gt;""),POSTIM_NE_DITAR!H$109,"")</f>
        <v/>
      </c>
      <c r="I424" s="112" t="str">
        <f aca="false">IF(AND(MBYLLJA_6_7_AUTO!$B$8="PO",POSTIM_NE_DITAR!$D$109&lt;&gt;""),POSTIM_NE_DITAR!I$109,"")</f>
        <v/>
      </c>
      <c r="J424" s="113" t="str">
        <f aca="false">IF(TRIM($C424)="","",IF($M424&lt;&gt;"OK",$M424,IF(ABS(SUMIFS($F:$F,$C:$C,TRIM($C424))-SUMIFS($G:$G,$C:$C,TRIM($C424)))&lt;0.005,"OK","ERROR - veprimi nuk balancohet")))</f>
        <v/>
      </c>
      <c r="K424" s="115" t="str">
        <f aca="false">IF($D424="","",IFERROR(VLOOKUP($D424,PLANI_LLOGARIVE!$A:$J,10,FALSE()),FALSE()))</f>
        <v/>
      </c>
      <c r="L424" s="115" t="str">
        <f aca="false">IF($D424="","",IFERROR(VLOOKUP($D424,PLANI_LLOGARIVE!$A:$G,7,FALSE()),"NUK EKZISTON"))</f>
        <v/>
      </c>
      <c r="M424" s="115" t="str">
        <f aca="false">IF($D424="","",IF(COUNTIF(PLANI_LLOGARIVE!$A:$A,$D424)=0,"ERROR - llogaria nuk ekziston",IF($K424=TRUE(),"OK","ERROR - llogari jo-postuese/Header")))</f>
        <v/>
      </c>
      <c r="N424" s="115" t="str">
        <f aca="false">IF(TRIM($C424)="","",IF(ABS(SUMIFS($F:$F,$C:$C,TRIM($C424))-SUMIFS($G:$G,$C:$C,TRIM($C424)))&lt;0.005,"OK","ERROR - debi/kredi"))</f>
        <v/>
      </c>
      <c r="S424" s="116" t="str">
        <f aca="false">IF(D424="","",LEFT(D424&amp;"",2))</f>
        <v/>
      </c>
      <c r="T424" s="101" t="str">
        <f aca="false">IF(D424="","",LEFT(D424&amp;"",3))</f>
        <v/>
      </c>
    </row>
    <row r="425" customFormat="false" ht="14.25" hidden="false" customHeight="true" outlineLevel="0" collapsed="false">
      <c r="A425" s="111" t="str">
        <f aca="false">IF(AND(MBYLLJA_6_7_AUTO!$B$8="PO",POSTIM_NE_DITAR!$D$110&lt;&gt;""),POSTIM_NE_DITAR!A$110,"")</f>
        <v/>
      </c>
      <c r="B425" s="112" t="str">
        <f aca="false">IF(AND(MBYLLJA_6_7_AUTO!$B$8="PO",POSTIM_NE_DITAR!$D$110&lt;&gt;""),POSTIM_NE_DITAR!B$110,"")</f>
        <v/>
      </c>
      <c r="C425" s="112" t="str">
        <f aca="false">IF(AND(MBYLLJA_6_7_AUTO!$B$8="PO",POSTIM_NE_DITAR!$D$110&lt;&gt;""),POSTIM_NE_DITAR!C$110,"")</f>
        <v/>
      </c>
      <c r="D425" s="112" t="str">
        <f aca="false">IF(AND(MBYLLJA_6_7_AUTO!$B$8="PO",POSTIM_NE_DITAR!$D$110&lt;&gt;""),POSTIM_NE_DITAR!D$110,"")</f>
        <v/>
      </c>
      <c r="E425" s="113" t="str">
        <f aca="false">IF(AND(MBYLLJA_6_7_AUTO!$B$8="PO",POSTIM_NE_DITAR!$D$110&lt;&gt;""),POSTIM_NE_DITAR!E$110,"")</f>
        <v/>
      </c>
      <c r="F425" s="114" t="str">
        <f aca="false">IF(AND(MBYLLJA_6_7_AUTO!$B$8="PO",POSTIM_NE_DITAR!$D$110&lt;&gt;""),POSTIM_NE_DITAR!F$110,"")</f>
        <v/>
      </c>
      <c r="G425" s="114" t="str">
        <f aca="false">IF(AND(MBYLLJA_6_7_AUTO!$B$8="PO",POSTIM_NE_DITAR!$D$110&lt;&gt;""),POSTIM_NE_DITAR!G$110,"")</f>
        <v/>
      </c>
      <c r="H425" s="112" t="str">
        <f aca="false">IF(AND(MBYLLJA_6_7_AUTO!$B$8="PO",POSTIM_NE_DITAR!$D$110&lt;&gt;""),POSTIM_NE_DITAR!H$110,"")</f>
        <v/>
      </c>
      <c r="I425" s="112" t="str">
        <f aca="false">IF(AND(MBYLLJA_6_7_AUTO!$B$8="PO",POSTIM_NE_DITAR!$D$110&lt;&gt;""),POSTIM_NE_DITAR!I$110,"")</f>
        <v/>
      </c>
      <c r="J425" s="113" t="str">
        <f aca="false">IF(TRIM($C425)="","",IF($M425&lt;&gt;"OK",$M425,IF(ABS(SUMIFS($F:$F,$C:$C,TRIM($C425))-SUMIFS($G:$G,$C:$C,TRIM($C425)))&lt;0.005,"OK","ERROR - veprimi nuk balancohet")))</f>
        <v/>
      </c>
      <c r="K425" s="115" t="str">
        <f aca="false">IF($D425="","",IFERROR(VLOOKUP($D425,PLANI_LLOGARIVE!$A:$J,10,FALSE()),FALSE()))</f>
        <v/>
      </c>
      <c r="L425" s="115" t="str">
        <f aca="false">IF($D425="","",IFERROR(VLOOKUP($D425,PLANI_LLOGARIVE!$A:$G,7,FALSE()),"NUK EKZISTON"))</f>
        <v/>
      </c>
      <c r="M425" s="115" t="str">
        <f aca="false">IF($D425="","",IF(COUNTIF(PLANI_LLOGARIVE!$A:$A,$D425)=0,"ERROR - llogaria nuk ekziston",IF($K425=TRUE(),"OK","ERROR - llogari jo-postuese/Header")))</f>
        <v/>
      </c>
      <c r="N425" s="115" t="str">
        <f aca="false">IF(TRIM($C425)="","",IF(ABS(SUMIFS($F:$F,$C:$C,TRIM($C425))-SUMIFS($G:$G,$C:$C,TRIM($C425)))&lt;0.005,"OK","ERROR - debi/kredi"))</f>
        <v/>
      </c>
      <c r="S425" s="116" t="str">
        <f aca="false">IF(D425="","",LEFT(D425&amp;"",2))</f>
        <v/>
      </c>
      <c r="T425" s="101" t="str">
        <f aca="false">IF(D425="","",LEFT(D425&amp;"",3))</f>
        <v/>
      </c>
    </row>
    <row r="426" customFormat="false" ht="14.25" hidden="false" customHeight="true" outlineLevel="0" collapsed="false">
      <c r="A426" s="111" t="str">
        <f aca="false">IF(AND(MBYLLJA_6_7_AUTO!$B$8="PO",POSTIM_NE_DITAR!$D$111&lt;&gt;""),POSTIM_NE_DITAR!A$111,"")</f>
        <v/>
      </c>
      <c r="B426" s="112" t="str">
        <f aca="false">IF(AND(MBYLLJA_6_7_AUTO!$B$8="PO",POSTIM_NE_DITAR!$D$111&lt;&gt;""),POSTIM_NE_DITAR!B$111,"")</f>
        <v/>
      </c>
      <c r="C426" s="112" t="str">
        <f aca="false">IF(AND(MBYLLJA_6_7_AUTO!$B$8="PO",POSTIM_NE_DITAR!$D$111&lt;&gt;""),POSTIM_NE_DITAR!C$111,"")</f>
        <v/>
      </c>
      <c r="D426" s="112" t="str">
        <f aca="false">IF(AND(MBYLLJA_6_7_AUTO!$B$8="PO",POSTIM_NE_DITAR!$D$111&lt;&gt;""),POSTIM_NE_DITAR!D$111,"")</f>
        <v/>
      </c>
      <c r="E426" s="113" t="str">
        <f aca="false">IF(AND(MBYLLJA_6_7_AUTO!$B$8="PO",POSTIM_NE_DITAR!$D$111&lt;&gt;""),POSTIM_NE_DITAR!E$111,"")</f>
        <v/>
      </c>
      <c r="F426" s="114" t="str">
        <f aca="false">IF(AND(MBYLLJA_6_7_AUTO!$B$8="PO",POSTIM_NE_DITAR!$D$111&lt;&gt;""),POSTIM_NE_DITAR!F$111,"")</f>
        <v/>
      </c>
      <c r="G426" s="114" t="str">
        <f aca="false">IF(AND(MBYLLJA_6_7_AUTO!$B$8="PO",POSTIM_NE_DITAR!$D$111&lt;&gt;""),POSTIM_NE_DITAR!G$111,"")</f>
        <v/>
      </c>
      <c r="H426" s="112" t="str">
        <f aca="false">IF(AND(MBYLLJA_6_7_AUTO!$B$8="PO",POSTIM_NE_DITAR!$D$111&lt;&gt;""),POSTIM_NE_DITAR!H$111,"")</f>
        <v/>
      </c>
      <c r="I426" s="112" t="str">
        <f aca="false">IF(AND(MBYLLJA_6_7_AUTO!$B$8="PO",POSTIM_NE_DITAR!$D$111&lt;&gt;""),POSTIM_NE_DITAR!I$111,"")</f>
        <v/>
      </c>
      <c r="J426" s="113" t="str">
        <f aca="false">IF(TRIM($C426)="","",IF($M426&lt;&gt;"OK",$M426,IF(ABS(SUMIFS($F:$F,$C:$C,TRIM($C426))-SUMIFS($G:$G,$C:$C,TRIM($C426)))&lt;0.005,"OK","ERROR - veprimi nuk balancohet")))</f>
        <v/>
      </c>
      <c r="K426" s="115" t="str">
        <f aca="false">IF($D426="","",IFERROR(VLOOKUP($D426,PLANI_LLOGARIVE!$A:$J,10,FALSE()),FALSE()))</f>
        <v/>
      </c>
      <c r="L426" s="115" t="str">
        <f aca="false">IF($D426="","",IFERROR(VLOOKUP($D426,PLANI_LLOGARIVE!$A:$G,7,FALSE()),"NUK EKZISTON"))</f>
        <v/>
      </c>
      <c r="M426" s="115" t="str">
        <f aca="false">IF($D426="","",IF(COUNTIF(PLANI_LLOGARIVE!$A:$A,$D426)=0,"ERROR - llogaria nuk ekziston",IF($K426=TRUE(),"OK","ERROR - llogari jo-postuese/Header")))</f>
        <v/>
      </c>
      <c r="N426" s="115" t="str">
        <f aca="false">IF(TRIM($C426)="","",IF(ABS(SUMIFS($F:$F,$C:$C,TRIM($C426))-SUMIFS($G:$G,$C:$C,TRIM($C426)))&lt;0.005,"OK","ERROR - debi/kredi"))</f>
        <v/>
      </c>
      <c r="S426" s="116" t="str">
        <f aca="false">IF(D426="","",LEFT(D426&amp;"",2))</f>
        <v/>
      </c>
      <c r="T426" s="101" t="str">
        <f aca="false">IF(D426="","",LEFT(D426&amp;"",3))</f>
        <v/>
      </c>
    </row>
    <row r="427" customFormat="false" ht="14.25" hidden="false" customHeight="true" outlineLevel="0" collapsed="false">
      <c r="A427" s="111" t="str">
        <f aca="false">IF(AND(MBYLLJA_6_7_AUTO!$B$8="PO",POSTIM_NE_DITAR!$D$112&lt;&gt;""),POSTIM_NE_DITAR!A$112,"")</f>
        <v/>
      </c>
      <c r="B427" s="112" t="str">
        <f aca="false">IF(AND(MBYLLJA_6_7_AUTO!$B$8="PO",POSTIM_NE_DITAR!$D$112&lt;&gt;""),POSTIM_NE_DITAR!B$112,"")</f>
        <v/>
      </c>
      <c r="C427" s="112" t="str">
        <f aca="false">IF(AND(MBYLLJA_6_7_AUTO!$B$8="PO",POSTIM_NE_DITAR!$D$112&lt;&gt;""),POSTIM_NE_DITAR!C$112,"")</f>
        <v/>
      </c>
      <c r="D427" s="112" t="str">
        <f aca="false">IF(AND(MBYLLJA_6_7_AUTO!$B$8="PO",POSTIM_NE_DITAR!$D$112&lt;&gt;""),POSTIM_NE_DITAR!D$112,"")</f>
        <v/>
      </c>
      <c r="E427" s="113" t="str">
        <f aca="false">IF(AND(MBYLLJA_6_7_AUTO!$B$8="PO",POSTIM_NE_DITAR!$D$112&lt;&gt;""),POSTIM_NE_DITAR!E$112,"")</f>
        <v/>
      </c>
      <c r="F427" s="114" t="str">
        <f aca="false">IF(AND(MBYLLJA_6_7_AUTO!$B$8="PO",POSTIM_NE_DITAR!$D$112&lt;&gt;""),POSTIM_NE_DITAR!F$112,"")</f>
        <v/>
      </c>
      <c r="G427" s="114" t="str">
        <f aca="false">IF(AND(MBYLLJA_6_7_AUTO!$B$8="PO",POSTIM_NE_DITAR!$D$112&lt;&gt;""),POSTIM_NE_DITAR!G$112,"")</f>
        <v/>
      </c>
      <c r="H427" s="112" t="str">
        <f aca="false">IF(AND(MBYLLJA_6_7_AUTO!$B$8="PO",POSTIM_NE_DITAR!$D$112&lt;&gt;""),POSTIM_NE_DITAR!H$112,"")</f>
        <v/>
      </c>
      <c r="I427" s="112" t="str">
        <f aca="false">IF(AND(MBYLLJA_6_7_AUTO!$B$8="PO",POSTIM_NE_DITAR!$D$112&lt;&gt;""),POSTIM_NE_DITAR!I$112,"")</f>
        <v/>
      </c>
      <c r="J427" s="113" t="str">
        <f aca="false">IF(TRIM($C427)="","",IF($M427&lt;&gt;"OK",$M427,IF(ABS(SUMIFS($F:$F,$C:$C,TRIM($C427))-SUMIFS($G:$G,$C:$C,TRIM($C427)))&lt;0.005,"OK","ERROR - veprimi nuk balancohet")))</f>
        <v/>
      </c>
      <c r="K427" s="115" t="str">
        <f aca="false">IF($D427="","",IFERROR(VLOOKUP($D427,PLANI_LLOGARIVE!$A:$J,10,FALSE()),FALSE()))</f>
        <v/>
      </c>
      <c r="L427" s="115" t="str">
        <f aca="false">IF($D427="","",IFERROR(VLOOKUP($D427,PLANI_LLOGARIVE!$A:$G,7,FALSE()),"NUK EKZISTON"))</f>
        <v/>
      </c>
      <c r="M427" s="115" t="str">
        <f aca="false">IF($D427="","",IF(COUNTIF(PLANI_LLOGARIVE!$A:$A,$D427)=0,"ERROR - llogaria nuk ekziston",IF($K427=TRUE(),"OK","ERROR - llogari jo-postuese/Header")))</f>
        <v/>
      </c>
      <c r="N427" s="115" t="str">
        <f aca="false">IF(TRIM($C427)="","",IF(ABS(SUMIFS($F:$F,$C:$C,TRIM($C427))-SUMIFS($G:$G,$C:$C,TRIM($C427)))&lt;0.005,"OK","ERROR - debi/kredi"))</f>
        <v/>
      </c>
      <c r="S427" s="116" t="str">
        <f aca="false">IF(D427="","",LEFT(D427&amp;"",2))</f>
        <v/>
      </c>
      <c r="T427" s="101" t="str">
        <f aca="false">IF(D427="","",LEFT(D427&amp;"",3))</f>
        <v/>
      </c>
    </row>
    <row r="428" customFormat="false" ht="14.25" hidden="false" customHeight="true" outlineLevel="0" collapsed="false">
      <c r="A428" s="111" t="str">
        <f aca="false">IF(AND(MBYLLJA_6_7_AUTO!$B$8="PO",POSTIM_NE_DITAR!$D$113&lt;&gt;""),POSTIM_NE_DITAR!A$113,"")</f>
        <v/>
      </c>
      <c r="B428" s="112" t="str">
        <f aca="false">IF(AND(MBYLLJA_6_7_AUTO!$B$8="PO",POSTIM_NE_DITAR!$D$113&lt;&gt;""),POSTIM_NE_DITAR!B$113,"")</f>
        <v/>
      </c>
      <c r="C428" s="112" t="str">
        <f aca="false">IF(AND(MBYLLJA_6_7_AUTO!$B$8="PO",POSTIM_NE_DITAR!$D$113&lt;&gt;""),POSTIM_NE_DITAR!C$113,"")</f>
        <v/>
      </c>
      <c r="D428" s="112" t="str">
        <f aca="false">IF(AND(MBYLLJA_6_7_AUTO!$B$8="PO",POSTIM_NE_DITAR!$D$113&lt;&gt;""),POSTIM_NE_DITAR!D$113,"")</f>
        <v/>
      </c>
      <c r="E428" s="113" t="str">
        <f aca="false">IF(AND(MBYLLJA_6_7_AUTO!$B$8="PO",POSTIM_NE_DITAR!$D$113&lt;&gt;""),POSTIM_NE_DITAR!E$113,"")</f>
        <v/>
      </c>
      <c r="F428" s="114" t="str">
        <f aca="false">IF(AND(MBYLLJA_6_7_AUTO!$B$8="PO",POSTIM_NE_DITAR!$D$113&lt;&gt;""),POSTIM_NE_DITAR!F$113,"")</f>
        <v/>
      </c>
      <c r="G428" s="114" t="str">
        <f aca="false">IF(AND(MBYLLJA_6_7_AUTO!$B$8="PO",POSTIM_NE_DITAR!$D$113&lt;&gt;""),POSTIM_NE_DITAR!G$113,"")</f>
        <v/>
      </c>
      <c r="H428" s="112" t="str">
        <f aca="false">IF(AND(MBYLLJA_6_7_AUTO!$B$8="PO",POSTIM_NE_DITAR!$D$113&lt;&gt;""),POSTIM_NE_DITAR!H$113,"")</f>
        <v/>
      </c>
      <c r="I428" s="112" t="str">
        <f aca="false">IF(AND(MBYLLJA_6_7_AUTO!$B$8="PO",POSTIM_NE_DITAR!$D$113&lt;&gt;""),POSTIM_NE_DITAR!I$113,"")</f>
        <v/>
      </c>
      <c r="J428" s="113" t="str">
        <f aca="false">IF(TRIM($C428)="","",IF($M428&lt;&gt;"OK",$M428,IF(ABS(SUMIFS($F:$F,$C:$C,TRIM($C428))-SUMIFS($G:$G,$C:$C,TRIM($C428)))&lt;0.005,"OK","ERROR - veprimi nuk balancohet")))</f>
        <v/>
      </c>
      <c r="K428" s="115" t="str">
        <f aca="false">IF($D428="","",IFERROR(VLOOKUP($D428,PLANI_LLOGARIVE!$A:$J,10,FALSE()),FALSE()))</f>
        <v/>
      </c>
      <c r="L428" s="115" t="str">
        <f aca="false">IF($D428="","",IFERROR(VLOOKUP($D428,PLANI_LLOGARIVE!$A:$G,7,FALSE()),"NUK EKZISTON"))</f>
        <v/>
      </c>
      <c r="M428" s="115" t="str">
        <f aca="false">IF($D428="","",IF(COUNTIF(PLANI_LLOGARIVE!$A:$A,$D428)=0,"ERROR - llogaria nuk ekziston",IF($K428=TRUE(),"OK","ERROR - llogari jo-postuese/Header")))</f>
        <v/>
      </c>
      <c r="N428" s="115" t="str">
        <f aca="false">IF(TRIM($C428)="","",IF(ABS(SUMIFS($F:$F,$C:$C,TRIM($C428))-SUMIFS($G:$G,$C:$C,TRIM($C428)))&lt;0.005,"OK","ERROR - debi/kredi"))</f>
        <v/>
      </c>
      <c r="S428" s="116" t="str">
        <f aca="false">IF(D428="","",LEFT(D428&amp;"",2))</f>
        <v/>
      </c>
      <c r="T428" s="101" t="str">
        <f aca="false">IF(D428="","",LEFT(D428&amp;"",3))</f>
        <v/>
      </c>
    </row>
    <row r="429" customFormat="false" ht="14.25" hidden="false" customHeight="true" outlineLevel="0" collapsed="false">
      <c r="A429" s="111" t="str">
        <f aca="false">IF(AND(MBYLLJA_6_7_AUTO!$B$8="PO",POSTIM_NE_DITAR!$D$114&lt;&gt;""),POSTIM_NE_DITAR!A$114,"")</f>
        <v/>
      </c>
      <c r="B429" s="112" t="str">
        <f aca="false">IF(AND(MBYLLJA_6_7_AUTO!$B$8="PO",POSTIM_NE_DITAR!$D$114&lt;&gt;""),POSTIM_NE_DITAR!B$114,"")</f>
        <v/>
      </c>
      <c r="C429" s="112" t="str">
        <f aca="false">IF(AND(MBYLLJA_6_7_AUTO!$B$8="PO",POSTIM_NE_DITAR!$D$114&lt;&gt;""),POSTIM_NE_DITAR!C$114,"")</f>
        <v/>
      </c>
      <c r="D429" s="112" t="str">
        <f aca="false">IF(AND(MBYLLJA_6_7_AUTO!$B$8="PO",POSTIM_NE_DITAR!$D$114&lt;&gt;""),POSTIM_NE_DITAR!D$114,"")</f>
        <v/>
      </c>
      <c r="E429" s="113" t="str">
        <f aca="false">IF(AND(MBYLLJA_6_7_AUTO!$B$8="PO",POSTIM_NE_DITAR!$D$114&lt;&gt;""),POSTIM_NE_DITAR!E$114,"")</f>
        <v/>
      </c>
      <c r="F429" s="114" t="str">
        <f aca="false">IF(AND(MBYLLJA_6_7_AUTO!$B$8="PO",POSTIM_NE_DITAR!$D$114&lt;&gt;""),POSTIM_NE_DITAR!F$114,"")</f>
        <v/>
      </c>
      <c r="G429" s="114" t="str">
        <f aca="false">IF(AND(MBYLLJA_6_7_AUTO!$B$8="PO",POSTIM_NE_DITAR!$D$114&lt;&gt;""),POSTIM_NE_DITAR!G$114,"")</f>
        <v/>
      </c>
      <c r="H429" s="112" t="str">
        <f aca="false">IF(AND(MBYLLJA_6_7_AUTO!$B$8="PO",POSTIM_NE_DITAR!$D$114&lt;&gt;""),POSTIM_NE_DITAR!H$114,"")</f>
        <v/>
      </c>
      <c r="I429" s="112" t="str">
        <f aca="false">IF(AND(MBYLLJA_6_7_AUTO!$B$8="PO",POSTIM_NE_DITAR!$D$114&lt;&gt;""),POSTIM_NE_DITAR!I$114,"")</f>
        <v/>
      </c>
      <c r="J429" s="113" t="str">
        <f aca="false">IF(TRIM($C429)="","",IF($M429&lt;&gt;"OK",$M429,IF(ABS(SUMIFS($F:$F,$C:$C,TRIM($C429))-SUMIFS($G:$G,$C:$C,TRIM($C429)))&lt;0.005,"OK","ERROR - veprimi nuk balancohet")))</f>
        <v/>
      </c>
      <c r="K429" s="115" t="str">
        <f aca="false">IF($D429="","",IFERROR(VLOOKUP($D429,PLANI_LLOGARIVE!$A:$J,10,FALSE()),FALSE()))</f>
        <v/>
      </c>
      <c r="L429" s="115" t="str">
        <f aca="false">IF($D429="","",IFERROR(VLOOKUP($D429,PLANI_LLOGARIVE!$A:$G,7,FALSE()),"NUK EKZISTON"))</f>
        <v/>
      </c>
      <c r="M429" s="115" t="str">
        <f aca="false">IF($D429="","",IF(COUNTIF(PLANI_LLOGARIVE!$A:$A,$D429)=0,"ERROR - llogaria nuk ekziston",IF($K429=TRUE(),"OK","ERROR - llogari jo-postuese/Header")))</f>
        <v/>
      </c>
      <c r="N429" s="115" t="str">
        <f aca="false">IF(TRIM($C429)="","",IF(ABS(SUMIFS($F:$F,$C:$C,TRIM($C429))-SUMIFS($G:$G,$C:$C,TRIM($C429)))&lt;0.005,"OK","ERROR - debi/kredi"))</f>
        <v/>
      </c>
      <c r="S429" s="116" t="str">
        <f aca="false">IF(D429="","",LEFT(D429&amp;"",2))</f>
        <v/>
      </c>
      <c r="T429" s="101" t="str">
        <f aca="false">IF(D429="","",LEFT(D429&amp;"",3))</f>
        <v/>
      </c>
    </row>
    <row r="430" customFormat="false" ht="14.25" hidden="false" customHeight="true" outlineLevel="0" collapsed="false">
      <c r="A430" s="111" t="str">
        <f aca="false">IF(AND(MBYLLJA_6_7_AUTO!$B$8="PO",POSTIM_NE_DITAR!$D$123&lt;&gt;""),POSTIM_NE_DITAR!A$123,"")</f>
        <v/>
      </c>
      <c r="B430" s="112" t="str">
        <f aca="false">IF(AND(MBYLLJA_6_7_AUTO!$B$8="PO",POSTIM_NE_DITAR!$D$123&lt;&gt;""),POSTIM_NE_DITAR!B$123,"")</f>
        <v/>
      </c>
      <c r="C430" s="112" t="str">
        <f aca="false">IF(AND(MBYLLJA_6_7_AUTO!$B$8="PO",POSTIM_NE_DITAR!$D$123&lt;&gt;""),POSTIM_NE_DITAR!C$123,"")</f>
        <v/>
      </c>
      <c r="D430" s="112" t="str">
        <f aca="false">IF(AND(MBYLLJA_6_7_AUTO!$B$8="PO",POSTIM_NE_DITAR!$D$123&lt;&gt;""),POSTIM_NE_DITAR!D$123,"")</f>
        <v/>
      </c>
      <c r="E430" s="113" t="str">
        <f aca="false">IF(AND(MBYLLJA_6_7_AUTO!$B$8="PO",POSTIM_NE_DITAR!$D$123&lt;&gt;""),POSTIM_NE_DITAR!E$123,"")</f>
        <v/>
      </c>
      <c r="F430" s="114" t="str">
        <f aca="false">IF(AND(MBYLLJA_6_7_AUTO!$B$8="PO",POSTIM_NE_DITAR!$D$123&lt;&gt;""),POSTIM_NE_DITAR!F$123,"")</f>
        <v/>
      </c>
      <c r="G430" s="114" t="str">
        <f aca="false">IF(AND(MBYLLJA_6_7_AUTO!$B$8="PO",POSTIM_NE_DITAR!$D$123&lt;&gt;""),POSTIM_NE_DITAR!G$123,"")</f>
        <v/>
      </c>
      <c r="H430" s="112" t="str">
        <f aca="false">IF(AND(MBYLLJA_6_7_AUTO!$B$8="PO",POSTIM_NE_DITAR!$D$123&lt;&gt;""),POSTIM_NE_DITAR!H$123,"")</f>
        <v/>
      </c>
      <c r="I430" s="112" t="str">
        <f aca="false">IF(AND(MBYLLJA_6_7_AUTO!$B$8="PO",POSTIM_NE_DITAR!$D$123&lt;&gt;""),POSTIM_NE_DITAR!I$123,"")</f>
        <v/>
      </c>
      <c r="J430" s="113" t="str">
        <f aca="false">IF(TRIM($C430)="","",IF($M430&lt;&gt;"OK",$M430,IF(ABS(SUMIFS($F:$F,$C:$C,TRIM($C430))-SUMIFS($G:$G,$C:$C,TRIM($C430)))&lt;0.005,"OK","ERROR - veprimi nuk balancohet")))</f>
        <v/>
      </c>
      <c r="K430" s="115" t="str">
        <f aca="false">IF($D430="","",IFERROR(VLOOKUP($D430,PLANI_LLOGARIVE!$A:$J,10,FALSE()),FALSE()))</f>
        <v/>
      </c>
      <c r="L430" s="115" t="str">
        <f aca="false">IF($D430="","",IFERROR(VLOOKUP($D430,PLANI_LLOGARIVE!$A:$G,7,FALSE()),"NUK EKZISTON"))</f>
        <v/>
      </c>
      <c r="M430" s="115" t="str">
        <f aca="false">IF($D430="","",IF(COUNTIF(PLANI_LLOGARIVE!$A:$A,$D430)=0,"ERROR - llogaria nuk ekziston",IF($K430=TRUE(),"OK","ERROR - llogari jo-postuese/Header")))</f>
        <v/>
      </c>
      <c r="N430" s="115" t="str">
        <f aca="false">IF(TRIM($C430)="","",IF(ABS(SUMIFS($F:$F,$C:$C,TRIM($C430))-SUMIFS($G:$G,$C:$C,TRIM($C430)))&lt;0.005,"OK","ERROR - debi/kredi"))</f>
        <v/>
      </c>
      <c r="S430" s="116" t="str">
        <f aca="false">IF(D430="","",LEFT(D430&amp;"",2))</f>
        <v/>
      </c>
      <c r="T430" s="101" t="str">
        <f aca="false">IF(D430="","",LEFT(D430&amp;"",3))</f>
        <v/>
      </c>
    </row>
    <row r="431" customFormat="false" ht="14.25" hidden="false" customHeight="true" outlineLevel="0" collapsed="false">
      <c r="A431" s="111" t="str">
        <f aca="false">IF(AND(MBYLLJA_6_7_AUTO!$B$8="PO",POSTIM_NE_DITAR!$D$124&lt;&gt;""),POSTIM_NE_DITAR!A$124,"")</f>
        <v/>
      </c>
      <c r="B431" s="112" t="str">
        <f aca="false">IF(AND(MBYLLJA_6_7_AUTO!$B$8="PO",POSTIM_NE_DITAR!$D$124&lt;&gt;""),POSTIM_NE_DITAR!B$124,"")</f>
        <v/>
      </c>
      <c r="C431" s="112" t="str">
        <f aca="false">IF(AND(MBYLLJA_6_7_AUTO!$B$8="PO",POSTIM_NE_DITAR!$D$124&lt;&gt;""),POSTIM_NE_DITAR!C$124,"")</f>
        <v/>
      </c>
      <c r="D431" s="112" t="str">
        <f aca="false">IF(AND(MBYLLJA_6_7_AUTO!$B$8="PO",POSTIM_NE_DITAR!$D$124&lt;&gt;""),POSTIM_NE_DITAR!D$124,"")</f>
        <v/>
      </c>
      <c r="E431" s="113" t="str">
        <f aca="false">IF(AND(MBYLLJA_6_7_AUTO!$B$8="PO",POSTIM_NE_DITAR!$D$124&lt;&gt;""),POSTIM_NE_DITAR!E$124,"")</f>
        <v/>
      </c>
      <c r="F431" s="114" t="str">
        <f aca="false">IF(AND(MBYLLJA_6_7_AUTO!$B$8="PO",POSTIM_NE_DITAR!$D$124&lt;&gt;""),POSTIM_NE_DITAR!F$124,"")</f>
        <v/>
      </c>
      <c r="G431" s="114" t="str">
        <f aca="false">IF(AND(MBYLLJA_6_7_AUTO!$B$8="PO",POSTIM_NE_DITAR!$D$124&lt;&gt;""),POSTIM_NE_DITAR!G$124,"")</f>
        <v/>
      </c>
      <c r="H431" s="112" t="str">
        <f aca="false">IF(AND(MBYLLJA_6_7_AUTO!$B$8="PO",POSTIM_NE_DITAR!$D$124&lt;&gt;""),POSTIM_NE_DITAR!H$124,"")</f>
        <v/>
      </c>
      <c r="I431" s="112" t="str">
        <f aca="false">IF(AND(MBYLLJA_6_7_AUTO!$B$8="PO",POSTIM_NE_DITAR!$D$124&lt;&gt;""),POSTIM_NE_DITAR!I$124,"")</f>
        <v/>
      </c>
      <c r="J431" s="113" t="str">
        <f aca="false">IF(TRIM($C431)="","",IF($M431&lt;&gt;"OK",$M431,IF(ABS(SUMIFS($F:$F,$C:$C,TRIM($C431))-SUMIFS($G:$G,$C:$C,TRIM($C431)))&lt;0.005,"OK","ERROR - veprimi nuk balancohet")))</f>
        <v/>
      </c>
      <c r="K431" s="115" t="str">
        <f aca="false">IF($D431="","",IFERROR(VLOOKUP($D431,PLANI_LLOGARIVE!$A:$J,10,FALSE()),FALSE()))</f>
        <v/>
      </c>
      <c r="L431" s="115" t="str">
        <f aca="false">IF($D431="","",IFERROR(VLOOKUP($D431,PLANI_LLOGARIVE!$A:$G,7,FALSE()),"NUK EKZISTON"))</f>
        <v/>
      </c>
      <c r="M431" s="115" t="str">
        <f aca="false">IF($D431="","",IF(COUNTIF(PLANI_LLOGARIVE!$A:$A,$D431)=0,"ERROR - llogaria nuk ekziston",IF($K431=TRUE(),"OK","ERROR - llogari jo-postuese/Header")))</f>
        <v/>
      </c>
      <c r="N431" s="115" t="str">
        <f aca="false">IF(TRIM($C431)="","",IF(ABS(SUMIFS($F:$F,$C:$C,TRIM($C431))-SUMIFS($G:$G,$C:$C,TRIM($C431)))&lt;0.005,"OK","ERROR - debi/kredi"))</f>
        <v/>
      </c>
      <c r="S431" s="116" t="str">
        <f aca="false">IF(D431="","",LEFT(D431&amp;"",2))</f>
        <v/>
      </c>
      <c r="T431" s="101" t="str">
        <f aca="false">IF(D431="","",LEFT(D431&amp;"",3))</f>
        <v/>
      </c>
    </row>
    <row r="432" customFormat="false" ht="14.25" hidden="false" customHeight="true" outlineLevel="0" collapsed="false">
      <c r="A432" s="111" t="str">
        <f aca="false">IF(AND(MBYLLJA_6_7_AUTO!$B$8="PO",POSTIM_NE_DITAR!$D$133&lt;&gt;""),POSTIM_NE_DITAR!A$133,"")</f>
        <v/>
      </c>
      <c r="B432" s="112" t="str">
        <f aca="false">IF(AND(MBYLLJA_6_7_AUTO!$B$8="PO",POSTIM_NE_DITAR!$D$133&lt;&gt;""),POSTIM_NE_DITAR!B$133,"")</f>
        <v/>
      </c>
      <c r="C432" s="112" t="str">
        <f aca="false">IF(AND(MBYLLJA_6_7_AUTO!$B$8="PO",POSTIM_NE_DITAR!$D$133&lt;&gt;""),POSTIM_NE_DITAR!C$133,"")</f>
        <v/>
      </c>
      <c r="D432" s="112" t="str">
        <f aca="false">IF(AND(MBYLLJA_6_7_AUTO!$B$8="PO",POSTIM_NE_DITAR!$D$133&lt;&gt;""),POSTIM_NE_DITAR!D$133,"")</f>
        <v/>
      </c>
      <c r="E432" s="113" t="str">
        <f aca="false">IF(AND(MBYLLJA_6_7_AUTO!$B$8="PO",POSTIM_NE_DITAR!$D$133&lt;&gt;""),POSTIM_NE_DITAR!E$133,"")</f>
        <v/>
      </c>
      <c r="F432" s="114" t="str">
        <f aca="false">IF(AND(MBYLLJA_6_7_AUTO!$B$8="PO",POSTIM_NE_DITAR!$D$133&lt;&gt;""),POSTIM_NE_DITAR!F$133,"")</f>
        <v/>
      </c>
      <c r="G432" s="114" t="str">
        <f aca="false">IF(AND(MBYLLJA_6_7_AUTO!$B$8="PO",POSTIM_NE_DITAR!$D$133&lt;&gt;""),POSTIM_NE_DITAR!G$133,"")</f>
        <v/>
      </c>
      <c r="H432" s="112" t="str">
        <f aca="false">IF(AND(MBYLLJA_6_7_AUTO!$B$8="PO",POSTIM_NE_DITAR!$D$133&lt;&gt;""),POSTIM_NE_DITAR!H$133,"")</f>
        <v/>
      </c>
      <c r="I432" s="112" t="str">
        <f aca="false">IF(AND(MBYLLJA_6_7_AUTO!$B$8="PO",POSTIM_NE_DITAR!$D$133&lt;&gt;""),POSTIM_NE_DITAR!I$133,"")</f>
        <v/>
      </c>
      <c r="J432" s="113" t="str">
        <f aca="false">IF(TRIM($C432)="","",IF($M432&lt;&gt;"OK",$M432,IF(ABS(SUMIFS($F:$F,$C:$C,TRIM($C432))-SUMIFS($G:$G,$C:$C,TRIM($C432)))&lt;0.005,"OK","ERROR - veprimi nuk balancohet")))</f>
        <v/>
      </c>
      <c r="K432" s="115" t="str">
        <f aca="false">IF($D432="","",IFERROR(VLOOKUP($D432,PLANI_LLOGARIVE!$A:$J,10,FALSE()),FALSE()))</f>
        <v/>
      </c>
      <c r="L432" s="115" t="str">
        <f aca="false">IF($D432="","",IFERROR(VLOOKUP($D432,PLANI_LLOGARIVE!$A:$G,7,FALSE()),"NUK EKZISTON"))</f>
        <v/>
      </c>
      <c r="M432" s="115" t="str">
        <f aca="false">IF($D432="","",IF(COUNTIF(PLANI_LLOGARIVE!$A:$A,$D432)=0,"ERROR - llogaria nuk ekziston",IF($K432=TRUE(),"OK","ERROR - llogari jo-postuese/Header")))</f>
        <v/>
      </c>
      <c r="N432" s="115" t="str">
        <f aca="false">IF(TRIM($C432)="","",IF(ABS(SUMIFS($F:$F,$C:$C,TRIM($C432))-SUMIFS($G:$G,$C:$C,TRIM($C432)))&lt;0.005,"OK","ERROR - debi/kredi"))</f>
        <v/>
      </c>
      <c r="S432" s="116" t="str">
        <f aca="false">IF(D432="","",LEFT(D432&amp;"",2))</f>
        <v/>
      </c>
      <c r="T432" s="101" t="str">
        <f aca="false">IF(D432="","",LEFT(D432&amp;"",3))</f>
        <v/>
      </c>
    </row>
    <row r="433" customFormat="false" ht="14.25" hidden="false" customHeight="true" outlineLevel="0" collapsed="false">
      <c r="A433" s="111" t="str">
        <f aca="false">IF(AND(MBYLLJA_6_7_AUTO!$B$8="PO",POSTIM_NE_DITAR!$D$134&lt;&gt;""),POSTIM_NE_DITAR!A$134,"")</f>
        <v/>
      </c>
      <c r="B433" s="112" t="str">
        <f aca="false">IF(AND(MBYLLJA_6_7_AUTO!$B$8="PO",POSTIM_NE_DITAR!$D$134&lt;&gt;""),POSTIM_NE_DITAR!B$134,"")</f>
        <v/>
      </c>
      <c r="C433" s="112" t="str">
        <f aca="false">IF(AND(MBYLLJA_6_7_AUTO!$B$8="PO",POSTIM_NE_DITAR!$D$134&lt;&gt;""),POSTIM_NE_DITAR!C$134,"")</f>
        <v/>
      </c>
      <c r="D433" s="112" t="str">
        <f aca="false">IF(AND(MBYLLJA_6_7_AUTO!$B$8="PO",POSTIM_NE_DITAR!$D$134&lt;&gt;""),POSTIM_NE_DITAR!D$134,"")</f>
        <v/>
      </c>
      <c r="E433" s="113" t="str">
        <f aca="false">IF(AND(MBYLLJA_6_7_AUTO!$B$8="PO",POSTIM_NE_DITAR!$D$134&lt;&gt;""),POSTIM_NE_DITAR!E$134,"")</f>
        <v/>
      </c>
      <c r="F433" s="114" t="str">
        <f aca="false">IF(AND(MBYLLJA_6_7_AUTO!$B$8="PO",POSTIM_NE_DITAR!$D$134&lt;&gt;""),POSTIM_NE_DITAR!F$134,"")</f>
        <v/>
      </c>
      <c r="G433" s="114" t="str">
        <f aca="false">IF(AND(MBYLLJA_6_7_AUTO!$B$8="PO",POSTIM_NE_DITAR!$D$134&lt;&gt;""),POSTIM_NE_DITAR!G$134,"")</f>
        <v/>
      </c>
      <c r="H433" s="112" t="str">
        <f aca="false">IF(AND(MBYLLJA_6_7_AUTO!$B$8="PO",POSTIM_NE_DITAR!$D$134&lt;&gt;""),POSTIM_NE_DITAR!H$134,"")</f>
        <v/>
      </c>
      <c r="I433" s="112" t="str">
        <f aca="false">IF(AND(MBYLLJA_6_7_AUTO!$B$8="PO",POSTIM_NE_DITAR!$D$134&lt;&gt;""),POSTIM_NE_DITAR!I$134,"")</f>
        <v/>
      </c>
      <c r="J433" s="113" t="str">
        <f aca="false">IF(TRIM($C433)="","",IF($M433&lt;&gt;"OK",$M433,IF(ABS(SUMIFS($F:$F,$C:$C,TRIM($C433))-SUMIFS($G:$G,$C:$C,TRIM($C433)))&lt;0.005,"OK","ERROR - veprimi nuk balancohet")))</f>
        <v/>
      </c>
      <c r="K433" s="115" t="str">
        <f aca="false">IF($D433="","",IFERROR(VLOOKUP($D433,PLANI_LLOGARIVE!$A:$J,10,FALSE()),FALSE()))</f>
        <v/>
      </c>
      <c r="L433" s="115" t="str">
        <f aca="false">IF($D433="","",IFERROR(VLOOKUP($D433,PLANI_LLOGARIVE!$A:$G,7,FALSE()),"NUK EKZISTON"))</f>
        <v/>
      </c>
      <c r="M433" s="115" t="str">
        <f aca="false">IF($D433="","",IF(COUNTIF(PLANI_LLOGARIVE!$A:$A,$D433)=0,"ERROR - llogaria nuk ekziston",IF($K433=TRUE(),"OK","ERROR - llogari jo-postuese/Header")))</f>
        <v/>
      </c>
      <c r="N433" s="115" t="str">
        <f aca="false">IF(TRIM($C433)="","",IF(ABS(SUMIFS($F:$F,$C:$C,TRIM($C433))-SUMIFS($G:$G,$C:$C,TRIM($C433)))&lt;0.005,"OK","ERROR - debi/kredi"))</f>
        <v/>
      </c>
      <c r="S433" s="116" t="str">
        <f aca="false">IF(D433="","",LEFT(D433&amp;"",2))</f>
        <v/>
      </c>
      <c r="T433" s="101" t="str">
        <f aca="false">IF(D433="","",LEFT(D433&amp;"",3))</f>
        <v/>
      </c>
    </row>
    <row r="434" customFormat="false" ht="14.25" hidden="false" customHeight="true" outlineLevel="0" collapsed="false">
      <c r="A434" s="111" t="str">
        <f aca="false">IF(AND(MBYLLJA_6_7_AUTO!$B$8="PO",POSTIM_NE_DITAR!$D$136&lt;&gt;""),POSTIM_NE_DITAR!A$136,"")</f>
        <v/>
      </c>
      <c r="B434" s="112" t="str">
        <f aca="false">IF(AND(MBYLLJA_6_7_AUTO!$B$8="PO",POSTIM_NE_DITAR!$D$136&lt;&gt;""),POSTIM_NE_DITAR!B$136,"")</f>
        <v/>
      </c>
      <c r="C434" s="112" t="str">
        <f aca="false">IF(AND(MBYLLJA_6_7_AUTO!$B$8="PO",POSTIM_NE_DITAR!$D$136&lt;&gt;""),POSTIM_NE_DITAR!C$136,"")</f>
        <v/>
      </c>
      <c r="D434" s="112" t="str">
        <f aca="false">IF(AND(MBYLLJA_6_7_AUTO!$B$8="PO",POSTIM_NE_DITAR!$D$136&lt;&gt;""),POSTIM_NE_DITAR!D$136,"")</f>
        <v/>
      </c>
      <c r="E434" s="113" t="str">
        <f aca="false">IF(AND(MBYLLJA_6_7_AUTO!$B$8="PO",POSTIM_NE_DITAR!$D$136&lt;&gt;""),POSTIM_NE_DITAR!E$136,"")</f>
        <v/>
      </c>
      <c r="F434" s="114" t="str">
        <f aca="false">IF(AND(MBYLLJA_6_7_AUTO!$B$8="PO",POSTIM_NE_DITAR!$D$136&lt;&gt;""),POSTIM_NE_DITAR!F$136,"")</f>
        <v/>
      </c>
      <c r="G434" s="114" t="str">
        <f aca="false">IF(AND(MBYLLJA_6_7_AUTO!$B$8="PO",POSTIM_NE_DITAR!$D$136&lt;&gt;""),POSTIM_NE_DITAR!G$136,"")</f>
        <v/>
      </c>
      <c r="H434" s="112" t="str">
        <f aca="false">IF(AND(MBYLLJA_6_7_AUTO!$B$8="PO",POSTIM_NE_DITAR!$D$136&lt;&gt;""),POSTIM_NE_DITAR!H$136,"")</f>
        <v/>
      </c>
      <c r="I434" s="112" t="str">
        <f aca="false">IF(AND(MBYLLJA_6_7_AUTO!$B$8="PO",POSTIM_NE_DITAR!$D$136&lt;&gt;""),POSTIM_NE_DITAR!I$136,"")</f>
        <v/>
      </c>
      <c r="J434" s="113" t="str">
        <f aca="false">IF(TRIM($C434)="","",IF($M434&lt;&gt;"OK",$M434,IF(ABS(SUMIFS($F:$F,$C:$C,TRIM($C434))-SUMIFS($G:$G,$C:$C,TRIM($C434)))&lt;0.005,"OK","ERROR - veprimi nuk balancohet")))</f>
        <v/>
      </c>
      <c r="K434" s="115" t="str">
        <f aca="false">IF($D434="","",IFERROR(VLOOKUP($D434,PLANI_LLOGARIVE!$A:$J,10,FALSE()),FALSE()))</f>
        <v/>
      </c>
      <c r="L434" s="115" t="str">
        <f aca="false">IF($D434="","",IFERROR(VLOOKUP($D434,PLANI_LLOGARIVE!$A:$G,7,FALSE()),"NUK EKZISTON"))</f>
        <v/>
      </c>
      <c r="M434" s="115" t="str">
        <f aca="false">IF($D434="","",IF(COUNTIF(PLANI_LLOGARIVE!$A:$A,$D434)=0,"ERROR - llogaria nuk ekziston",IF($K434=TRUE(),"OK","ERROR - llogari jo-postuese/Header")))</f>
        <v/>
      </c>
      <c r="N434" s="115" t="str">
        <f aca="false">IF(TRIM($C434)="","",IF(ABS(SUMIFS($F:$F,$C:$C,TRIM($C434))-SUMIFS($G:$G,$C:$C,TRIM($C434)))&lt;0.005,"OK","ERROR - debi/kredi"))</f>
        <v/>
      </c>
      <c r="S434" s="116" t="str">
        <f aca="false">IF(D434="","",LEFT(D434&amp;"",2))</f>
        <v/>
      </c>
      <c r="T434" s="101" t="str">
        <f aca="false">IF(D434="","",LEFT(D434&amp;"",3))</f>
        <v/>
      </c>
    </row>
    <row r="435" customFormat="false" ht="14.25" hidden="false" customHeight="true" outlineLevel="0" collapsed="false">
      <c r="A435" s="111" t="str">
        <f aca="false">IF(AND(MBYLLJA_6_7_AUTO!$B$8="PO",POSTIM_NE_DITAR!$D$137&lt;&gt;""),POSTIM_NE_DITAR!A$137,"")</f>
        <v/>
      </c>
      <c r="B435" s="112" t="str">
        <f aca="false">IF(AND(MBYLLJA_6_7_AUTO!$B$8="PO",POSTIM_NE_DITAR!$D$137&lt;&gt;""),POSTIM_NE_DITAR!B$137,"")</f>
        <v/>
      </c>
      <c r="C435" s="112" t="str">
        <f aca="false">IF(AND(MBYLLJA_6_7_AUTO!$B$8="PO",POSTIM_NE_DITAR!$D$137&lt;&gt;""),POSTIM_NE_DITAR!C$137,"")</f>
        <v/>
      </c>
      <c r="D435" s="112" t="str">
        <f aca="false">IF(AND(MBYLLJA_6_7_AUTO!$B$8="PO",POSTIM_NE_DITAR!$D$137&lt;&gt;""),POSTIM_NE_DITAR!D$137,"")</f>
        <v/>
      </c>
      <c r="E435" s="113" t="str">
        <f aca="false">IF(AND(MBYLLJA_6_7_AUTO!$B$8="PO",POSTIM_NE_DITAR!$D$137&lt;&gt;""),POSTIM_NE_DITAR!E$137,"")</f>
        <v/>
      </c>
      <c r="F435" s="114" t="str">
        <f aca="false">IF(AND(MBYLLJA_6_7_AUTO!$B$8="PO",POSTIM_NE_DITAR!$D$137&lt;&gt;""),POSTIM_NE_DITAR!F$137,"")</f>
        <v/>
      </c>
      <c r="G435" s="114" t="str">
        <f aca="false">IF(AND(MBYLLJA_6_7_AUTO!$B$8="PO",POSTIM_NE_DITAR!$D$137&lt;&gt;""),POSTIM_NE_DITAR!G$137,"")</f>
        <v/>
      </c>
      <c r="H435" s="112" t="str">
        <f aca="false">IF(AND(MBYLLJA_6_7_AUTO!$B$8="PO",POSTIM_NE_DITAR!$D$137&lt;&gt;""),POSTIM_NE_DITAR!H$137,"")</f>
        <v/>
      </c>
      <c r="I435" s="112" t="str">
        <f aca="false">IF(AND(MBYLLJA_6_7_AUTO!$B$8="PO",POSTIM_NE_DITAR!$D$137&lt;&gt;""),POSTIM_NE_DITAR!I$137,"")</f>
        <v/>
      </c>
      <c r="J435" s="113" t="str">
        <f aca="false">IF(TRIM($C435)="","",IF($M435&lt;&gt;"OK",$M435,IF(ABS(SUMIFS($F:$F,$C:$C,TRIM($C435))-SUMIFS($G:$G,$C:$C,TRIM($C435)))&lt;0.005,"OK","ERROR - veprimi nuk balancohet")))</f>
        <v/>
      </c>
      <c r="K435" s="115" t="str">
        <f aca="false">IF($D435="","",IFERROR(VLOOKUP($D435,PLANI_LLOGARIVE!$A:$J,10,FALSE()),FALSE()))</f>
        <v/>
      </c>
      <c r="L435" s="115" t="str">
        <f aca="false">IF($D435="","",IFERROR(VLOOKUP($D435,PLANI_LLOGARIVE!$A:$G,7,FALSE()),"NUK EKZISTON"))</f>
        <v/>
      </c>
      <c r="M435" s="115" t="str">
        <f aca="false">IF($D435="","",IF(COUNTIF(PLANI_LLOGARIVE!$A:$A,$D435)=0,"ERROR - llogaria nuk ekziston",IF($K435=TRUE(),"OK","ERROR - llogari jo-postuese/Header")))</f>
        <v/>
      </c>
      <c r="N435" s="115" t="str">
        <f aca="false">IF(TRIM($C435)="","",IF(ABS(SUMIFS($F:$F,$C:$C,TRIM($C435))-SUMIFS($G:$G,$C:$C,TRIM($C435)))&lt;0.005,"OK","ERROR - debi/kredi"))</f>
        <v/>
      </c>
      <c r="S435" s="116" t="str">
        <f aca="false">IF(D435="","",LEFT(D435&amp;"",2))</f>
        <v/>
      </c>
      <c r="T435" s="101" t="str">
        <f aca="false">IF(D435="","",LEFT(D435&amp;"",3))</f>
        <v/>
      </c>
    </row>
    <row r="436" customFormat="false" ht="14.25" hidden="false" customHeight="true" outlineLevel="0" collapsed="false">
      <c r="A436" s="111" t="str">
        <f aca="false">IF(AND(MBYLLJA_6_7_AUTO!$B$8="PO",POSTIM_NE_DITAR!$D$138&lt;&gt;""),POSTIM_NE_DITAR!A$138,"")</f>
        <v/>
      </c>
      <c r="B436" s="112" t="str">
        <f aca="false">IF(AND(MBYLLJA_6_7_AUTO!$B$8="PO",POSTIM_NE_DITAR!$D$138&lt;&gt;""),POSTIM_NE_DITAR!B$138,"")</f>
        <v/>
      </c>
      <c r="C436" s="112" t="str">
        <f aca="false">IF(AND(MBYLLJA_6_7_AUTO!$B$8="PO",POSTIM_NE_DITAR!$D$138&lt;&gt;""),POSTIM_NE_DITAR!C$138,"")</f>
        <v/>
      </c>
      <c r="D436" s="112" t="str">
        <f aca="false">IF(AND(MBYLLJA_6_7_AUTO!$B$8="PO",POSTIM_NE_DITAR!$D$138&lt;&gt;""),POSTIM_NE_DITAR!D$138,"")</f>
        <v/>
      </c>
      <c r="E436" s="113" t="str">
        <f aca="false">IF(AND(MBYLLJA_6_7_AUTO!$B$8="PO",POSTIM_NE_DITAR!$D$138&lt;&gt;""),POSTIM_NE_DITAR!E$138,"")</f>
        <v/>
      </c>
      <c r="F436" s="114" t="str">
        <f aca="false">IF(AND(MBYLLJA_6_7_AUTO!$B$8="PO",POSTIM_NE_DITAR!$D$138&lt;&gt;""),POSTIM_NE_DITAR!F$138,"")</f>
        <v/>
      </c>
      <c r="G436" s="114" t="str">
        <f aca="false">IF(AND(MBYLLJA_6_7_AUTO!$B$8="PO",POSTIM_NE_DITAR!$D$138&lt;&gt;""),POSTIM_NE_DITAR!G$138,"")</f>
        <v/>
      </c>
      <c r="H436" s="112" t="str">
        <f aca="false">IF(AND(MBYLLJA_6_7_AUTO!$B$8="PO",POSTIM_NE_DITAR!$D$138&lt;&gt;""),POSTIM_NE_DITAR!H$138,"")</f>
        <v/>
      </c>
      <c r="I436" s="112" t="str">
        <f aca="false">IF(AND(MBYLLJA_6_7_AUTO!$B$8="PO",POSTIM_NE_DITAR!$D$138&lt;&gt;""),POSTIM_NE_DITAR!I$138,"")</f>
        <v/>
      </c>
      <c r="J436" s="113" t="str">
        <f aca="false">IF(TRIM($C436)="","",IF($M436&lt;&gt;"OK",$M436,IF(ABS(SUMIFS($F:$F,$C:$C,TRIM($C436))-SUMIFS($G:$G,$C:$C,TRIM($C436)))&lt;0.005,"OK","ERROR - veprimi nuk balancohet")))</f>
        <v/>
      </c>
      <c r="K436" s="115" t="str">
        <f aca="false">IF($D436="","",IFERROR(VLOOKUP($D436,PLANI_LLOGARIVE!$A:$J,10,FALSE()),FALSE()))</f>
        <v/>
      </c>
      <c r="L436" s="115" t="str">
        <f aca="false">IF($D436="","",IFERROR(VLOOKUP($D436,PLANI_LLOGARIVE!$A:$G,7,FALSE()),"NUK EKZISTON"))</f>
        <v/>
      </c>
      <c r="M436" s="115" t="str">
        <f aca="false">IF($D436="","",IF(COUNTIF(PLANI_LLOGARIVE!$A:$A,$D436)=0,"ERROR - llogaria nuk ekziston",IF($K436=TRUE(),"OK","ERROR - llogari jo-postuese/Header")))</f>
        <v/>
      </c>
      <c r="N436" s="115" t="str">
        <f aca="false">IF(TRIM($C436)="","",IF(ABS(SUMIFS($F:$F,$C:$C,TRIM($C436))-SUMIFS($G:$G,$C:$C,TRIM($C436)))&lt;0.005,"OK","ERROR - debi/kredi"))</f>
        <v/>
      </c>
      <c r="S436" s="116" t="str">
        <f aca="false">IF(D436="","",LEFT(D436&amp;"",2))</f>
        <v/>
      </c>
      <c r="T436" s="101" t="str">
        <f aca="false">IF(D436="","",LEFT(D436&amp;"",3))</f>
        <v/>
      </c>
    </row>
    <row r="437" customFormat="false" ht="14.25" hidden="false" customHeight="true" outlineLevel="0" collapsed="false">
      <c r="A437" s="111" t="str">
        <f aca="false">IF(AND(MBYLLJA_6_7_AUTO!$B$8="PO",POSTIM_NE_DITAR!$D$139&lt;&gt;""),POSTIM_NE_DITAR!A$139,"")</f>
        <v/>
      </c>
      <c r="B437" s="112" t="str">
        <f aca="false">IF(AND(MBYLLJA_6_7_AUTO!$B$8="PO",POSTIM_NE_DITAR!$D$139&lt;&gt;""),POSTIM_NE_DITAR!B$139,"")</f>
        <v/>
      </c>
      <c r="C437" s="112" t="str">
        <f aca="false">IF(AND(MBYLLJA_6_7_AUTO!$B$8="PO",POSTIM_NE_DITAR!$D$139&lt;&gt;""),POSTIM_NE_DITAR!C$139,"")</f>
        <v/>
      </c>
      <c r="D437" s="112" t="str">
        <f aca="false">IF(AND(MBYLLJA_6_7_AUTO!$B$8="PO",POSTIM_NE_DITAR!$D$139&lt;&gt;""),POSTIM_NE_DITAR!D$139,"")</f>
        <v/>
      </c>
      <c r="E437" s="113" t="str">
        <f aca="false">IF(AND(MBYLLJA_6_7_AUTO!$B$8="PO",POSTIM_NE_DITAR!$D$139&lt;&gt;""),POSTIM_NE_DITAR!E$139,"")</f>
        <v/>
      </c>
      <c r="F437" s="114" t="str">
        <f aca="false">IF(AND(MBYLLJA_6_7_AUTO!$B$8="PO",POSTIM_NE_DITAR!$D$139&lt;&gt;""),POSTIM_NE_DITAR!F$139,"")</f>
        <v/>
      </c>
      <c r="G437" s="114" t="str">
        <f aca="false">IF(AND(MBYLLJA_6_7_AUTO!$B$8="PO",POSTIM_NE_DITAR!$D$139&lt;&gt;""),POSTIM_NE_DITAR!G$139,"")</f>
        <v/>
      </c>
      <c r="H437" s="112" t="str">
        <f aca="false">IF(AND(MBYLLJA_6_7_AUTO!$B$8="PO",POSTIM_NE_DITAR!$D$139&lt;&gt;""),POSTIM_NE_DITAR!H$139,"")</f>
        <v/>
      </c>
      <c r="I437" s="112" t="str">
        <f aca="false">IF(AND(MBYLLJA_6_7_AUTO!$B$8="PO",POSTIM_NE_DITAR!$D$139&lt;&gt;""),POSTIM_NE_DITAR!I$139,"")</f>
        <v/>
      </c>
      <c r="J437" s="113" t="str">
        <f aca="false">IF(TRIM($C437)="","",IF($M437&lt;&gt;"OK",$M437,IF(ABS(SUMIFS($F:$F,$C:$C,TRIM($C437))-SUMIFS($G:$G,$C:$C,TRIM($C437)))&lt;0.005,"OK","ERROR - veprimi nuk balancohet")))</f>
        <v/>
      </c>
      <c r="K437" s="115" t="str">
        <f aca="false">IF($D437="","",IFERROR(VLOOKUP($D437,PLANI_LLOGARIVE!$A:$J,10,FALSE()),FALSE()))</f>
        <v/>
      </c>
      <c r="L437" s="115" t="str">
        <f aca="false">IF($D437="","",IFERROR(VLOOKUP($D437,PLANI_LLOGARIVE!$A:$G,7,FALSE()),"NUK EKZISTON"))</f>
        <v/>
      </c>
      <c r="M437" s="115" t="str">
        <f aca="false">IF($D437="","",IF(COUNTIF(PLANI_LLOGARIVE!$A:$A,$D437)=0,"ERROR - llogaria nuk ekziston",IF($K437=TRUE(),"OK","ERROR - llogari jo-postuese/Header")))</f>
        <v/>
      </c>
      <c r="N437" s="115" t="str">
        <f aca="false">IF(TRIM($C437)="","",IF(ABS(SUMIFS($F:$F,$C:$C,TRIM($C437))-SUMIFS($G:$G,$C:$C,TRIM($C437)))&lt;0.005,"OK","ERROR - debi/kredi"))</f>
        <v/>
      </c>
      <c r="S437" s="116" t="str">
        <f aca="false">IF(D437="","",LEFT(D437&amp;"",2))</f>
        <v/>
      </c>
      <c r="T437" s="101" t="str">
        <f aca="false">IF(D437="","",LEFT(D437&amp;"",3))</f>
        <v/>
      </c>
    </row>
    <row r="438" customFormat="false" ht="14.25" hidden="false" customHeight="true" outlineLevel="0" collapsed="false">
      <c r="A438" s="111" t="str">
        <f aca="false">IF(AND(MBYLLJA_6_7_AUTO!$B$8="PO",POSTIM_NE_DITAR!$D$140&lt;&gt;""),POSTIM_NE_DITAR!A$140,"")</f>
        <v/>
      </c>
      <c r="B438" s="112" t="str">
        <f aca="false">IF(AND(MBYLLJA_6_7_AUTO!$B$8="PO",POSTIM_NE_DITAR!$D$140&lt;&gt;""),POSTIM_NE_DITAR!B$140,"")</f>
        <v/>
      </c>
      <c r="C438" s="112" t="str">
        <f aca="false">IF(AND(MBYLLJA_6_7_AUTO!$B$8="PO",POSTIM_NE_DITAR!$D$140&lt;&gt;""),POSTIM_NE_DITAR!C$140,"")</f>
        <v/>
      </c>
      <c r="D438" s="112" t="str">
        <f aca="false">IF(AND(MBYLLJA_6_7_AUTO!$B$8="PO",POSTIM_NE_DITAR!$D$140&lt;&gt;""),POSTIM_NE_DITAR!D$140,"")</f>
        <v/>
      </c>
      <c r="E438" s="113" t="str">
        <f aca="false">IF(AND(MBYLLJA_6_7_AUTO!$B$8="PO",POSTIM_NE_DITAR!$D$140&lt;&gt;""),POSTIM_NE_DITAR!E$140,"")</f>
        <v/>
      </c>
      <c r="F438" s="114" t="str">
        <f aca="false">IF(AND(MBYLLJA_6_7_AUTO!$B$8="PO",POSTIM_NE_DITAR!$D$140&lt;&gt;""),POSTIM_NE_DITAR!F$140,"")</f>
        <v/>
      </c>
      <c r="G438" s="114" t="str">
        <f aca="false">IF(AND(MBYLLJA_6_7_AUTO!$B$8="PO",POSTIM_NE_DITAR!$D$140&lt;&gt;""),POSTIM_NE_DITAR!G$140,"")</f>
        <v/>
      </c>
      <c r="H438" s="112" t="str">
        <f aca="false">IF(AND(MBYLLJA_6_7_AUTO!$B$8="PO",POSTIM_NE_DITAR!$D$140&lt;&gt;""),POSTIM_NE_DITAR!H$140,"")</f>
        <v/>
      </c>
      <c r="I438" s="112" t="str">
        <f aca="false">IF(AND(MBYLLJA_6_7_AUTO!$B$8="PO",POSTIM_NE_DITAR!$D$140&lt;&gt;""),POSTIM_NE_DITAR!I$140,"")</f>
        <v/>
      </c>
      <c r="J438" s="113" t="str">
        <f aca="false">IF(TRIM($C438)="","",IF($M438&lt;&gt;"OK",$M438,IF(ABS(SUMIFS($F:$F,$C:$C,TRIM($C438))-SUMIFS($G:$G,$C:$C,TRIM($C438)))&lt;0.005,"OK","ERROR - veprimi nuk balancohet")))</f>
        <v/>
      </c>
      <c r="K438" s="115" t="str">
        <f aca="false">IF($D438="","",IFERROR(VLOOKUP($D438,PLANI_LLOGARIVE!$A:$J,10,FALSE()),FALSE()))</f>
        <v/>
      </c>
      <c r="L438" s="115" t="str">
        <f aca="false">IF($D438="","",IFERROR(VLOOKUP($D438,PLANI_LLOGARIVE!$A:$G,7,FALSE()),"NUK EKZISTON"))</f>
        <v/>
      </c>
      <c r="M438" s="115" t="str">
        <f aca="false">IF($D438="","",IF(COUNTIF(PLANI_LLOGARIVE!$A:$A,$D438)=0,"ERROR - llogaria nuk ekziston",IF($K438=TRUE(),"OK","ERROR - llogari jo-postuese/Header")))</f>
        <v/>
      </c>
      <c r="N438" s="115" t="str">
        <f aca="false">IF(TRIM($C438)="","",IF(ABS(SUMIFS($F:$F,$C:$C,TRIM($C438))-SUMIFS($G:$G,$C:$C,TRIM($C438)))&lt;0.005,"OK","ERROR - debi/kredi"))</f>
        <v/>
      </c>
      <c r="S438" s="116" t="str">
        <f aca="false">IF(D438="","",LEFT(D438&amp;"",2))</f>
        <v/>
      </c>
      <c r="T438" s="101" t="str">
        <f aca="false">IF(D438="","",LEFT(D438&amp;"",3))</f>
        <v/>
      </c>
    </row>
    <row r="439" customFormat="false" ht="14.25" hidden="false" customHeight="true" outlineLevel="0" collapsed="false">
      <c r="A439" s="111" t="str">
        <f aca="false">IF(AND(MBYLLJA_6_7_AUTO!$B$8="PO",POSTIM_NE_DITAR!$D$141&lt;&gt;""),POSTIM_NE_DITAR!A$141,"")</f>
        <v/>
      </c>
      <c r="B439" s="112" t="str">
        <f aca="false">IF(AND(MBYLLJA_6_7_AUTO!$B$8="PO",POSTIM_NE_DITAR!$D$141&lt;&gt;""),POSTIM_NE_DITAR!B$141,"")</f>
        <v/>
      </c>
      <c r="C439" s="112" t="str">
        <f aca="false">IF(AND(MBYLLJA_6_7_AUTO!$B$8="PO",POSTIM_NE_DITAR!$D$141&lt;&gt;""),POSTIM_NE_DITAR!C$141,"")</f>
        <v/>
      </c>
      <c r="D439" s="112" t="str">
        <f aca="false">IF(AND(MBYLLJA_6_7_AUTO!$B$8="PO",POSTIM_NE_DITAR!$D$141&lt;&gt;""),POSTIM_NE_DITAR!D$141,"")</f>
        <v/>
      </c>
      <c r="E439" s="113" t="str">
        <f aca="false">IF(AND(MBYLLJA_6_7_AUTO!$B$8="PO",POSTIM_NE_DITAR!$D$141&lt;&gt;""),POSTIM_NE_DITAR!E$141,"")</f>
        <v/>
      </c>
      <c r="F439" s="114" t="str">
        <f aca="false">IF(AND(MBYLLJA_6_7_AUTO!$B$8="PO",POSTIM_NE_DITAR!$D$141&lt;&gt;""),POSTIM_NE_DITAR!F$141,"")</f>
        <v/>
      </c>
      <c r="G439" s="114" t="str">
        <f aca="false">IF(AND(MBYLLJA_6_7_AUTO!$B$8="PO",POSTIM_NE_DITAR!$D$141&lt;&gt;""),POSTIM_NE_DITAR!G$141,"")</f>
        <v/>
      </c>
      <c r="H439" s="112" t="str">
        <f aca="false">IF(AND(MBYLLJA_6_7_AUTO!$B$8="PO",POSTIM_NE_DITAR!$D$141&lt;&gt;""),POSTIM_NE_DITAR!H$141,"")</f>
        <v/>
      </c>
      <c r="I439" s="112" t="str">
        <f aca="false">IF(AND(MBYLLJA_6_7_AUTO!$B$8="PO",POSTIM_NE_DITAR!$D$141&lt;&gt;""),POSTIM_NE_DITAR!I$141,"")</f>
        <v/>
      </c>
      <c r="J439" s="113" t="str">
        <f aca="false">IF(TRIM($C439)="","",IF($M439&lt;&gt;"OK",$M439,IF(ABS(SUMIFS($F:$F,$C:$C,TRIM($C439))-SUMIFS($G:$G,$C:$C,TRIM($C439)))&lt;0.005,"OK","ERROR - veprimi nuk balancohet")))</f>
        <v/>
      </c>
      <c r="K439" s="115" t="str">
        <f aca="false">IF($D439="","",IFERROR(VLOOKUP($D439,PLANI_LLOGARIVE!$A:$J,10,FALSE()),FALSE()))</f>
        <v/>
      </c>
      <c r="L439" s="115" t="str">
        <f aca="false">IF($D439="","",IFERROR(VLOOKUP($D439,PLANI_LLOGARIVE!$A:$G,7,FALSE()),"NUK EKZISTON"))</f>
        <v/>
      </c>
      <c r="M439" s="115" t="str">
        <f aca="false">IF($D439="","",IF(COUNTIF(PLANI_LLOGARIVE!$A:$A,$D439)=0,"ERROR - llogaria nuk ekziston",IF($K439=TRUE(),"OK","ERROR - llogari jo-postuese/Header")))</f>
        <v/>
      </c>
      <c r="N439" s="115" t="str">
        <f aca="false">IF(TRIM($C439)="","",IF(ABS(SUMIFS($F:$F,$C:$C,TRIM($C439))-SUMIFS($G:$G,$C:$C,TRIM($C439)))&lt;0.005,"OK","ERROR - debi/kredi"))</f>
        <v/>
      </c>
      <c r="S439" s="116" t="str">
        <f aca="false">IF(D439="","",LEFT(D439&amp;"",2))</f>
        <v/>
      </c>
      <c r="T439" s="101" t="str">
        <f aca="false">IF(D439="","",LEFT(D439&amp;"",3))</f>
        <v/>
      </c>
    </row>
    <row r="440" customFormat="false" ht="14.25" hidden="false" customHeight="true" outlineLevel="0" collapsed="false">
      <c r="A440" s="111" t="str">
        <f aca="false">IF(AND(MBYLLJA_6_7_AUTO!$B$8="PO",POSTIM_NE_DITAR!$D$142&lt;&gt;""),POSTIM_NE_DITAR!A$142,"")</f>
        <v/>
      </c>
      <c r="B440" s="112" t="str">
        <f aca="false">IF(AND(MBYLLJA_6_7_AUTO!$B$8="PO",POSTIM_NE_DITAR!$D$142&lt;&gt;""),POSTIM_NE_DITAR!B$142,"")</f>
        <v/>
      </c>
      <c r="C440" s="112" t="str">
        <f aca="false">IF(AND(MBYLLJA_6_7_AUTO!$B$8="PO",POSTIM_NE_DITAR!$D$142&lt;&gt;""),POSTIM_NE_DITAR!C$142,"")</f>
        <v/>
      </c>
      <c r="D440" s="112" t="str">
        <f aca="false">IF(AND(MBYLLJA_6_7_AUTO!$B$8="PO",POSTIM_NE_DITAR!$D$142&lt;&gt;""),POSTIM_NE_DITAR!D$142,"")</f>
        <v/>
      </c>
      <c r="E440" s="113" t="str">
        <f aca="false">IF(AND(MBYLLJA_6_7_AUTO!$B$8="PO",POSTIM_NE_DITAR!$D$142&lt;&gt;""),POSTIM_NE_DITAR!E$142,"")</f>
        <v/>
      </c>
      <c r="F440" s="114" t="str">
        <f aca="false">IF(AND(MBYLLJA_6_7_AUTO!$B$8="PO",POSTIM_NE_DITAR!$D$142&lt;&gt;""),POSTIM_NE_DITAR!F$142,"")</f>
        <v/>
      </c>
      <c r="G440" s="114" t="str">
        <f aca="false">IF(AND(MBYLLJA_6_7_AUTO!$B$8="PO",POSTIM_NE_DITAR!$D$142&lt;&gt;""),POSTIM_NE_DITAR!G$142,"")</f>
        <v/>
      </c>
      <c r="H440" s="112" t="str">
        <f aca="false">IF(AND(MBYLLJA_6_7_AUTO!$B$8="PO",POSTIM_NE_DITAR!$D$142&lt;&gt;""),POSTIM_NE_DITAR!H$142,"")</f>
        <v/>
      </c>
      <c r="I440" s="112" t="str">
        <f aca="false">IF(AND(MBYLLJA_6_7_AUTO!$B$8="PO",POSTIM_NE_DITAR!$D$142&lt;&gt;""),POSTIM_NE_DITAR!I$142,"")</f>
        <v/>
      </c>
      <c r="J440" s="113" t="str">
        <f aca="false">IF(TRIM($C440)="","",IF($M440&lt;&gt;"OK",$M440,IF(ABS(SUMIFS($F:$F,$C:$C,TRIM($C440))-SUMIFS($G:$G,$C:$C,TRIM($C440)))&lt;0.005,"OK","ERROR - veprimi nuk balancohet")))</f>
        <v/>
      </c>
      <c r="K440" s="115" t="str">
        <f aca="false">IF($D440="","",IFERROR(VLOOKUP($D440,PLANI_LLOGARIVE!$A:$J,10,FALSE()),FALSE()))</f>
        <v/>
      </c>
      <c r="L440" s="115" t="str">
        <f aca="false">IF($D440="","",IFERROR(VLOOKUP($D440,PLANI_LLOGARIVE!$A:$G,7,FALSE()),"NUK EKZISTON"))</f>
        <v/>
      </c>
      <c r="M440" s="115" t="str">
        <f aca="false">IF($D440="","",IF(COUNTIF(PLANI_LLOGARIVE!$A:$A,$D440)=0,"ERROR - llogaria nuk ekziston",IF($K440=TRUE(),"OK","ERROR - llogari jo-postuese/Header")))</f>
        <v/>
      </c>
      <c r="N440" s="115" t="str">
        <f aca="false">IF(TRIM($C440)="","",IF(ABS(SUMIFS($F:$F,$C:$C,TRIM($C440))-SUMIFS($G:$G,$C:$C,TRIM($C440)))&lt;0.005,"OK","ERROR - debi/kredi"))</f>
        <v/>
      </c>
      <c r="S440" s="116" t="str">
        <f aca="false">IF(D440="","",LEFT(D440&amp;"",2))</f>
        <v/>
      </c>
      <c r="T440" s="101" t="str">
        <f aca="false">IF(D440="","",LEFT(D440&amp;"",3))</f>
        <v/>
      </c>
    </row>
    <row r="441" customFormat="false" ht="14.25" hidden="false" customHeight="true" outlineLevel="0" collapsed="false">
      <c r="A441" s="111" t="str">
        <f aca="false">IF(AND(MBYLLJA_6_7_AUTO!$B$8="PO",POSTIM_NE_DITAR!$D$143&lt;&gt;""),POSTIM_NE_DITAR!A$143,"")</f>
        <v/>
      </c>
      <c r="B441" s="112" t="str">
        <f aca="false">IF(AND(MBYLLJA_6_7_AUTO!$B$8="PO",POSTIM_NE_DITAR!$D$143&lt;&gt;""),POSTIM_NE_DITAR!B$143,"")</f>
        <v/>
      </c>
      <c r="C441" s="112" t="str">
        <f aca="false">IF(AND(MBYLLJA_6_7_AUTO!$B$8="PO",POSTIM_NE_DITAR!$D$143&lt;&gt;""),POSTIM_NE_DITAR!C$143,"")</f>
        <v/>
      </c>
      <c r="D441" s="112" t="str">
        <f aca="false">IF(AND(MBYLLJA_6_7_AUTO!$B$8="PO",POSTIM_NE_DITAR!$D$143&lt;&gt;""),POSTIM_NE_DITAR!D$143,"")</f>
        <v/>
      </c>
      <c r="E441" s="113" t="str">
        <f aca="false">IF(AND(MBYLLJA_6_7_AUTO!$B$8="PO",POSTIM_NE_DITAR!$D$143&lt;&gt;""),POSTIM_NE_DITAR!E$143,"")</f>
        <v/>
      </c>
      <c r="F441" s="114" t="str">
        <f aca="false">IF(AND(MBYLLJA_6_7_AUTO!$B$8="PO",POSTIM_NE_DITAR!$D$143&lt;&gt;""),POSTIM_NE_DITAR!F$143,"")</f>
        <v/>
      </c>
      <c r="G441" s="114" t="str">
        <f aca="false">IF(AND(MBYLLJA_6_7_AUTO!$B$8="PO",POSTIM_NE_DITAR!$D$143&lt;&gt;""),POSTIM_NE_DITAR!G$143,"")</f>
        <v/>
      </c>
      <c r="H441" s="112" t="str">
        <f aca="false">IF(AND(MBYLLJA_6_7_AUTO!$B$8="PO",POSTIM_NE_DITAR!$D$143&lt;&gt;""),POSTIM_NE_DITAR!H$143,"")</f>
        <v/>
      </c>
      <c r="I441" s="112" t="str">
        <f aca="false">IF(AND(MBYLLJA_6_7_AUTO!$B$8="PO",POSTIM_NE_DITAR!$D$143&lt;&gt;""),POSTIM_NE_DITAR!I$143,"")</f>
        <v/>
      </c>
      <c r="J441" s="113" t="str">
        <f aca="false">IF(TRIM($C441)="","",IF($M441&lt;&gt;"OK",$M441,IF(ABS(SUMIFS($F:$F,$C:$C,TRIM($C441))-SUMIFS($G:$G,$C:$C,TRIM($C441)))&lt;0.005,"OK","ERROR - veprimi nuk balancohet")))</f>
        <v/>
      </c>
      <c r="K441" s="115" t="str">
        <f aca="false">IF($D441="","",IFERROR(VLOOKUP($D441,PLANI_LLOGARIVE!$A:$J,10,FALSE()),FALSE()))</f>
        <v/>
      </c>
      <c r="L441" s="115" t="str">
        <f aca="false">IF($D441="","",IFERROR(VLOOKUP($D441,PLANI_LLOGARIVE!$A:$G,7,FALSE()),"NUK EKZISTON"))</f>
        <v/>
      </c>
      <c r="M441" s="115" t="str">
        <f aca="false">IF($D441="","",IF(COUNTIF(PLANI_LLOGARIVE!$A:$A,$D441)=0,"ERROR - llogaria nuk ekziston",IF($K441=TRUE(),"OK","ERROR - llogari jo-postuese/Header")))</f>
        <v/>
      </c>
      <c r="N441" s="115" t="str">
        <f aca="false">IF(TRIM($C441)="","",IF(ABS(SUMIFS($F:$F,$C:$C,TRIM($C441))-SUMIFS($G:$G,$C:$C,TRIM($C441)))&lt;0.005,"OK","ERROR - debi/kredi"))</f>
        <v/>
      </c>
      <c r="S441" s="116" t="str">
        <f aca="false">IF(D441="","",LEFT(D441&amp;"",2))</f>
        <v/>
      </c>
      <c r="T441" s="101" t="str">
        <f aca="false">IF(D441="","",LEFT(D441&amp;"",3))</f>
        <v/>
      </c>
    </row>
    <row r="442" customFormat="false" ht="14.25" hidden="false" customHeight="true" outlineLevel="0" collapsed="false">
      <c r="A442" s="111" t="str">
        <f aca="false">IF(AND(MBYLLJA_6_7_AUTO!$B$8="PO",POSTIM_NE_DITAR!$D$144&lt;&gt;""),POSTIM_NE_DITAR!A$144,"")</f>
        <v/>
      </c>
      <c r="B442" s="112" t="str">
        <f aca="false">IF(AND(MBYLLJA_6_7_AUTO!$B$8="PO",POSTIM_NE_DITAR!$D$144&lt;&gt;""),POSTIM_NE_DITAR!B$144,"")</f>
        <v/>
      </c>
      <c r="C442" s="112" t="str">
        <f aca="false">IF(AND(MBYLLJA_6_7_AUTO!$B$8="PO",POSTIM_NE_DITAR!$D$144&lt;&gt;""),POSTIM_NE_DITAR!C$144,"")</f>
        <v/>
      </c>
      <c r="D442" s="112" t="str">
        <f aca="false">IF(AND(MBYLLJA_6_7_AUTO!$B$8="PO",POSTIM_NE_DITAR!$D$144&lt;&gt;""),POSTIM_NE_DITAR!D$144,"")</f>
        <v/>
      </c>
      <c r="E442" s="113" t="str">
        <f aca="false">IF(AND(MBYLLJA_6_7_AUTO!$B$8="PO",POSTIM_NE_DITAR!$D$144&lt;&gt;""),POSTIM_NE_DITAR!E$144,"")</f>
        <v/>
      </c>
      <c r="F442" s="114" t="str">
        <f aca="false">IF(AND(MBYLLJA_6_7_AUTO!$B$8="PO",POSTIM_NE_DITAR!$D$144&lt;&gt;""),POSTIM_NE_DITAR!F$144,"")</f>
        <v/>
      </c>
      <c r="G442" s="114" t="str">
        <f aca="false">IF(AND(MBYLLJA_6_7_AUTO!$B$8="PO",POSTIM_NE_DITAR!$D$144&lt;&gt;""),POSTIM_NE_DITAR!G$144,"")</f>
        <v/>
      </c>
      <c r="H442" s="112" t="str">
        <f aca="false">IF(AND(MBYLLJA_6_7_AUTO!$B$8="PO",POSTIM_NE_DITAR!$D$144&lt;&gt;""),POSTIM_NE_DITAR!H$144,"")</f>
        <v/>
      </c>
      <c r="I442" s="112" t="str">
        <f aca="false">IF(AND(MBYLLJA_6_7_AUTO!$B$8="PO",POSTIM_NE_DITAR!$D$144&lt;&gt;""),POSTIM_NE_DITAR!I$144,"")</f>
        <v/>
      </c>
      <c r="J442" s="113" t="str">
        <f aca="false">IF(TRIM($C442)="","",IF($M442&lt;&gt;"OK",$M442,IF(ABS(SUMIFS($F:$F,$C:$C,TRIM($C442))-SUMIFS($G:$G,$C:$C,TRIM($C442)))&lt;0.005,"OK","ERROR - veprimi nuk balancohet")))</f>
        <v/>
      </c>
      <c r="K442" s="115" t="str">
        <f aca="false">IF($D442="","",IFERROR(VLOOKUP($D442,PLANI_LLOGARIVE!$A:$J,10,FALSE()),FALSE()))</f>
        <v/>
      </c>
      <c r="L442" s="115" t="str">
        <f aca="false">IF($D442="","",IFERROR(VLOOKUP($D442,PLANI_LLOGARIVE!$A:$G,7,FALSE()),"NUK EKZISTON"))</f>
        <v/>
      </c>
      <c r="M442" s="115" t="str">
        <f aca="false">IF($D442="","",IF(COUNTIF(PLANI_LLOGARIVE!$A:$A,$D442)=0,"ERROR - llogaria nuk ekziston",IF($K442=TRUE(),"OK","ERROR - llogari jo-postuese/Header")))</f>
        <v/>
      </c>
      <c r="N442" s="115" t="str">
        <f aca="false">IF(TRIM($C442)="","",IF(ABS(SUMIFS($F:$F,$C:$C,TRIM($C442))-SUMIFS($G:$G,$C:$C,TRIM($C442)))&lt;0.005,"OK","ERROR - debi/kredi"))</f>
        <v/>
      </c>
      <c r="S442" s="116" t="str">
        <f aca="false">IF(D442="","",LEFT(D442&amp;"",2))</f>
        <v/>
      </c>
      <c r="T442" s="101" t="str">
        <f aca="false">IF(D442="","",LEFT(D442&amp;"",3))</f>
        <v/>
      </c>
    </row>
    <row r="443" customFormat="false" ht="14.25" hidden="false" customHeight="true" outlineLevel="0" collapsed="false">
      <c r="A443" s="111" t="str">
        <f aca="false">IF(AND(MBYLLJA_6_7_AUTO!$B$8="PO",POSTIM_NE_DITAR!$D$145&lt;&gt;""),POSTIM_NE_DITAR!A$145,"")</f>
        <v/>
      </c>
      <c r="B443" s="112" t="str">
        <f aca="false">IF(AND(MBYLLJA_6_7_AUTO!$B$8="PO",POSTIM_NE_DITAR!$D$145&lt;&gt;""),POSTIM_NE_DITAR!B$145,"")</f>
        <v/>
      </c>
      <c r="C443" s="112" t="str">
        <f aca="false">IF(AND(MBYLLJA_6_7_AUTO!$B$8="PO",POSTIM_NE_DITAR!$D$145&lt;&gt;""),POSTIM_NE_DITAR!C$145,"")</f>
        <v/>
      </c>
      <c r="D443" s="112" t="str">
        <f aca="false">IF(AND(MBYLLJA_6_7_AUTO!$B$8="PO",POSTIM_NE_DITAR!$D$145&lt;&gt;""),POSTIM_NE_DITAR!D$145,"")</f>
        <v/>
      </c>
      <c r="E443" s="113" t="str">
        <f aca="false">IF(AND(MBYLLJA_6_7_AUTO!$B$8="PO",POSTIM_NE_DITAR!$D$145&lt;&gt;""),POSTIM_NE_DITAR!E$145,"")</f>
        <v/>
      </c>
      <c r="F443" s="114" t="str">
        <f aca="false">IF(AND(MBYLLJA_6_7_AUTO!$B$8="PO",POSTIM_NE_DITAR!$D$145&lt;&gt;""),POSTIM_NE_DITAR!F$145,"")</f>
        <v/>
      </c>
      <c r="G443" s="114" t="str">
        <f aca="false">IF(AND(MBYLLJA_6_7_AUTO!$B$8="PO",POSTIM_NE_DITAR!$D$145&lt;&gt;""),POSTIM_NE_DITAR!G$145,"")</f>
        <v/>
      </c>
      <c r="H443" s="112" t="str">
        <f aca="false">IF(AND(MBYLLJA_6_7_AUTO!$B$8="PO",POSTIM_NE_DITAR!$D$145&lt;&gt;""),POSTIM_NE_DITAR!H$145,"")</f>
        <v/>
      </c>
      <c r="I443" s="112" t="str">
        <f aca="false">IF(AND(MBYLLJA_6_7_AUTO!$B$8="PO",POSTIM_NE_DITAR!$D$145&lt;&gt;""),POSTIM_NE_DITAR!I$145,"")</f>
        <v/>
      </c>
      <c r="J443" s="113" t="str">
        <f aca="false">IF(TRIM($C443)="","",IF($M443&lt;&gt;"OK",$M443,IF(ABS(SUMIFS($F:$F,$C:$C,TRIM($C443))-SUMIFS($G:$G,$C:$C,TRIM($C443)))&lt;0.005,"OK","ERROR - veprimi nuk balancohet")))</f>
        <v/>
      </c>
      <c r="K443" s="115" t="str">
        <f aca="false">IF($D443="","",IFERROR(VLOOKUP($D443,PLANI_LLOGARIVE!$A:$J,10,FALSE()),FALSE()))</f>
        <v/>
      </c>
      <c r="L443" s="115" t="str">
        <f aca="false">IF($D443="","",IFERROR(VLOOKUP($D443,PLANI_LLOGARIVE!$A:$G,7,FALSE()),"NUK EKZISTON"))</f>
        <v/>
      </c>
      <c r="M443" s="115" t="str">
        <f aca="false">IF($D443="","",IF(COUNTIF(PLANI_LLOGARIVE!$A:$A,$D443)=0,"ERROR - llogaria nuk ekziston",IF($K443=TRUE(),"OK","ERROR - llogari jo-postuese/Header")))</f>
        <v/>
      </c>
      <c r="N443" s="115" t="str">
        <f aca="false">IF(TRIM($C443)="","",IF(ABS(SUMIFS($F:$F,$C:$C,TRIM($C443))-SUMIFS($G:$G,$C:$C,TRIM($C443)))&lt;0.005,"OK","ERROR - debi/kredi"))</f>
        <v/>
      </c>
      <c r="S443" s="116" t="str">
        <f aca="false">IF(D443="","",LEFT(D443&amp;"",2))</f>
        <v/>
      </c>
      <c r="T443" s="101" t="str">
        <f aca="false">IF(D443="","",LEFT(D443&amp;"",3))</f>
        <v/>
      </c>
    </row>
    <row r="444" customFormat="false" ht="14.25" hidden="false" customHeight="true" outlineLevel="0" collapsed="false">
      <c r="A444" s="111" t="str">
        <f aca="false">IF(AND(MBYLLJA_6_7_AUTO!$B$8="PO",POSTIM_NE_DITAR!$D$146&lt;&gt;""),POSTIM_NE_DITAR!A$146,"")</f>
        <v/>
      </c>
      <c r="B444" s="112" t="str">
        <f aca="false">IF(AND(MBYLLJA_6_7_AUTO!$B$8="PO",POSTIM_NE_DITAR!$D$146&lt;&gt;""),POSTIM_NE_DITAR!B$146,"")</f>
        <v/>
      </c>
      <c r="C444" s="112" t="str">
        <f aca="false">IF(AND(MBYLLJA_6_7_AUTO!$B$8="PO",POSTIM_NE_DITAR!$D$146&lt;&gt;""),POSTIM_NE_DITAR!C$146,"")</f>
        <v/>
      </c>
      <c r="D444" s="112" t="str">
        <f aca="false">IF(AND(MBYLLJA_6_7_AUTO!$B$8="PO",POSTIM_NE_DITAR!$D$146&lt;&gt;""),POSTIM_NE_DITAR!D$146,"")</f>
        <v/>
      </c>
      <c r="E444" s="113" t="str">
        <f aca="false">IF(AND(MBYLLJA_6_7_AUTO!$B$8="PO",POSTIM_NE_DITAR!$D$146&lt;&gt;""),POSTIM_NE_DITAR!E$146,"")</f>
        <v/>
      </c>
      <c r="F444" s="114" t="str">
        <f aca="false">IF(AND(MBYLLJA_6_7_AUTO!$B$8="PO",POSTIM_NE_DITAR!$D$146&lt;&gt;""),POSTIM_NE_DITAR!F$146,"")</f>
        <v/>
      </c>
      <c r="G444" s="114" t="str">
        <f aca="false">IF(AND(MBYLLJA_6_7_AUTO!$B$8="PO",POSTIM_NE_DITAR!$D$146&lt;&gt;""),POSTIM_NE_DITAR!G$146,"")</f>
        <v/>
      </c>
      <c r="H444" s="112" t="str">
        <f aca="false">IF(AND(MBYLLJA_6_7_AUTO!$B$8="PO",POSTIM_NE_DITAR!$D$146&lt;&gt;""),POSTIM_NE_DITAR!H$146,"")</f>
        <v/>
      </c>
      <c r="I444" s="112" t="str">
        <f aca="false">IF(AND(MBYLLJA_6_7_AUTO!$B$8="PO",POSTIM_NE_DITAR!$D$146&lt;&gt;""),POSTIM_NE_DITAR!I$146,"")</f>
        <v/>
      </c>
      <c r="J444" s="113" t="str">
        <f aca="false">IF(TRIM($C444)="","",IF($M444&lt;&gt;"OK",$M444,IF(ABS(SUMIFS($F:$F,$C:$C,TRIM($C444))-SUMIFS($G:$G,$C:$C,TRIM($C444)))&lt;0.005,"OK","ERROR - veprimi nuk balancohet")))</f>
        <v/>
      </c>
      <c r="K444" s="115" t="str">
        <f aca="false">IF($D444="","",IFERROR(VLOOKUP($D444,PLANI_LLOGARIVE!$A:$J,10,FALSE()),FALSE()))</f>
        <v/>
      </c>
      <c r="L444" s="115" t="str">
        <f aca="false">IF($D444="","",IFERROR(VLOOKUP($D444,PLANI_LLOGARIVE!$A:$G,7,FALSE()),"NUK EKZISTON"))</f>
        <v/>
      </c>
      <c r="M444" s="115" t="str">
        <f aca="false">IF($D444="","",IF(COUNTIF(PLANI_LLOGARIVE!$A:$A,$D444)=0,"ERROR - llogaria nuk ekziston",IF($K444=TRUE(),"OK","ERROR - llogari jo-postuese/Header")))</f>
        <v/>
      </c>
      <c r="N444" s="115" t="str">
        <f aca="false">IF(TRIM($C444)="","",IF(ABS(SUMIFS($F:$F,$C:$C,TRIM($C444))-SUMIFS($G:$G,$C:$C,TRIM($C444)))&lt;0.005,"OK","ERROR - debi/kredi"))</f>
        <v/>
      </c>
      <c r="S444" s="116" t="str">
        <f aca="false">IF(D444="","",LEFT(D444&amp;"",2))</f>
        <v/>
      </c>
      <c r="T444" s="101" t="str">
        <f aca="false">IF(D444="","",LEFT(D444&amp;"",3))</f>
        <v/>
      </c>
    </row>
    <row r="445" customFormat="false" ht="14.25" hidden="false" customHeight="true" outlineLevel="0" collapsed="false">
      <c r="A445" s="111" t="str">
        <f aca="false">IF(AND(MBYLLJA_6_7_AUTO!$B$8="PO",POSTIM_NE_DITAR!$D$147&lt;&gt;""),POSTIM_NE_DITAR!A$147,"")</f>
        <v/>
      </c>
      <c r="B445" s="112" t="str">
        <f aca="false">IF(AND(MBYLLJA_6_7_AUTO!$B$8="PO",POSTIM_NE_DITAR!$D$147&lt;&gt;""),POSTIM_NE_DITAR!B$147,"")</f>
        <v/>
      </c>
      <c r="C445" s="112" t="str">
        <f aca="false">IF(AND(MBYLLJA_6_7_AUTO!$B$8="PO",POSTIM_NE_DITAR!$D$147&lt;&gt;""),POSTIM_NE_DITAR!C$147,"")</f>
        <v/>
      </c>
      <c r="D445" s="112" t="str">
        <f aca="false">IF(AND(MBYLLJA_6_7_AUTO!$B$8="PO",POSTIM_NE_DITAR!$D$147&lt;&gt;""),POSTIM_NE_DITAR!D$147,"")</f>
        <v/>
      </c>
      <c r="E445" s="113" t="str">
        <f aca="false">IF(AND(MBYLLJA_6_7_AUTO!$B$8="PO",POSTIM_NE_DITAR!$D$147&lt;&gt;""),POSTIM_NE_DITAR!E$147,"")</f>
        <v/>
      </c>
      <c r="F445" s="114" t="str">
        <f aca="false">IF(AND(MBYLLJA_6_7_AUTO!$B$8="PO",POSTIM_NE_DITAR!$D$147&lt;&gt;""),POSTIM_NE_DITAR!F$147,"")</f>
        <v/>
      </c>
      <c r="G445" s="114" t="str">
        <f aca="false">IF(AND(MBYLLJA_6_7_AUTO!$B$8="PO",POSTIM_NE_DITAR!$D$147&lt;&gt;""),POSTIM_NE_DITAR!G$147,"")</f>
        <v/>
      </c>
      <c r="H445" s="112" t="str">
        <f aca="false">IF(AND(MBYLLJA_6_7_AUTO!$B$8="PO",POSTIM_NE_DITAR!$D$147&lt;&gt;""),POSTIM_NE_DITAR!H$147,"")</f>
        <v/>
      </c>
      <c r="I445" s="112" t="str">
        <f aca="false">IF(AND(MBYLLJA_6_7_AUTO!$B$8="PO",POSTIM_NE_DITAR!$D$147&lt;&gt;""),POSTIM_NE_DITAR!I$147,"")</f>
        <v/>
      </c>
      <c r="J445" s="113" t="str">
        <f aca="false">IF(TRIM($C445)="","",IF($M445&lt;&gt;"OK",$M445,IF(ABS(SUMIFS($F:$F,$C:$C,TRIM($C445))-SUMIFS($G:$G,$C:$C,TRIM($C445)))&lt;0.005,"OK","ERROR - veprimi nuk balancohet")))</f>
        <v/>
      </c>
      <c r="K445" s="115" t="str">
        <f aca="false">IF($D445="","",IFERROR(VLOOKUP($D445,PLANI_LLOGARIVE!$A:$J,10,FALSE()),FALSE()))</f>
        <v/>
      </c>
      <c r="L445" s="115" t="str">
        <f aca="false">IF($D445="","",IFERROR(VLOOKUP($D445,PLANI_LLOGARIVE!$A:$G,7,FALSE()),"NUK EKZISTON"))</f>
        <v/>
      </c>
      <c r="M445" s="115" t="str">
        <f aca="false">IF($D445="","",IF(COUNTIF(PLANI_LLOGARIVE!$A:$A,$D445)=0,"ERROR - llogaria nuk ekziston",IF($K445=TRUE(),"OK","ERROR - llogari jo-postuese/Header")))</f>
        <v/>
      </c>
      <c r="N445" s="115" t="str">
        <f aca="false">IF(TRIM($C445)="","",IF(ABS(SUMIFS($F:$F,$C:$C,TRIM($C445))-SUMIFS($G:$G,$C:$C,TRIM($C445)))&lt;0.005,"OK","ERROR - debi/kredi"))</f>
        <v/>
      </c>
      <c r="S445" s="116" t="str">
        <f aca="false">IF(D445="","",LEFT(D445&amp;"",2))</f>
        <v/>
      </c>
      <c r="T445" s="101" t="str">
        <f aca="false">IF(D445="","",LEFT(D445&amp;"",3))</f>
        <v/>
      </c>
    </row>
    <row r="446" customFormat="false" ht="14.25" hidden="false" customHeight="true" outlineLevel="0" collapsed="false">
      <c r="A446" s="111" t="str">
        <f aca="false">IF(AND(MBYLLJA_6_7_AUTO!$B$8="PO",POSTIM_NE_DITAR!$D$148&lt;&gt;""),POSTIM_NE_DITAR!A$148,"")</f>
        <v/>
      </c>
      <c r="B446" s="112" t="str">
        <f aca="false">IF(AND(MBYLLJA_6_7_AUTO!$B$8="PO",POSTIM_NE_DITAR!$D$148&lt;&gt;""),POSTIM_NE_DITAR!B$148,"")</f>
        <v/>
      </c>
      <c r="C446" s="112" t="str">
        <f aca="false">IF(AND(MBYLLJA_6_7_AUTO!$B$8="PO",POSTIM_NE_DITAR!$D$148&lt;&gt;""),POSTIM_NE_DITAR!C$148,"")</f>
        <v/>
      </c>
      <c r="D446" s="112" t="str">
        <f aca="false">IF(AND(MBYLLJA_6_7_AUTO!$B$8="PO",POSTIM_NE_DITAR!$D$148&lt;&gt;""),POSTIM_NE_DITAR!D$148,"")</f>
        <v/>
      </c>
      <c r="E446" s="113" t="str">
        <f aca="false">IF(AND(MBYLLJA_6_7_AUTO!$B$8="PO",POSTIM_NE_DITAR!$D$148&lt;&gt;""),POSTIM_NE_DITAR!E$148,"")</f>
        <v/>
      </c>
      <c r="F446" s="114" t="str">
        <f aca="false">IF(AND(MBYLLJA_6_7_AUTO!$B$8="PO",POSTIM_NE_DITAR!$D$148&lt;&gt;""),POSTIM_NE_DITAR!F$148,"")</f>
        <v/>
      </c>
      <c r="G446" s="114" t="str">
        <f aca="false">IF(AND(MBYLLJA_6_7_AUTO!$B$8="PO",POSTIM_NE_DITAR!$D$148&lt;&gt;""),POSTIM_NE_DITAR!G$148,"")</f>
        <v/>
      </c>
      <c r="H446" s="112" t="str">
        <f aca="false">IF(AND(MBYLLJA_6_7_AUTO!$B$8="PO",POSTIM_NE_DITAR!$D$148&lt;&gt;""),POSTIM_NE_DITAR!H$148,"")</f>
        <v/>
      </c>
      <c r="I446" s="112" t="str">
        <f aca="false">IF(AND(MBYLLJA_6_7_AUTO!$B$8="PO",POSTIM_NE_DITAR!$D$148&lt;&gt;""),POSTIM_NE_DITAR!I$148,"")</f>
        <v/>
      </c>
      <c r="J446" s="113" t="str">
        <f aca="false">IF(TRIM($C446)="","",IF($M446&lt;&gt;"OK",$M446,IF(ABS(SUMIFS($F:$F,$C:$C,TRIM($C446))-SUMIFS($G:$G,$C:$C,TRIM($C446)))&lt;0.005,"OK","ERROR - veprimi nuk balancohet")))</f>
        <v/>
      </c>
      <c r="K446" s="115" t="str">
        <f aca="false">IF($D446="","",IFERROR(VLOOKUP($D446,PLANI_LLOGARIVE!$A:$J,10,FALSE()),FALSE()))</f>
        <v/>
      </c>
      <c r="L446" s="115" t="str">
        <f aca="false">IF($D446="","",IFERROR(VLOOKUP($D446,PLANI_LLOGARIVE!$A:$G,7,FALSE()),"NUK EKZISTON"))</f>
        <v/>
      </c>
      <c r="M446" s="115" t="str">
        <f aca="false">IF($D446="","",IF(COUNTIF(PLANI_LLOGARIVE!$A:$A,$D446)=0,"ERROR - llogaria nuk ekziston",IF($K446=TRUE(),"OK","ERROR - llogari jo-postuese/Header")))</f>
        <v/>
      </c>
      <c r="N446" s="115" t="str">
        <f aca="false">IF(TRIM($C446)="","",IF(ABS(SUMIFS($F:$F,$C:$C,TRIM($C446))-SUMIFS($G:$G,$C:$C,TRIM($C446)))&lt;0.005,"OK","ERROR - debi/kredi"))</f>
        <v/>
      </c>
      <c r="S446" s="116" t="str">
        <f aca="false">IF(D446="","",LEFT(D446&amp;"",2))</f>
        <v/>
      </c>
      <c r="T446" s="101" t="str">
        <f aca="false">IF(D446="","",LEFT(D446&amp;"",3))</f>
        <v/>
      </c>
    </row>
    <row r="447" customFormat="false" ht="14.25" hidden="false" customHeight="true" outlineLevel="0" collapsed="false">
      <c r="A447" s="111" t="str">
        <f aca="false">IF(AND(MBYLLJA_6_7_AUTO!$B$8="PO",POSTIM_NE_DITAR!$D$149&lt;&gt;""),POSTIM_NE_DITAR!A$149,"")</f>
        <v/>
      </c>
      <c r="B447" s="112" t="str">
        <f aca="false">IF(AND(MBYLLJA_6_7_AUTO!$B$8="PO",POSTIM_NE_DITAR!$D$149&lt;&gt;""),POSTIM_NE_DITAR!B$149,"")</f>
        <v/>
      </c>
      <c r="C447" s="112" t="str">
        <f aca="false">IF(AND(MBYLLJA_6_7_AUTO!$B$8="PO",POSTIM_NE_DITAR!$D$149&lt;&gt;""),POSTIM_NE_DITAR!C$149,"")</f>
        <v/>
      </c>
      <c r="D447" s="112" t="str">
        <f aca="false">IF(AND(MBYLLJA_6_7_AUTO!$B$8="PO",POSTIM_NE_DITAR!$D$149&lt;&gt;""),POSTIM_NE_DITAR!D$149,"")</f>
        <v/>
      </c>
      <c r="E447" s="113" t="str">
        <f aca="false">IF(AND(MBYLLJA_6_7_AUTO!$B$8="PO",POSTIM_NE_DITAR!$D$149&lt;&gt;""),POSTIM_NE_DITAR!E$149,"")</f>
        <v/>
      </c>
      <c r="F447" s="114" t="str">
        <f aca="false">IF(AND(MBYLLJA_6_7_AUTO!$B$8="PO",POSTIM_NE_DITAR!$D$149&lt;&gt;""),POSTIM_NE_DITAR!F$149,"")</f>
        <v/>
      </c>
      <c r="G447" s="114" t="str">
        <f aca="false">IF(AND(MBYLLJA_6_7_AUTO!$B$8="PO",POSTIM_NE_DITAR!$D$149&lt;&gt;""),POSTIM_NE_DITAR!G$149,"")</f>
        <v/>
      </c>
      <c r="H447" s="112" t="str">
        <f aca="false">IF(AND(MBYLLJA_6_7_AUTO!$B$8="PO",POSTIM_NE_DITAR!$D$149&lt;&gt;""),POSTIM_NE_DITAR!H$149,"")</f>
        <v/>
      </c>
      <c r="I447" s="112" t="str">
        <f aca="false">IF(AND(MBYLLJA_6_7_AUTO!$B$8="PO",POSTIM_NE_DITAR!$D$149&lt;&gt;""),POSTIM_NE_DITAR!I$149,"")</f>
        <v/>
      </c>
      <c r="J447" s="113" t="str">
        <f aca="false">IF(TRIM($C447)="","",IF($M447&lt;&gt;"OK",$M447,IF(ABS(SUMIFS($F:$F,$C:$C,TRIM($C447))-SUMIFS($G:$G,$C:$C,TRIM($C447)))&lt;0.005,"OK","ERROR - veprimi nuk balancohet")))</f>
        <v/>
      </c>
      <c r="K447" s="115" t="str">
        <f aca="false">IF($D447="","",IFERROR(VLOOKUP($D447,PLANI_LLOGARIVE!$A:$J,10,FALSE()),FALSE()))</f>
        <v/>
      </c>
      <c r="L447" s="115" t="str">
        <f aca="false">IF($D447="","",IFERROR(VLOOKUP($D447,PLANI_LLOGARIVE!$A:$G,7,FALSE()),"NUK EKZISTON"))</f>
        <v/>
      </c>
      <c r="M447" s="115" t="str">
        <f aca="false">IF($D447="","",IF(COUNTIF(PLANI_LLOGARIVE!$A:$A,$D447)=0,"ERROR - llogaria nuk ekziston",IF($K447=TRUE(),"OK","ERROR - llogari jo-postuese/Header")))</f>
        <v/>
      </c>
      <c r="N447" s="115" t="str">
        <f aca="false">IF(TRIM($C447)="","",IF(ABS(SUMIFS($F:$F,$C:$C,TRIM($C447))-SUMIFS($G:$G,$C:$C,TRIM($C447)))&lt;0.005,"OK","ERROR - debi/kredi"))</f>
        <v/>
      </c>
      <c r="S447" s="116" t="str">
        <f aca="false">IF(D447="","",LEFT(D447&amp;"",2))</f>
        <v/>
      </c>
      <c r="T447" s="101" t="str">
        <f aca="false">IF(D447="","",LEFT(D447&amp;"",3))</f>
        <v/>
      </c>
    </row>
    <row r="448" customFormat="false" ht="14.25" hidden="false" customHeight="true" outlineLevel="0" collapsed="false">
      <c r="A448" s="111" t="str">
        <f aca="false">IF(AND(MBYLLJA_6_7_AUTO!$B$8="PO",POSTIM_NE_DITAR!$D$150&lt;&gt;""),POSTIM_NE_DITAR!A$150,"")</f>
        <v/>
      </c>
      <c r="B448" s="112" t="str">
        <f aca="false">IF(AND(MBYLLJA_6_7_AUTO!$B$8="PO",POSTIM_NE_DITAR!$D$150&lt;&gt;""),POSTIM_NE_DITAR!B$150,"")</f>
        <v/>
      </c>
      <c r="C448" s="112" t="str">
        <f aca="false">IF(AND(MBYLLJA_6_7_AUTO!$B$8="PO",POSTIM_NE_DITAR!$D$150&lt;&gt;""),POSTIM_NE_DITAR!C$150,"")</f>
        <v/>
      </c>
      <c r="D448" s="112" t="str">
        <f aca="false">IF(AND(MBYLLJA_6_7_AUTO!$B$8="PO",POSTIM_NE_DITAR!$D$150&lt;&gt;""),POSTIM_NE_DITAR!D$150,"")</f>
        <v/>
      </c>
      <c r="E448" s="113" t="str">
        <f aca="false">IF(AND(MBYLLJA_6_7_AUTO!$B$8="PO",POSTIM_NE_DITAR!$D$150&lt;&gt;""),POSTIM_NE_DITAR!E$150,"")</f>
        <v/>
      </c>
      <c r="F448" s="114" t="str">
        <f aca="false">IF(AND(MBYLLJA_6_7_AUTO!$B$8="PO",POSTIM_NE_DITAR!$D$150&lt;&gt;""),POSTIM_NE_DITAR!F$150,"")</f>
        <v/>
      </c>
      <c r="G448" s="114" t="str">
        <f aca="false">IF(AND(MBYLLJA_6_7_AUTO!$B$8="PO",POSTIM_NE_DITAR!$D$150&lt;&gt;""),POSTIM_NE_DITAR!G$150,"")</f>
        <v/>
      </c>
      <c r="H448" s="112" t="str">
        <f aca="false">IF(AND(MBYLLJA_6_7_AUTO!$B$8="PO",POSTIM_NE_DITAR!$D$150&lt;&gt;""),POSTIM_NE_DITAR!H$150,"")</f>
        <v/>
      </c>
      <c r="I448" s="112" t="str">
        <f aca="false">IF(AND(MBYLLJA_6_7_AUTO!$B$8="PO",POSTIM_NE_DITAR!$D$150&lt;&gt;""),POSTIM_NE_DITAR!I$150,"")</f>
        <v/>
      </c>
      <c r="J448" s="113" t="str">
        <f aca="false">IF(TRIM($C448)="","",IF($M448&lt;&gt;"OK",$M448,IF(ABS(SUMIFS($F:$F,$C:$C,TRIM($C448))-SUMIFS($G:$G,$C:$C,TRIM($C448)))&lt;0.005,"OK","ERROR - veprimi nuk balancohet")))</f>
        <v/>
      </c>
      <c r="K448" s="115" t="str">
        <f aca="false">IF($D448="","",IFERROR(VLOOKUP($D448,PLANI_LLOGARIVE!$A:$J,10,FALSE()),FALSE()))</f>
        <v/>
      </c>
      <c r="L448" s="115" t="str">
        <f aca="false">IF($D448="","",IFERROR(VLOOKUP($D448,PLANI_LLOGARIVE!$A:$G,7,FALSE()),"NUK EKZISTON"))</f>
        <v/>
      </c>
      <c r="M448" s="115" t="str">
        <f aca="false">IF($D448="","",IF(COUNTIF(PLANI_LLOGARIVE!$A:$A,$D448)=0,"ERROR - llogaria nuk ekziston",IF($K448=TRUE(),"OK","ERROR - llogari jo-postuese/Header")))</f>
        <v/>
      </c>
      <c r="N448" s="115" t="str">
        <f aca="false">IF(TRIM($C448)="","",IF(ABS(SUMIFS($F:$F,$C:$C,TRIM($C448))-SUMIFS($G:$G,$C:$C,TRIM($C448)))&lt;0.005,"OK","ERROR - debi/kredi"))</f>
        <v/>
      </c>
      <c r="S448" s="116" t="str">
        <f aca="false">IF(D448="","",LEFT(D448&amp;"",2))</f>
        <v/>
      </c>
      <c r="T448" s="101" t="str">
        <f aca="false">IF(D448="","",LEFT(D448&amp;"",3))</f>
        <v/>
      </c>
    </row>
    <row r="449" customFormat="false" ht="14.25" hidden="false" customHeight="true" outlineLevel="0" collapsed="false">
      <c r="A449" s="111" t="str">
        <f aca="false">IF(AND(MBYLLJA_6_7_AUTO!$B$8="PO",POSTIM_NE_DITAR!$D$151&lt;&gt;""),POSTIM_NE_DITAR!A$151,"")</f>
        <v/>
      </c>
      <c r="B449" s="112" t="str">
        <f aca="false">IF(AND(MBYLLJA_6_7_AUTO!$B$8="PO",POSTIM_NE_DITAR!$D$151&lt;&gt;""),POSTIM_NE_DITAR!B$151,"")</f>
        <v/>
      </c>
      <c r="C449" s="112" t="str">
        <f aca="false">IF(AND(MBYLLJA_6_7_AUTO!$B$8="PO",POSTIM_NE_DITAR!$D$151&lt;&gt;""),POSTIM_NE_DITAR!C$151,"")</f>
        <v/>
      </c>
      <c r="D449" s="112" t="str">
        <f aca="false">IF(AND(MBYLLJA_6_7_AUTO!$B$8="PO",POSTIM_NE_DITAR!$D$151&lt;&gt;""),POSTIM_NE_DITAR!D$151,"")</f>
        <v/>
      </c>
      <c r="E449" s="113" t="str">
        <f aca="false">IF(AND(MBYLLJA_6_7_AUTO!$B$8="PO",POSTIM_NE_DITAR!$D$151&lt;&gt;""),POSTIM_NE_DITAR!E$151,"")</f>
        <v/>
      </c>
      <c r="F449" s="114" t="str">
        <f aca="false">IF(AND(MBYLLJA_6_7_AUTO!$B$8="PO",POSTIM_NE_DITAR!$D$151&lt;&gt;""),POSTIM_NE_DITAR!F$151,"")</f>
        <v/>
      </c>
      <c r="G449" s="114" t="str">
        <f aca="false">IF(AND(MBYLLJA_6_7_AUTO!$B$8="PO",POSTIM_NE_DITAR!$D$151&lt;&gt;""),POSTIM_NE_DITAR!G$151,"")</f>
        <v/>
      </c>
      <c r="H449" s="112" t="str">
        <f aca="false">IF(AND(MBYLLJA_6_7_AUTO!$B$8="PO",POSTIM_NE_DITAR!$D$151&lt;&gt;""),POSTIM_NE_DITAR!H$151,"")</f>
        <v/>
      </c>
      <c r="I449" s="112" t="str">
        <f aca="false">IF(AND(MBYLLJA_6_7_AUTO!$B$8="PO",POSTIM_NE_DITAR!$D$151&lt;&gt;""),POSTIM_NE_DITAR!I$151,"")</f>
        <v/>
      </c>
      <c r="J449" s="113" t="str">
        <f aca="false">IF(TRIM($C449)="","",IF($M449&lt;&gt;"OK",$M449,IF(ABS(SUMIFS($F:$F,$C:$C,TRIM($C449))-SUMIFS($G:$G,$C:$C,TRIM($C449)))&lt;0.005,"OK","ERROR - veprimi nuk balancohet")))</f>
        <v/>
      </c>
      <c r="K449" s="115" t="str">
        <f aca="false">IF($D449="","",IFERROR(VLOOKUP($D449,PLANI_LLOGARIVE!$A:$J,10,FALSE()),FALSE()))</f>
        <v/>
      </c>
      <c r="L449" s="115" t="str">
        <f aca="false">IF($D449="","",IFERROR(VLOOKUP($D449,PLANI_LLOGARIVE!$A:$G,7,FALSE()),"NUK EKZISTON"))</f>
        <v/>
      </c>
      <c r="M449" s="115" t="str">
        <f aca="false">IF($D449="","",IF(COUNTIF(PLANI_LLOGARIVE!$A:$A,$D449)=0,"ERROR - llogaria nuk ekziston",IF($K449=TRUE(),"OK","ERROR - llogari jo-postuese/Header")))</f>
        <v/>
      </c>
      <c r="N449" s="115" t="str">
        <f aca="false">IF(TRIM($C449)="","",IF(ABS(SUMIFS($F:$F,$C:$C,TRIM($C449))-SUMIFS($G:$G,$C:$C,TRIM($C449)))&lt;0.005,"OK","ERROR - debi/kredi"))</f>
        <v/>
      </c>
      <c r="S449" s="116" t="str">
        <f aca="false">IF(D449="","",LEFT(D449&amp;"",2))</f>
        <v/>
      </c>
      <c r="T449" s="101" t="str">
        <f aca="false">IF(D449="","",LEFT(D449&amp;"",3))</f>
        <v/>
      </c>
    </row>
    <row r="450" customFormat="false" ht="14.25" hidden="false" customHeight="true" outlineLevel="0" collapsed="false">
      <c r="A450" s="111" t="str">
        <f aca="false">IF(AND(MBYLLJA_6_7_AUTO!$B$8="PO",POSTIM_NE_DITAR!$D$152&lt;&gt;""),POSTIM_NE_DITAR!A$152,"")</f>
        <v/>
      </c>
      <c r="B450" s="112" t="str">
        <f aca="false">IF(AND(MBYLLJA_6_7_AUTO!$B$8="PO",POSTIM_NE_DITAR!$D$152&lt;&gt;""),POSTIM_NE_DITAR!B$152,"")</f>
        <v/>
      </c>
      <c r="C450" s="112" t="str">
        <f aca="false">IF(AND(MBYLLJA_6_7_AUTO!$B$8="PO",POSTIM_NE_DITAR!$D$152&lt;&gt;""),POSTIM_NE_DITAR!C$152,"")</f>
        <v/>
      </c>
      <c r="D450" s="112" t="str">
        <f aca="false">IF(AND(MBYLLJA_6_7_AUTO!$B$8="PO",POSTIM_NE_DITAR!$D$152&lt;&gt;""),POSTIM_NE_DITAR!D$152,"")</f>
        <v/>
      </c>
      <c r="E450" s="113" t="str">
        <f aca="false">IF(AND(MBYLLJA_6_7_AUTO!$B$8="PO",POSTIM_NE_DITAR!$D$152&lt;&gt;""),POSTIM_NE_DITAR!E$152,"")</f>
        <v/>
      </c>
      <c r="F450" s="114" t="str">
        <f aca="false">IF(AND(MBYLLJA_6_7_AUTO!$B$8="PO",POSTIM_NE_DITAR!$D$152&lt;&gt;""),POSTIM_NE_DITAR!F$152,"")</f>
        <v/>
      </c>
      <c r="G450" s="114" t="str">
        <f aca="false">IF(AND(MBYLLJA_6_7_AUTO!$B$8="PO",POSTIM_NE_DITAR!$D$152&lt;&gt;""),POSTIM_NE_DITAR!G$152,"")</f>
        <v/>
      </c>
      <c r="H450" s="112" t="str">
        <f aca="false">IF(AND(MBYLLJA_6_7_AUTO!$B$8="PO",POSTIM_NE_DITAR!$D$152&lt;&gt;""),POSTIM_NE_DITAR!H$152,"")</f>
        <v/>
      </c>
      <c r="I450" s="112" t="str">
        <f aca="false">IF(AND(MBYLLJA_6_7_AUTO!$B$8="PO",POSTIM_NE_DITAR!$D$152&lt;&gt;""),POSTIM_NE_DITAR!I$152,"")</f>
        <v/>
      </c>
      <c r="J450" s="113" t="str">
        <f aca="false">IF(TRIM($C450)="","",IF($M450&lt;&gt;"OK",$M450,IF(ABS(SUMIFS($F:$F,$C:$C,TRIM($C450))-SUMIFS($G:$G,$C:$C,TRIM($C450)))&lt;0.005,"OK","ERROR - veprimi nuk balancohet")))</f>
        <v/>
      </c>
      <c r="K450" s="115" t="str">
        <f aca="false">IF($D450="","",IFERROR(VLOOKUP($D450,PLANI_LLOGARIVE!$A:$J,10,FALSE()),FALSE()))</f>
        <v/>
      </c>
      <c r="L450" s="115" t="str">
        <f aca="false">IF($D450="","",IFERROR(VLOOKUP($D450,PLANI_LLOGARIVE!$A:$G,7,FALSE()),"NUK EKZISTON"))</f>
        <v/>
      </c>
      <c r="M450" s="115" t="str">
        <f aca="false">IF($D450="","",IF(COUNTIF(PLANI_LLOGARIVE!$A:$A,$D450)=0,"ERROR - llogaria nuk ekziston",IF($K450=TRUE(),"OK","ERROR - llogari jo-postuese/Header")))</f>
        <v/>
      </c>
      <c r="N450" s="115" t="str">
        <f aca="false">IF(TRIM($C450)="","",IF(ABS(SUMIFS($F:$F,$C:$C,TRIM($C450))-SUMIFS($G:$G,$C:$C,TRIM($C450)))&lt;0.005,"OK","ERROR - debi/kredi"))</f>
        <v/>
      </c>
      <c r="S450" s="116" t="str">
        <f aca="false">IF(D450="","",LEFT(D450&amp;"",2))</f>
        <v/>
      </c>
      <c r="T450" s="101" t="str">
        <f aca="false">IF(D450="","",LEFT(D450&amp;"",3))</f>
        <v/>
      </c>
    </row>
    <row r="451" customFormat="false" ht="14.25" hidden="false" customHeight="true" outlineLevel="0" collapsed="false">
      <c r="A451" s="111" t="str">
        <f aca="false">IF(AND(MBYLLJA_6_7_AUTO!$B$8="PO",POSTIM_NE_DITAR!$D$153&lt;&gt;""),POSTIM_NE_DITAR!A$153,"")</f>
        <v/>
      </c>
      <c r="B451" s="112" t="str">
        <f aca="false">IF(AND(MBYLLJA_6_7_AUTO!$B$8="PO",POSTIM_NE_DITAR!$D$153&lt;&gt;""),POSTIM_NE_DITAR!B$153,"")</f>
        <v/>
      </c>
      <c r="C451" s="112" t="str">
        <f aca="false">IF(AND(MBYLLJA_6_7_AUTO!$B$8="PO",POSTIM_NE_DITAR!$D$153&lt;&gt;""),POSTIM_NE_DITAR!C$153,"")</f>
        <v/>
      </c>
      <c r="D451" s="112" t="str">
        <f aca="false">IF(AND(MBYLLJA_6_7_AUTO!$B$8="PO",POSTIM_NE_DITAR!$D$153&lt;&gt;""),POSTIM_NE_DITAR!D$153,"")</f>
        <v/>
      </c>
      <c r="E451" s="113" t="str">
        <f aca="false">IF(AND(MBYLLJA_6_7_AUTO!$B$8="PO",POSTIM_NE_DITAR!$D$153&lt;&gt;""),POSTIM_NE_DITAR!E$153,"")</f>
        <v/>
      </c>
      <c r="F451" s="114" t="str">
        <f aca="false">IF(AND(MBYLLJA_6_7_AUTO!$B$8="PO",POSTIM_NE_DITAR!$D$153&lt;&gt;""),POSTIM_NE_DITAR!F$153,"")</f>
        <v/>
      </c>
      <c r="G451" s="114" t="str">
        <f aca="false">IF(AND(MBYLLJA_6_7_AUTO!$B$8="PO",POSTIM_NE_DITAR!$D$153&lt;&gt;""),POSTIM_NE_DITAR!G$153,"")</f>
        <v/>
      </c>
      <c r="H451" s="112" t="str">
        <f aca="false">IF(AND(MBYLLJA_6_7_AUTO!$B$8="PO",POSTIM_NE_DITAR!$D$153&lt;&gt;""),POSTIM_NE_DITAR!H$153,"")</f>
        <v/>
      </c>
      <c r="I451" s="112" t="str">
        <f aca="false">IF(AND(MBYLLJA_6_7_AUTO!$B$8="PO",POSTIM_NE_DITAR!$D$153&lt;&gt;""),POSTIM_NE_DITAR!I$153,"")</f>
        <v/>
      </c>
      <c r="J451" s="113" t="str">
        <f aca="false">IF(TRIM($C451)="","",IF($M451&lt;&gt;"OK",$M451,IF(ABS(SUMIFS($F:$F,$C:$C,TRIM($C451))-SUMIFS($G:$G,$C:$C,TRIM($C451)))&lt;0.005,"OK","ERROR - veprimi nuk balancohet")))</f>
        <v/>
      </c>
      <c r="K451" s="115" t="str">
        <f aca="false">IF($D451="","",IFERROR(VLOOKUP($D451,PLANI_LLOGARIVE!$A:$J,10,FALSE()),FALSE()))</f>
        <v/>
      </c>
      <c r="L451" s="115" t="str">
        <f aca="false">IF($D451="","",IFERROR(VLOOKUP($D451,PLANI_LLOGARIVE!$A:$G,7,FALSE()),"NUK EKZISTON"))</f>
        <v/>
      </c>
      <c r="M451" s="115" t="str">
        <f aca="false">IF($D451="","",IF(COUNTIF(PLANI_LLOGARIVE!$A:$A,$D451)=0,"ERROR - llogaria nuk ekziston",IF($K451=TRUE(),"OK","ERROR - llogari jo-postuese/Header")))</f>
        <v/>
      </c>
      <c r="N451" s="115" t="str">
        <f aca="false">IF(TRIM($C451)="","",IF(ABS(SUMIFS($F:$F,$C:$C,TRIM($C451))-SUMIFS($G:$G,$C:$C,TRIM($C451)))&lt;0.005,"OK","ERROR - debi/kredi"))</f>
        <v/>
      </c>
      <c r="S451" s="116" t="str">
        <f aca="false">IF(D451="","",LEFT(D451&amp;"",2))</f>
        <v/>
      </c>
      <c r="T451" s="101" t="str">
        <f aca="false">IF(D451="","",LEFT(D451&amp;"",3))</f>
        <v/>
      </c>
    </row>
    <row r="452" customFormat="false" ht="14.25" hidden="false" customHeight="true" outlineLevel="0" collapsed="false">
      <c r="A452" s="111" t="str">
        <f aca="false">IF(AND(MBYLLJA_6_7_AUTO!$B$8="PO",POSTIM_NE_DITAR!$D$154&lt;&gt;""),POSTIM_NE_DITAR!A$154,"")</f>
        <v/>
      </c>
      <c r="B452" s="112" t="str">
        <f aca="false">IF(AND(MBYLLJA_6_7_AUTO!$B$8="PO",POSTIM_NE_DITAR!$D$154&lt;&gt;""),POSTIM_NE_DITAR!B$154,"")</f>
        <v/>
      </c>
      <c r="C452" s="112" t="str">
        <f aca="false">IF(AND(MBYLLJA_6_7_AUTO!$B$8="PO",POSTIM_NE_DITAR!$D$154&lt;&gt;""),POSTIM_NE_DITAR!C$154,"")</f>
        <v/>
      </c>
      <c r="D452" s="112" t="str">
        <f aca="false">IF(AND(MBYLLJA_6_7_AUTO!$B$8="PO",POSTIM_NE_DITAR!$D$154&lt;&gt;""),POSTIM_NE_DITAR!D$154,"")</f>
        <v/>
      </c>
      <c r="E452" s="113" t="str">
        <f aca="false">IF(AND(MBYLLJA_6_7_AUTO!$B$8="PO",POSTIM_NE_DITAR!$D$154&lt;&gt;""),POSTIM_NE_DITAR!E$154,"")</f>
        <v/>
      </c>
      <c r="F452" s="114" t="str">
        <f aca="false">IF(AND(MBYLLJA_6_7_AUTO!$B$8="PO",POSTIM_NE_DITAR!$D$154&lt;&gt;""),POSTIM_NE_DITAR!F$154,"")</f>
        <v/>
      </c>
      <c r="G452" s="114" t="str">
        <f aca="false">IF(AND(MBYLLJA_6_7_AUTO!$B$8="PO",POSTIM_NE_DITAR!$D$154&lt;&gt;""),POSTIM_NE_DITAR!G$154,"")</f>
        <v/>
      </c>
      <c r="H452" s="112" t="str">
        <f aca="false">IF(AND(MBYLLJA_6_7_AUTO!$B$8="PO",POSTIM_NE_DITAR!$D$154&lt;&gt;""),POSTIM_NE_DITAR!H$154,"")</f>
        <v/>
      </c>
      <c r="I452" s="112" t="str">
        <f aca="false">IF(AND(MBYLLJA_6_7_AUTO!$B$8="PO",POSTIM_NE_DITAR!$D$154&lt;&gt;""),POSTIM_NE_DITAR!I$154,"")</f>
        <v/>
      </c>
      <c r="J452" s="113" t="str">
        <f aca="false">IF(TRIM($C452)="","",IF($M452&lt;&gt;"OK",$M452,IF(ABS(SUMIFS($F:$F,$C:$C,TRIM($C452))-SUMIFS($G:$G,$C:$C,TRIM($C452)))&lt;0.005,"OK","ERROR - veprimi nuk balancohet")))</f>
        <v/>
      </c>
      <c r="K452" s="115" t="str">
        <f aca="false">IF($D452="","",IFERROR(VLOOKUP($D452,PLANI_LLOGARIVE!$A:$J,10,FALSE()),FALSE()))</f>
        <v/>
      </c>
      <c r="L452" s="115" t="str">
        <f aca="false">IF($D452="","",IFERROR(VLOOKUP($D452,PLANI_LLOGARIVE!$A:$G,7,FALSE()),"NUK EKZISTON"))</f>
        <v/>
      </c>
      <c r="M452" s="115" t="str">
        <f aca="false">IF($D452="","",IF(COUNTIF(PLANI_LLOGARIVE!$A:$A,$D452)=0,"ERROR - llogaria nuk ekziston",IF($K452=TRUE(),"OK","ERROR - llogari jo-postuese/Header")))</f>
        <v/>
      </c>
      <c r="N452" s="115" t="str">
        <f aca="false">IF(TRIM($C452)="","",IF(ABS(SUMIFS($F:$F,$C:$C,TRIM($C452))-SUMIFS($G:$G,$C:$C,TRIM($C452)))&lt;0.005,"OK","ERROR - debi/kredi"))</f>
        <v/>
      </c>
      <c r="S452" s="116" t="str">
        <f aca="false">IF(D452="","",LEFT(D452&amp;"",2))</f>
        <v/>
      </c>
      <c r="T452" s="101" t="str">
        <f aca="false">IF(D452="","",LEFT(D452&amp;"",3))</f>
        <v/>
      </c>
    </row>
    <row r="453" customFormat="false" ht="14.25" hidden="false" customHeight="true" outlineLevel="0" collapsed="false">
      <c r="A453" s="111" t="str">
        <f aca="false">IF(AND(MBYLLJA_6_7_AUTO!$B$8="PO",POSTIM_NE_DITAR!$D$155&lt;&gt;""),POSTIM_NE_DITAR!A$155,"")</f>
        <v/>
      </c>
      <c r="B453" s="112" t="str">
        <f aca="false">IF(AND(MBYLLJA_6_7_AUTO!$B$8="PO",POSTIM_NE_DITAR!$D$155&lt;&gt;""),POSTIM_NE_DITAR!B$155,"")</f>
        <v/>
      </c>
      <c r="C453" s="112" t="str">
        <f aca="false">IF(AND(MBYLLJA_6_7_AUTO!$B$8="PO",POSTIM_NE_DITAR!$D$155&lt;&gt;""),POSTIM_NE_DITAR!C$155,"")</f>
        <v/>
      </c>
      <c r="D453" s="112" t="str">
        <f aca="false">IF(AND(MBYLLJA_6_7_AUTO!$B$8="PO",POSTIM_NE_DITAR!$D$155&lt;&gt;""),POSTIM_NE_DITAR!D$155,"")</f>
        <v/>
      </c>
      <c r="E453" s="113" t="str">
        <f aca="false">IF(AND(MBYLLJA_6_7_AUTO!$B$8="PO",POSTIM_NE_DITAR!$D$155&lt;&gt;""),POSTIM_NE_DITAR!E$155,"")</f>
        <v/>
      </c>
      <c r="F453" s="114" t="str">
        <f aca="false">IF(AND(MBYLLJA_6_7_AUTO!$B$8="PO",POSTIM_NE_DITAR!$D$155&lt;&gt;""),POSTIM_NE_DITAR!F$155,"")</f>
        <v/>
      </c>
      <c r="G453" s="114" t="str">
        <f aca="false">IF(AND(MBYLLJA_6_7_AUTO!$B$8="PO",POSTIM_NE_DITAR!$D$155&lt;&gt;""),POSTIM_NE_DITAR!G$155,"")</f>
        <v/>
      </c>
      <c r="H453" s="112" t="str">
        <f aca="false">IF(AND(MBYLLJA_6_7_AUTO!$B$8="PO",POSTIM_NE_DITAR!$D$155&lt;&gt;""),POSTIM_NE_DITAR!H$155,"")</f>
        <v/>
      </c>
      <c r="I453" s="112" t="str">
        <f aca="false">IF(AND(MBYLLJA_6_7_AUTO!$B$8="PO",POSTIM_NE_DITAR!$D$155&lt;&gt;""),POSTIM_NE_DITAR!I$155,"")</f>
        <v/>
      </c>
      <c r="J453" s="113" t="str">
        <f aca="false">IF(TRIM($C453)="","",IF($M453&lt;&gt;"OK",$M453,IF(ABS(SUMIFS($F:$F,$C:$C,TRIM($C453))-SUMIFS($G:$G,$C:$C,TRIM($C453)))&lt;0.005,"OK","ERROR - veprimi nuk balancohet")))</f>
        <v/>
      </c>
      <c r="K453" s="115" t="str">
        <f aca="false">IF($D453="","",IFERROR(VLOOKUP($D453,PLANI_LLOGARIVE!$A:$J,10,FALSE()),FALSE()))</f>
        <v/>
      </c>
      <c r="L453" s="115" t="str">
        <f aca="false">IF($D453="","",IFERROR(VLOOKUP($D453,PLANI_LLOGARIVE!$A:$G,7,FALSE()),"NUK EKZISTON"))</f>
        <v/>
      </c>
      <c r="M453" s="115" t="str">
        <f aca="false">IF($D453="","",IF(COUNTIF(PLANI_LLOGARIVE!$A:$A,$D453)=0,"ERROR - llogaria nuk ekziston",IF($K453=TRUE(),"OK","ERROR - llogari jo-postuese/Header")))</f>
        <v/>
      </c>
      <c r="N453" s="115" t="str">
        <f aca="false">IF(TRIM($C453)="","",IF(ABS(SUMIFS($F:$F,$C:$C,TRIM($C453))-SUMIFS($G:$G,$C:$C,TRIM($C453)))&lt;0.005,"OK","ERROR - debi/kredi"))</f>
        <v/>
      </c>
      <c r="S453" s="116" t="str">
        <f aca="false">IF(D453="","",LEFT(D453&amp;"",2))</f>
        <v/>
      </c>
      <c r="T453" s="101" t="str">
        <f aca="false">IF(D453="","",LEFT(D453&amp;"",3))</f>
        <v/>
      </c>
    </row>
    <row r="454" customFormat="false" ht="14.25" hidden="false" customHeight="true" outlineLevel="0" collapsed="false">
      <c r="A454" s="111" t="str">
        <f aca="false">IF(AND(MBYLLJA_6_7_AUTO!$B$8="PO",POSTIM_NE_DITAR!$D$156&lt;&gt;""),POSTIM_NE_DITAR!A$156,"")</f>
        <v/>
      </c>
      <c r="B454" s="112" t="str">
        <f aca="false">IF(AND(MBYLLJA_6_7_AUTO!$B$8="PO",POSTIM_NE_DITAR!$D$156&lt;&gt;""),POSTIM_NE_DITAR!B$156,"")</f>
        <v/>
      </c>
      <c r="C454" s="112" t="str">
        <f aca="false">IF(AND(MBYLLJA_6_7_AUTO!$B$8="PO",POSTIM_NE_DITAR!$D$156&lt;&gt;""),POSTIM_NE_DITAR!C$156,"")</f>
        <v/>
      </c>
      <c r="D454" s="112" t="str">
        <f aca="false">IF(AND(MBYLLJA_6_7_AUTO!$B$8="PO",POSTIM_NE_DITAR!$D$156&lt;&gt;""),POSTIM_NE_DITAR!D$156,"")</f>
        <v/>
      </c>
      <c r="E454" s="113" t="str">
        <f aca="false">IF(AND(MBYLLJA_6_7_AUTO!$B$8="PO",POSTIM_NE_DITAR!$D$156&lt;&gt;""),POSTIM_NE_DITAR!E$156,"")</f>
        <v/>
      </c>
      <c r="F454" s="114" t="str">
        <f aca="false">IF(AND(MBYLLJA_6_7_AUTO!$B$8="PO",POSTIM_NE_DITAR!$D$156&lt;&gt;""),POSTIM_NE_DITAR!F$156,"")</f>
        <v/>
      </c>
      <c r="G454" s="114" t="str">
        <f aca="false">IF(AND(MBYLLJA_6_7_AUTO!$B$8="PO",POSTIM_NE_DITAR!$D$156&lt;&gt;""),POSTIM_NE_DITAR!G$156,"")</f>
        <v/>
      </c>
      <c r="H454" s="112" t="str">
        <f aca="false">IF(AND(MBYLLJA_6_7_AUTO!$B$8="PO",POSTIM_NE_DITAR!$D$156&lt;&gt;""),POSTIM_NE_DITAR!H$156,"")</f>
        <v/>
      </c>
      <c r="I454" s="112" t="str">
        <f aca="false">IF(AND(MBYLLJA_6_7_AUTO!$B$8="PO",POSTIM_NE_DITAR!$D$156&lt;&gt;""),POSTIM_NE_DITAR!I$156,"")</f>
        <v/>
      </c>
      <c r="J454" s="113" t="str">
        <f aca="false">IF(TRIM($C454)="","",IF($M454&lt;&gt;"OK",$M454,IF(ABS(SUMIFS($F:$F,$C:$C,TRIM($C454))-SUMIFS($G:$G,$C:$C,TRIM($C454)))&lt;0.005,"OK","ERROR - veprimi nuk balancohet")))</f>
        <v/>
      </c>
      <c r="K454" s="115" t="str">
        <f aca="false">IF($D454="","",IFERROR(VLOOKUP($D454,PLANI_LLOGARIVE!$A:$J,10,FALSE()),FALSE()))</f>
        <v/>
      </c>
      <c r="L454" s="115" t="str">
        <f aca="false">IF($D454="","",IFERROR(VLOOKUP($D454,PLANI_LLOGARIVE!$A:$G,7,FALSE()),"NUK EKZISTON"))</f>
        <v/>
      </c>
      <c r="M454" s="115" t="str">
        <f aca="false">IF($D454="","",IF(COUNTIF(PLANI_LLOGARIVE!$A:$A,$D454)=0,"ERROR - llogaria nuk ekziston",IF($K454=TRUE(),"OK","ERROR - llogari jo-postuese/Header")))</f>
        <v/>
      </c>
      <c r="N454" s="115" t="str">
        <f aca="false">IF(TRIM($C454)="","",IF(ABS(SUMIFS($F:$F,$C:$C,TRIM($C454))-SUMIFS($G:$G,$C:$C,TRIM($C454)))&lt;0.005,"OK","ERROR - debi/kredi"))</f>
        <v/>
      </c>
      <c r="S454" s="116" t="str">
        <f aca="false">IF(D454="","",LEFT(D454&amp;"",2))</f>
        <v/>
      </c>
      <c r="T454" s="101" t="str">
        <f aca="false">IF(D454="","",LEFT(D454&amp;"",3))</f>
        <v/>
      </c>
    </row>
    <row r="455" customFormat="false" ht="14.25" hidden="false" customHeight="true" outlineLevel="0" collapsed="false">
      <c r="A455" s="111" t="str">
        <f aca="false">IF(AND(MBYLLJA_6_7_AUTO!$B$8="PO",POSTIM_NE_DITAR!$D$157&lt;&gt;""),POSTIM_NE_DITAR!A$157,"")</f>
        <v/>
      </c>
      <c r="B455" s="112" t="str">
        <f aca="false">IF(AND(MBYLLJA_6_7_AUTO!$B$8="PO",POSTIM_NE_DITAR!$D$157&lt;&gt;""),POSTIM_NE_DITAR!B$157,"")</f>
        <v/>
      </c>
      <c r="C455" s="112" t="str">
        <f aca="false">IF(AND(MBYLLJA_6_7_AUTO!$B$8="PO",POSTIM_NE_DITAR!$D$157&lt;&gt;""),POSTIM_NE_DITAR!C$157,"")</f>
        <v/>
      </c>
      <c r="D455" s="112" t="str">
        <f aca="false">IF(AND(MBYLLJA_6_7_AUTO!$B$8="PO",POSTIM_NE_DITAR!$D$157&lt;&gt;""),POSTIM_NE_DITAR!D$157,"")</f>
        <v/>
      </c>
      <c r="E455" s="113" t="str">
        <f aca="false">IF(AND(MBYLLJA_6_7_AUTO!$B$8="PO",POSTIM_NE_DITAR!$D$157&lt;&gt;""),POSTIM_NE_DITAR!E$157,"")</f>
        <v/>
      </c>
      <c r="F455" s="114" t="str">
        <f aca="false">IF(AND(MBYLLJA_6_7_AUTO!$B$8="PO",POSTIM_NE_DITAR!$D$157&lt;&gt;""),POSTIM_NE_DITAR!F$157,"")</f>
        <v/>
      </c>
      <c r="G455" s="114" t="str">
        <f aca="false">IF(AND(MBYLLJA_6_7_AUTO!$B$8="PO",POSTIM_NE_DITAR!$D$157&lt;&gt;""),POSTIM_NE_DITAR!G$157,"")</f>
        <v/>
      </c>
      <c r="H455" s="112" t="str">
        <f aca="false">IF(AND(MBYLLJA_6_7_AUTO!$B$8="PO",POSTIM_NE_DITAR!$D$157&lt;&gt;""),POSTIM_NE_DITAR!H$157,"")</f>
        <v/>
      </c>
      <c r="I455" s="112" t="str">
        <f aca="false">IF(AND(MBYLLJA_6_7_AUTO!$B$8="PO",POSTIM_NE_DITAR!$D$157&lt;&gt;""),POSTIM_NE_DITAR!I$157,"")</f>
        <v/>
      </c>
      <c r="J455" s="113" t="str">
        <f aca="false">IF(TRIM($C455)="","",IF($M455&lt;&gt;"OK",$M455,IF(ABS(SUMIFS($F:$F,$C:$C,TRIM($C455))-SUMIFS($G:$G,$C:$C,TRIM($C455)))&lt;0.005,"OK","ERROR - veprimi nuk balancohet")))</f>
        <v/>
      </c>
      <c r="K455" s="115" t="str">
        <f aca="false">IF($D455="","",IFERROR(VLOOKUP($D455,PLANI_LLOGARIVE!$A:$J,10,FALSE()),FALSE()))</f>
        <v/>
      </c>
      <c r="L455" s="115" t="str">
        <f aca="false">IF($D455="","",IFERROR(VLOOKUP($D455,PLANI_LLOGARIVE!$A:$G,7,FALSE()),"NUK EKZISTON"))</f>
        <v/>
      </c>
      <c r="M455" s="115" t="str">
        <f aca="false">IF($D455="","",IF(COUNTIF(PLANI_LLOGARIVE!$A:$A,$D455)=0,"ERROR - llogaria nuk ekziston",IF($K455=TRUE(),"OK","ERROR - llogari jo-postuese/Header")))</f>
        <v/>
      </c>
      <c r="N455" s="115" t="str">
        <f aca="false">IF(TRIM($C455)="","",IF(ABS(SUMIFS($F:$F,$C:$C,TRIM($C455))-SUMIFS($G:$G,$C:$C,TRIM($C455)))&lt;0.005,"OK","ERROR - debi/kredi"))</f>
        <v/>
      </c>
      <c r="S455" s="116" t="str">
        <f aca="false">IF(D455="","",LEFT(D455&amp;"",2))</f>
        <v/>
      </c>
      <c r="T455" s="101" t="str">
        <f aca="false">IF(D455="","",LEFT(D455&amp;"",3))</f>
        <v/>
      </c>
    </row>
    <row r="456" customFormat="false" ht="14.25" hidden="false" customHeight="true" outlineLevel="0" collapsed="false">
      <c r="A456" s="111" t="str">
        <f aca="false">IF(AND(MBYLLJA_6_7_AUTO!$B$8="PO",POSTIM_NE_DITAR!$D$158&lt;&gt;""),POSTIM_NE_DITAR!A$158,"")</f>
        <v/>
      </c>
      <c r="B456" s="112" t="str">
        <f aca="false">IF(AND(MBYLLJA_6_7_AUTO!$B$8="PO",POSTIM_NE_DITAR!$D$158&lt;&gt;""),POSTIM_NE_DITAR!B$158,"")</f>
        <v/>
      </c>
      <c r="C456" s="112" t="str">
        <f aca="false">IF(AND(MBYLLJA_6_7_AUTO!$B$8="PO",POSTIM_NE_DITAR!$D$158&lt;&gt;""),POSTIM_NE_DITAR!C$158,"")</f>
        <v/>
      </c>
      <c r="D456" s="112" t="str">
        <f aca="false">IF(AND(MBYLLJA_6_7_AUTO!$B$8="PO",POSTIM_NE_DITAR!$D$158&lt;&gt;""),POSTIM_NE_DITAR!D$158,"")</f>
        <v/>
      </c>
      <c r="E456" s="113" t="str">
        <f aca="false">IF(AND(MBYLLJA_6_7_AUTO!$B$8="PO",POSTIM_NE_DITAR!$D$158&lt;&gt;""),POSTIM_NE_DITAR!E$158,"")</f>
        <v/>
      </c>
      <c r="F456" s="114" t="str">
        <f aca="false">IF(AND(MBYLLJA_6_7_AUTO!$B$8="PO",POSTIM_NE_DITAR!$D$158&lt;&gt;""),POSTIM_NE_DITAR!F$158,"")</f>
        <v/>
      </c>
      <c r="G456" s="114" t="str">
        <f aca="false">IF(AND(MBYLLJA_6_7_AUTO!$B$8="PO",POSTIM_NE_DITAR!$D$158&lt;&gt;""),POSTIM_NE_DITAR!G$158,"")</f>
        <v/>
      </c>
      <c r="H456" s="112" t="str">
        <f aca="false">IF(AND(MBYLLJA_6_7_AUTO!$B$8="PO",POSTIM_NE_DITAR!$D$158&lt;&gt;""),POSTIM_NE_DITAR!H$158,"")</f>
        <v/>
      </c>
      <c r="I456" s="112" t="str">
        <f aca="false">IF(AND(MBYLLJA_6_7_AUTO!$B$8="PO",POSTIM_NE_DITAR!$D$158&lt;&gt;""),POSTIM_NE_DITAR!I$158,"")</f>
        <v/>
      </c>
      <c r="J456" s="113" t="str">
        <f aca="false">IF(TRIM($C456)="","",IF($M456&lt;&gt;"OK",$M456,IF(ABS(SUMIFS($F:$F,$C:$C,TRIM($C456))-SUMIFS($G:$G,$C:$C,TRIM($C456)))&lt;0.005,"OK","ERROR - veprimi nuk balancohet")))</f>
        <v/>
      </c>
      <c r="K456" s="115" t="str">
        <f aca="false">IF($D456="","",IFERROR(VLOOKUP($D456,PLANI_LLOGARIVE!$A:$J,10,FALSE()),FALSE()))</f>
        <v/>
      </c>
      <c r="L456" s="115" t="str">
        <f aca="false">IF($D456="","",IFERROR(VLOOKUP($D456,PLANI_LLOGARIVE!$A:$G,7,FALSE()),"NUK EKZISTON"))</f>
        <v/>
      </c>
      <c r="M456" s="115" t="str">
        <f aca="false">IF($D456="","",IF(COUNTIF(PLANI_LLOGARIVE!$A:$A,$D456)=0,"ERROR - llogaria nuk ekziston",IF($K456=TRUE(),"OK","ERROR - llogari jo-postuese/Header")))</f>
        <v/>
      </c>
      <c r="N456" s="115" t="str">
        <f aca="false">IF(TRIM($C456)="","",IF(ABS(SUMIFS($F:$F,$C:$C,TRIM($C456))-SUMIFS($G:$G,$C:$C,TRIM($C456)))&lt;0.005,"OK","ERROR - debi/kredi"))</f>
        <v/>
      </c>
      <c r="S456" s="116" t="str">
        <f aca="false">IF(D456="","",LEFT(D456&amp;"",2))</f>
        <v/>
      </c>
      <c r="T456" s="101" t="str">
        <f aca="false">IF(D456="","",LEFT(D456&amp;"",3))</f>
        <v/>
      </c>
    </row>
    <row r="457" customFormat="false" ht="14.25" hidden="false" customHeight="true" outlineLevel="0" collapsed="false">
      <c r="A457" s="111" t="str">
        <f aca="false">IF(AND(MBYLLJA_6_7_AUTO!$B$8="PO",POSTIM_NE_DITAR!$D$159&lt;&gt;""),POSTIM_NE_DITAR!A$159,"")</f>
        <v/>
      </c>
      <c r="B457" s="112" t="str">
        <f aca="false">IF(AND(MBYLLJA_6_7_AUTO!$B$8="PO",POSTIM_NE_DITAR!$D$159&lt;&gt;""),POSTIM_NE_DITAR!B$159,"")</f>
        <v/>
      </c>
      <c r="C457" s="112" t="str">
        <f aca="false">IF(AND(MBYLLJA_6_7_AUTO!$B$8="PO",POSTIM_NE_DITAR!$D$159&lt;&gt;""),POSTIM_NE_DITAR!C$159,"")</f>
        <v/>
      </c>
      <c r="D457" s="112" t="str">
        <f aca="false">IF(AND(MBYLLJA_6_7_AUTO!$B$8="PO",POSTIM_NE_DITAR!$D$159&lt;&gt;""),POSTIM_NE_DITAR!D$159,"")</f>
        <v/>
      </c>
      <c r="E457" s="113" t="str">
        <f aca="false">IF(AND(MBYLLJA_6_7_AUTO!$B$8="PO",POSTIM_NE_DITAR!$D$159&lt;&gt;""),POSTIM_NE_DITAR!E$159,"")</f>
        <v/>
      </c>
      <c r="F457" s="114" t="str">
        <f aca="false">IF(AND(MBYLLJA_6_7_AUTO!$B$8="PO",POSTIM_NE_DITAR!$D$159&lt;&gt;""),POSTIM_NE_DITAR!F$159,"")</f>
        <v/>
      </c>
      <c r="G457" s="114" t="str">
        <f aca="false">IF(AND(MBYLLJA_6_7_AUTO!$B$8="PO",POSTIM_NE_DITAR!$D$159&lt;&gt;""),POSTIM_NE_DITAR!G$159,"")</f>
        <v/>
      </c>
      <c r="H457" s="112" t="str">
        <f aca="false">IF(AND(MBYLLJA_6_7_AUTO!$B$8="PO",POSTIM_NE_DITAR!$D$159&lt;&gt;""),POSTIM_NE_DITAR!H$159,"")</f>
        <v/>
      </c>
      <c r="I457" s="112" t="str">
        <f aca="false">IF(AND(MBYLLJA_6_7_AUTO!$B$8="PO",POSTIM_NE_DITAR!$D$159&lt;&gt;""),POSTIM_NE_DITAR!I$159,"")</f>
        <v/>
      </c>
      <c r="J457" s="113" t="str">
        <f aca="false">IF(TRIM($C457)="","",IF($M457&lt;&gt;"OK",$M457,IF(ABS(SUMIFS($F:$F,$C:$C,TRIM($C457))-SUMIFS($G:$G,$C:$C,TRIM($C457)))&lt;0.005,"OK","ERROR - veprimi nuk balancohet")))</f>
        <v/>
      </c>
      <c r="K457" s="115" t="str">
        <f aca="false">IF($D457="","",IFERROR(VLOOKUP($D457,PLANI_LLOGARIVE!$A:$J,10,FALSE()),FALSE()))</f>
        <v/>
      </c>
      <c r="L457" s="115" t="str">
        <f aca="false">IF($D457="","",IFERROR(VLOOKUP($D457,PLANI_LLOGARIVE!$A:$G,7,FALSE()),"NUK EKZISTON"))</f>
        <v/>
      </c>
      <c r="M457" s="115" t="str">
        <f aca="false">IF($D457="","",IF(COUNTIF(PLANI_LLOGARIVE!$A:$A,$D457)=0,"ERROR - llogaria nuk ekziston",IF($K457=TRUE(),"OK","ERROR - llogari jo-postuese/Header")))</f>
        <v/>
      </c>
      <c r="N457" s="115" t="str">
        <f aca="false">IF(TRIM($C457)="","",IF(ABS(SUMIFS($F:$F,$C:$C,TRIM($C457))-SUMIFS($G:$G,$C:$C,TRIM($C457)))&lt;0.005,"OK","ERROR - debi/kredi"))</f>
        <v/>
      </c>
      <c r="S457" s="116" t="str">
        <f aca="false">IF(D457="","",LEFT(D457&amp;"",2))</f>
        <v/>
      </c>
      <c r="T457" s="101" t="str">
        <f aca="false">IF(D457="","",LEFT(D457&amp;"",3))</f>
        <v/>
      </c>
    </row>
    <row r="458" customFormat="false" ht="14.25" hidden="false" customHeight="true" outlineLevel="0" collapsed="false">
      <c r="A458" s="111" t="str">
        <f aca="false">IF(AND(MBYLLJA_6_7_AUTO!$B$8="PO",POSTIM_NE_DITAR!$D$160&lt;&gt;""),POSTIM_NE_DITAR!A$160,"")</f>
        <v/>
      </c>
      <c r="B458" s="112" t="str">
        <f aca="false">IF(AND(MBYLLJA_6_7_AUTO!$B$8="PO",POSTIM_NE_DITAR!$D$160&lt;&gt;""),POSTIM_NE_DITAR!B$160,"")</f>
        <v/>
      </c>
      <c r="C458" s="112" t="str">
        <f aca="false">IF(AND(MBYLLJA_6_7_AUTO!$B$8="PO",POSTIM_NE_DITAR!$D$160&lt;&gt;""),POSTIM_NE_DITAR!C$160,"")</f>
        <v/>
      </c>
      <c r="D458" s="112" t="str">
        <f aca="false">IF(AND(MBYLLJA_6_7_AUTO!$B$8="PO",POSTIM_NE_DITAR!$D$160&lt;&gt;""),POSTIM_NE_DITAR!D$160,"")</f>
        <v/>
      </c>
      <c r="E458" s="113" t="str">
        <f aca="false">IF(AND(MBYLLJA_6_7_AUTO!$B$8="PO",POSTIM_NE_DITAR!$D$160&lt;&gt;""),POSTIM_NE_DITAR!E$160,"")</f>
        <v/>
      </c>
      <c r="F458" s="114" t="str">
        <f aca="false">IF(AND(MBYLLJA_6_7_AUTO!$B$8="PO",POSTIM_NE_DITAR!$D$160&lt;&gt;""),POSTIM_NE_DITAR!F$160,"")</f>
        <v/>
      </c>
      <c r="G458" s="114" t="str">
        <f aca="false">IF(AND(MBYLLJA_6_7_AUTO!$B$8="PO",POSTIM_NE_DITAR!$D$160&lt;&gt;""),POSTIM_NE_DITAR!G$160,"")</f>
        <v/>
      </c>
      <c r="H458" s="112" t="str">
        <f aca="false">IF(AND(MBYLLJA_6_7_AUTO!$B$8="PO",POSTIM_NE_DITAR!$D$160&lt;&gt;""),POSTIM_NE_DITAR!H$160,"")</f>
        <v/>
      </c>
      <c r="I458" s="112" t="str">
        <f aca="false">IF(AND(MBYLLJA_6_7_AUTO!$B$8="PO",POSTIM_NE_DITAR!$D$160&lt;&gt;""),POSTIM_NE_DITAR!I$160,"")</f>
        <v/>
      </c>
      <c r="J458" s="113" t="str">
        <f aca="false">IF(TRIM($C458)="","",IF($M458&lt;&gt;"OK",$M458,IF(ABS(SUMIFS($F:$F,$C:$C,TRIM($C458))-SUMIFS($G:$G,$C:$C,TRIM($C458)))&lt;0.005,"OK","ERROR - veprimi nuk balancohet")))</f>
        <v/>
      </c>
      <c r="K458" s="115" t="str">
        <f aca="false">IF($D458="","",IFERROR(VLOOKUP($D458,PLANI_LLOGARIVE!$A:$J,10,FALSE()),FALSE()))</f>
        <v/>
      </c>
      <c r="L458" s="115" t="str">
        <f aca="false">IF($D458="","",IFERROR(VLOOKUP($D458,PLANI_LLOGARIVE!$A:$G,7,FALSE()),"NUK EKZISTON"))</f>
        <v/>
      </c>
      <c r="M458" s="115" t="str">
        <f aca="false">IF($D458="","",IF(COUNTIF(PLANI_LLOGARIVE!$A:$A,$D458)=0,"ERROR - llogaria nuk ekziston",IF($K458=TRUE(),"OK","ERROR - llogari jo-postuese/Header")))</f>
        <v/>
      </c>
      <c r="N458" s="115" t="str">
        <f aca="false">IF(TRIM($C458)="","",IF(ABS(SUMIFS($F:$F,$C:$C,TRIM($C458))-SUMIFS($G:$G,$C:$C,TRIM($C458)))&lt;0.005,"OK","ERROR - debi/kredi"))</f>
        <v/>
      </c>
      <c r="S458" s="116" t="str">
        <f aca="false">IF(D458="","",LEFT(D458&amp;"",2))</f>
        <v/>
      </c>
      <c r="T458" s="101" t="str">
        <f aca="false">IF(D458="","",LEFT(D458&amp;"",3))</f>
        <v/>
      </c>
    </row>
    <row r="459" customFormat="false" ht="14.25" hidden="false" customHeight="true" outlineLevel="0" collapsed="false">
      <c r="A459" s="111" t="str">
        <f aca="false">IF(AND(MBYLLJA_6_7_AUTO!$B$8="PO",POSTIM_NE_DITAR!$D$161&lt;&gt;""),POSTIM_NE_DITAR!A$161,"")</f>
        <v/>
      </c>
      <c r="B459" s="112" t="str">
        <f aca="false">IF(AND(MBYLLJA_6_7_AUTO!$B$8="PO",POSTIM_NE_DITAR!$D$161&lt;&gt;""),POSTIM_NE_DITAR!B$161,"")</f>
        <v/>
      </c>
      <c r="C459" s="112" t="str">
        <f aca="false">IF(AND(MBYLLJA_6_7_AUTO!$B$8="PO",POSTIM_NE_DITAR!$D$161&lt;&gt;""),POSTIM_NE_DITAR!C$161,"")</f>
        <v/>
      </c>
      <c r="D459" s="112" t="str">
        <f aca="false">IF(AND(MBYLLJA_6_7_AUTO!$B$8="PO",POSTIM_NE_DITAR!$D$161&lt;&gt;""),POSTIM_NE_DITAR!D$161,"")</f>
        <v/>
      </c>
      <c r="E459" s="113" t="str">
        <f aca="false">IF(AND(MBYLLJA_6_7_AUTO!$B$8="PO",POSTIM_NE_DITAR!$D$161&lt;&gt;""),POSTIM_NE_DITAR!E$161,"")</f>
        <v/>
      </c>
      <c r="F459" s="114" t="str">
        <f aca="false">IF(AND(MBYLLJA_6_7_AUTO!$B$8="PO",POSTIM_NE_DITAR!$D$161&lt;&gt;""),POSTIM_NE_DITAR!F$161,"")</f>
        <v/>
      </c>
      <c r="G459" s="114" t="str">
        <f aca="false">IF(AND(MBYLLJA_6_7_AUTO!$B$8="PO",POSTIM_NE_DITAR!$D$161&lt;&gt;""),POSTIM_NE_DITAR!G$161,"")</f>
        <v/>
      </c>
      <c r="H459" s="112" t="str">
        <f aca="false">IF(AND(MBYLLJA_6_7_AUTO!$B$8="PO",POSTIM_NE_DITAR!$D$161&lt;&gt;""),POSTIM_NE_DITAR!H$161,"")</f>
        <v/>
      </c>
      <c r="I459" s="112" t="str">
        <f aca="false">IF(AND(MBYLLJA_6_7_AUTO!$B$8="PO",POSTIM_NE_DITAR!$D$161&lt;&gt;""),POSTIM_NE_DITAR!I$161,"")</f>
        <v/>
      </c>
      <c r="J459" s="113" t="str">
        <f aca="false">IF(TRIM($C459)="","",IF($M459&lt;&gt;"OK",$M459,IF(ABS(SUMIFS($F:$F,$C:$C,TRIM($C459))-SUMIFS($G:$G,$C:$C,TRIM($C459)))&lt;0.005,"OK","ERROR - veprimi nuk balancohet")))</f>
        <v/>
      </c>
      <c r="K459" s="115" t="str">
        <f aca="false">IF($D459="","",IFERROR(VLOOKUP($D459,PLANI_LLOGARIVE!$A:$J,10,FALSE()),FALSE()))</f>
        <v/>
      </c>
      <c r="L459" s="115" t="str">
        <f aca="false">IF($D459="","",IFERROR(VLOOKUP($D459,PLANI_LLOGARIVE!$A:$G,7,FALSE()),"NUK EKZISTON"))</f>
        <v/>
      </c>
      <c r="M459" s="115" t="str">
        <f aca="false">IF($D459="","",IF(COUNTIF(PLANI_LLOGARIVE!$A:$A,$D459)=0,"ERROR - llogaria nuk ekziston",IF($K459=TRUE(),"OK","ERROR - llogari jo-postuese/Header")))</f>
        <v/>
      </c>
      <c r="N459" s="115" t="str">
        <f aca="false">IF(TRIM($C459)="","",IF(ABS(SUMIFS($F:$F,$C:$C,TRIM($C459))-SUMIFS($G:$G,$C:$C,TRIM($C459)))&lt;0.005,"OK","ERROR - debi/kredi"))</f>
        <v/>
      </c>
      <c r="S459" s="116" t="str">
        <f aca="false">IF(D459="","",LEFT(D459&amp;"",2))</f>
        <v/>
      </c>
      <c r="T459" s="101" t="str">
        <f aca="false">IF(D459="","",LEFT(D459&amp;"",3))</f>
        <v/>
      </c>
    </row>
    <row r="460" customFormat="false" ht="14.25" hidden="false" customHeight="true" outlineLevel="0" collapsed="false">
      <c r="A460" s="111" t="str">
        <f aca="false">IF(AND(MBYLLJA_6_7_AUTO!$B$8="PO",POSTIM_NE_DITAR!$D$162&lt;&gt;""),POSTIM_NE_DITAR!A$162,"")</f>
        <v/>
      </c>
      <c r="B460" s="112" t="str">
        <f aca="false">IF(AND(MBYLLJA_6_7_AUTO!$B$8="PO",POSTIM_NE_DITAR!$D$162&lt;&gt;""),POSTIM_NE_DITAR!B$162,"")</f>
        <v/>
      </c>
      <c r="C460" s="112" t="str">
        <f aca="false">IF(AND(MBYLLJA_6_7_AUTO!$B$8="PO",POSTIM_NE_DITAR!$D$162&lt;&gt;""),POSTIM_NE_DITAR!C$162,"")</f>
        <v/>
      </c>
      <c r="D460" s="112" t="str">
        <f aca="false">IF(AND(MBYLLJA_6_7_AUTO!$B$8="PO",POSTIM_NE_DITAR!$D$162&lt;&gt;""),POSTIM_NE_DITAR!D$162,"")</f>
        <v/>
      </c>
      <c r="E460" s="113" t="str">
        <f aca="false">IF(AND(MBYLLJA_6_7_AUTO!$B$8="PO",POSTIM_NE_DITAR!$D$162&lt;&gt;""),POSTIM_NE_DITAR!E$162,"")</f>
        <v/>
      </c>
      <c r="F460" s="114" t="str">
        <f aca="false">IF(AND(MBYLLJA_6_7_AUTO!$B$8="PO",POSTIM_NE_DITAR!$D$162&lt;&gt;""),POSTIM_NE_DITAR!F$162,"")</f>
        <v/>
      </c>
      <c r="G460" s="114" t="str">
        <f aca="false">IF(AND(MBYLLJA_6_7_AUTO!$B$8="PO",POSTIM_NE_DITAR!$D$162&lt;&gt;""),POSTIM_NE_DITAR!G$162,"")</f>
        <v/>
      </c>
      <c r="H460" s="112" t="str">
        <f aca="false">IF(AND(MBYLLJA_6_7_AUTO!$B$8="PO",POSTIM_NE_DITAR!$D$162&lt;&gt;""),POSTIM_NE_DITAR!H$162,"")</f>
        <v/>
      </c>
      <c r="I460" s="112" t="str">
        <f aca="false">IF(AND(MBYLLJA_6_7_AUTO!$B$8="PO",POSTIM_NE_DITAR!$D$162&lt;&gt;""),POSTIM_NE_DITAR!I$162,"")</f>
        <v/>
      </c>
      <c r="J460" s="113" t="str">
        <f aca="false">IF(TRIM($C460)="","",IF($M460&lt;&gt;"OK",$M460,IF(ABS(SUMIFS($F:$F,$C:$C,TRIM($C460))-SUMIFS($G:$G,$C:$C,TRIM($C460)))&lt;0.005,"OK","ERROR - veprimi nuk balancohet")))</f>
        <v/>
      </c>
      <c r="K460" s="115" t="str">
        <f aca="false">IF($D460="","",IFERROR(VLOOKUP($D460,PLANI_LLOGARIVE!$A:$J,10,FALSE()),FALSE()))</f>
        <v/>
      </c>
      <c r="L460" s="115" t="str">
        <f aca="false">IF($D460="","",IFERROR(VLOOKUP($D460,PLANI_LLOGARIVE!$A:$G,7,FALSE()),"NUK EKZISTON"))</f>
        <v/>
      </c>
      <c r="M460" s="115" t="str">
        <f aca="false">IF($D460="","",IF(COUNTIF(PLANI_LLOGARIVE!$A:$A,$D460)=0,"ERROR - llogaria nuk ekziston",IF($K460=TRUE(),"OK","ERROR - llogari jo-postuese/Header")))</f>
        <v/>
      </c>
      <c r="N460" s="115" t="str">
        <f aca="false">IF(TRIM($C460)="","",IF(ABS(SUMIFS($F:$F,$C:$C,TRIM($C460))-SUMIFS($G:$G,$C:$C,TRIM($C460)))&lt;0.005,"OK","ERROR - debi/kredi"))</f>
        <v/>
      </c>
      <c r="S460" s="116" t="str">
        <f aca="false">IF(D460="","",LEFT(D460&amp;"",2))</f>
        <v/>
      </c>
      <c r="T460" s="101" t="str">
        <f aca="false">IF(D460="","",LEFT(D460&amp;"",3))</f>
        <v/>
      </c>
    </row>
    <row r="461" customFormat="false" ht="14.25" hidden="false" customHeight="true" outlineLevel="0" collapsed="false">
      <c r="A461" s="111" t="str">
        <f aca="false">IF(AND(MBYLLJA_6_7_AUTO!$B$8="PO",POSTIM_NE_DITAR!$D$163&lt;&gt;""),POSTIM_NE_DITAR!A$163,"")</f>
        <v/>
      </c>
      <c r="B461" s="112" t="str">
        <f aca="false">IF(AND(MBYLLJA_6_7_AUTO!$B$8="PO",POSTIM_NE_DITAR!$D$163&lt;&gt;""),POSTIM_NE_DITAR!B$163,"")</f>
        <v/>
      </c>
      <c r="C461" s="112" t="str">
        <f aca="false">IF(AND(MBYLLJA_6_7_AUTO!$B$8="PO",POSTIM_NE_DITAR!$D$163&lt;&gt;""),POSTIM_NE_DITAR!C$163,"")</f>
        <v/>
      </c>
      <c r="D461" s="112" t="str">
        <f aca="false">IF(AND(MBYLLJA_6_7_AUTO!$B$8="PO",POSTIM_NE_DITAR!$D$163&lt;&gt;""),POSTIM_NE_DITAR!D$163,"")</f>
        <v/>
      </c>
      <c r="E461" s="113" t="str">
        <f aca="false">IF(AND(MBYLLJA_6_7_AUTO!$B$8="PO",POSTIM_NE_DITAR!$D$163&lt;&gt;""),POSTIM_NE_DITAR!E$163,"")</f>
        <v/>
      </c>
      <c r="F461" s="114" t="str">
        <f aca="false">IF(AND(MBYLLJA_6_7_AUTO!$B$8="PO",POSTIM_NE_DITAR!$D$163&lt;&gt;""),POSTIM_NE_DITAR!F$163,"")</f>
        <v/>
      </c>
      <c r="G461" s="114" t="str">
        <f aca="false">IF(AND(MBYLLJA_6_7_AUTO!$B$8="PO",POSTIM_NE_DITAR!$D$163&lt;&gt;""),POSTIM_NE_DITAR!G$163,"")</f>
        <v/>
      </c>
      <c r="H461" s="112" t="str">
        <f aca="false">IF(AND(MBYLLJA_6_7_AUTO!$B$8="PO",POSTIM_NE_DITAR!$D$163&lt;&gt;""),POSTIM_NE_DITAR!H$163,"")</f>
        <v/>
      </c>
      <c r="I461" s="112" t="str">
        <f aca="false">IF(AND(MBYLLJA_6_7_AUTO!$B$8="PO",POSTIM_NE_DITAR!$D$163&lt;&gt;""),POSTIM_NE_DITAR!I$163,"")</f>
        <v/>
      </c>
      <c r="J461" s="113" t="str">
        <f aca="false">IF(TRIM($C461)="","",IF($M461&lt;&gt;"OK",$M461,IF(ABS(SUMIFS($F:$F,$C:$C,TRIM($C461))-SUMIFS($G:$G,$C:$C,TRIM($C461)))&lt;0.005,"OK","ERROR - veprimi nuk balancohet")))</f>
        <v/>
      </c>
      <c r="K461" s="115" t="str">
        <f aca="false">IF($D461="","",IFERROR(VLOOKUP($D461,PLANI_LLOGARIVE!$A:$J,10,FALSE()),FALSE()))</f>
        <v/>
      </c>
      <c r="L461" s="115" t="str">
        <f aca="false">IF($D461="","",IFERROR(VLOOKUP($D461,PLANI_LLOGARIVE!$A:$G,7,FALSE()),"NUK EKZISTON"))</f>
        <v/>
      </c>
      <c r="M461" s="115" t="str">
        <f aca="false">IF($D461="","",IF(COUNTIF(PLANI_LLOGARIVE!$A:$A,$D461)=0,"ERROR - llogaria nuk ekziston",IF($K461=TRUE(),"OK","ERROR - llogari jo-postuese/Header")))</f>
        <v/>
      </c>
      <c r="N461" s="115" t="str">
        <f aca="false">IF(TRIM($C461)="","",IF(ABS(SUMIFS($F:$F,$C:$C,TRIM($C461))-SUMIFS($G:$G,$C:$C,TRIM($C461)))&lt;0.005,"OK","ERROR - debi/kredi"))</f>
        <v/>
      </c>
      <c r="S461" s="116" t="str">
        <f aca="false">IF(D461="","",LEFT(D461&amp;"",2))</f>
        <v/>
      </c>
      <c r="T461" s="101" t="str">
        <f aca="false">IF(D461="","",LEFT(D461&amp;"",3))</f>
        <v/>
      </c>
    </row>
    <row r="462" customFormat="false" ht="14.25" hidden="false" customHeight="true" outlineLevel="0" collapsed="false">
      <c r="A462" s="111" t="str">
        <f aca="false">IF(AND(MBYLLJA_6_7_AUTO!$B$8="PO",POSTIM_NE_DITAR!$D$164&lt;&gt;""),POSTIM_NE_DITAR!A$164,"")</f>
        <v/>
      </c>
      <c r="B462" s="112" t="str">
        <f aca="false">IF(AND(MBYLLJA_6_7_AUTO!$B$8="PO",POSTIM_NE_DITAR!$D$164&lt;&gt;""),POSTIM_NE_DITAR!B$164,"")</f>
        <v/>
      </c>
      <c r="C462" s="112" t="str">
        <f aca="false">IF(AND(MBYLLJA_6_7_AUTO!$B$8="PO",POSTIM_NE_DITAR!$D$164&lt;&gt;""),POSTIM_NE_DITAR!C$164,"")</f>
        <v/>
      </c>
      <c r="D462" s="112" t="str">
        <f aca="false">IF(AND(MBYLLJA_6_7_AUTO!$B$8="PO",POSTIM_NE_DITAR!$D$164&lt;&gt;""),POSTIM_NE_DITAR!D$164,"")</f>
        <v/>
      </c>
      <c r="E462" s="113" t="str">
        <f aca="false">IF(AND(MBYLLJA_6_7_AUTO!$B$8="PO",POSTIM_NE_DITAR!$D$164&lt;&gt;""),POSTIM_NE_DITAR!E$164,"")</f>
        <v/>
      </c>
      <c r="F462" s="114" t="str">
        <f aca="false">IF(AND(MBYLLJA_6_7_AUTO!$B$8="PO",POSTIM_NE_DITAR!$D$164&lt;&gt;""),POSTIM_NE_DITAR!F$164,"")</f>
        <v/>
      </c>
      <c r="G462" s="114" t="str">
        <f aca="false">IF(AND(MBYLLJA_6_7_AUTO!$B$8="PO",POSTIM_NE_DITAR!$D$164&lt;&gt;""),POSTIM_NE_DITAR!G$164,"")</f>
        <v/>
      </c>
      <c r="H462" s="112" t="str">
        <f aca="false">IF(AND(MBYLLJA_6_7_AUTO!$B$8="PO",POSTIM_NE_DITAR!$D$164&lt;&gt;""),POSTIM_NE_DITAR!H$164,"")</f>
        <v/>
      </c>
      <c r="I462" s="112" t="str">
        <f aca="false">IF(AND(MBYLLJA_6_7_AUTO!$B$8="PO",POSTIM_NE_DITAR!$D$164&lt;&gt;""),POSTIM_NE_DITAR!I$164,"")</f>
        <v/>
      </c>
      <c r="J462" s="113" t="str">
        <f aca="false">IF(TRIM($C462)="","",IF($M462&lt;&gt;"OK",$M462,IF(ABS(SUMIFS($F:$F,$C:$C,TRIM($C462))-SUMIFS($G:$G,$C:$C,TRIM($C462)))&lt;0.005,"OK","ERROR - veprimi nuk balancohet")))</f>
        <v/>
      </c>
      <c r="K462" s="115" t="str">
        <f aca="false">IF($D462="","",IFERROR(VLOOKUP($D462,PLANI_LLOGARIVE!$A:$J,10,FALSE()),FALSE()))</f>
        <v/>
      </c>
      <c r="L462" s="115" t="str">
        <f aca="false">IF($D462="","",IFERROR(VLOOKUP($D462,PLANI_LLOGARIVE!$A:$G,7,FALSE()),"NUK EKZISTON"))</f>
        <v/>
      </c>
      <c r="M462" s="115" t="str">
        <f aca="false">IF($D462="","",IF(COUNTIF(PLANI_LLOGARIVE!$A:$A,$D462)=0,"ERROR - llogaria nuk ekziston",IF($K462=TRUE(),"OK","ERROR - llogari jo-postuese/Header")))</f>
        <v/>
      </c>
      <c r="N462" s="115" t="str">
        <f aca="false">IF(TRIM($C462)="","",IF(ABS(SUMIFS($F:$F,$C:$C,TRIM($C462))-SUMIFS($G:$G,$C:$C,TRIM($C462)))&lt;0.005,"OK","ERROR - debi/kredi"))</f>
        <v/>
      </c>
      <c r="S462" s="116" t="str">
        <f aca="false">IF(D462="","",LEFT(D462&amp;"",2))</f>
        <v/>
      </c>
      <c r="T462" s="101" t="str">
        <f aca="false">IF(D462="","",LEFT(D462&amp;"",3))</f>
        <v/>
      </c>
    </row>
    <row r="463" customFormat="false" ht="14.25" hidden="false" customHeight="true" outlineLevel="0" collapsed="false">
      <c r="A463" s="111" t="str">
        <f aca="false">IF(AND(MBYLLJA_6_7_AUTO!$B$8="PO",POSTIM_NE_DITAR!$D$165&lt;&gt;""),POSTIM_NE_DITAR!A$165,"")</f>
        <v/>
      </c>
      <c r="B463" s="112" t="str">
        <f aca="false">IF(AND(MBYLLJA_6_7_AUTO!$B$8="PO",POSTIM_NE_DITAR!$D$165&lt;&gt;""),POSTIM_NE_DITAR!B$165,"")</f>
        <v/>
      </c>
      <c r="C463" s="112" t="str">
        <f aca="false">IF(AND(MBYLLJA_6_7_AUTO!$B$8="PO",POSTIM_NE_DITAR!$D$165&lt;&gt;""),POSTIM_NE_DITAR!C$165,"")</f>
        <v/>
      </c>
      <c r="D463" s="112" t="str">
        <f aca="false">IF(AND(MBYLLJA_6_7_AUTO!$B$8="PO",POSTIM_NE_DITAR!$D$165&lt;&gt;""),POSTIM_NE_DITAR!D$165,"")</f>
        <v/>
      </c>
      <c r="E463" s="113" t="str">
        <f aca="false">IF(AND(MBYLLJA_6_7_AUTO!$B$8="PO",POSTIM_NE_DITAR!$D$165&lt;&gt;""),POSTIM_NE_DITAR!E$165,"")</f>
        <v/>
      </c>
      <c r="F463" s="114" t="str">
        <f aca="false">IF(AND(MBYLLJA_6_7_AUTO!$B$8="PO",POSTIM_NE_DITAR!$D$165&lt;&gt;""),POSTIM_NE_DITAR!F$165,"")</f>
        <v/>
      </c>
      <c r="G463" s="114" t="str">
        <f aca="false">IF(AND(MBYLLJA_6_7_AUTO!$B$8="PO",POSTIM_NE_DITAR!$D$165&lt;&gt;""),POSTIM_NE_DITAR!G$165,"")</f>
        <v/>
      </c>
      <c r="H463" s="112" t="str">
        <f aca="false">IF(AND(MBYLLJA_6_7_AUTO!$B$8="PO",POSTIM_NE_DITAR!$D$165&lt;&gt;""),POSTIM_NE_DITAR!H$165,"")</f>
        <v/>
      </c>
      <c r="I463" s="112" t="str">
        <f aca="false">IF(AND(MBYLLJA_6_7_AUTO!$B$8="PO",POSTIM_NE_DITAR!$D$165&lt;&gt;""),POSTIM_NE_DITAR!I$165,"")</f>
        <v/>
      </c>
      <c r="J463" s="113" t="str">
        <f aca="false">IF(TRIM($C463)="","",IF($M463&lt;&gt;"OK",$M463,IF(ABS(SUMIFS($F:$F,$C:$C,TRIM($C463))-SUMIFS($G:$G,$C:$C,TRIM($C463)))&lt;0.005,"OK","ERROR - veprimi nuk balancohet")))</f>
        <v/>
      </c>
      <c r="K463" s="115" t="str">
        <f aca="false">IF($D463="","",IFERROR(VLOOKUP($D463,PLANI_LLOGARIVE!$A:$J,10,FALSE()),FALSE()))</f>
        <v/>
      </c>
      <c r="L463" s="115" t="str">
        <f aca="false">IF($D463="","",IFERROR(VLOOKUP($D463,PLANI_LLOGARIVE!$A:$G,7,FALSE()),"NUK EKZISTON"))</f>
        <v/>
      </c>
      <c r="M463" s="115" t="str">
        <f aca="false">IF($D463="","",IF(COUNTIF(PLANI_LLOGARIVE!$A:$A,$D463)=0,"ERROR - llogaria nuk ekziston",IF($K463=TRUE(),"OK","ERROR - llogari jo-postuese/Header")))</f>
        <v/>
      </c>
      <c r="N463" s="115" t="str">
        <f aca="false">IF(TRIM($C463)="","",IF(ABS(SUMIFS($F:$F,$C:$C,TRIM($C463))-SUMIFS($G:$G,$C:$C,TRIM($C463)))&lt;0.005,"OK","ERROR - debi/kredi"))</f>
        <v/>
      </c>
      <c r="S463" s="116" t="str">
        <f aca="false">IF(D463="","",LEFT(D463&amp;"",2))</f>
        <v/>
      </c>
      <c r="T463" s="101" t="str">
        <f aca="false">IF(D463="","",LEFT(D463&amp;"",3))</f>
        <v/>
      </c>
    </row>
    <row r="464" customFormat="false" ht="14.25" hidden="false" customHeight="true" outlineLevel="0" collapsed="false">
      <c r="A464" s="111" t="str">
        <f aca="false">IF(AND(MBYLLJA_6_7_AUTO!$B$8="PO",POSTIM_NE_DITAR!$D$166&lt;&gt;""),POSTIM_NE_DITAR!A$166,"")</f>
        <v/>
      </c>
      <c r="B464" s="112" t="str">
        <f aca="false">IF(AND(MBYLLJA_6_7_AUTO!$B$8="PO",POSTIM_NE_DITAR!$D$166&lt;&gt;""),POSTIM_NE_DITAR!B$166,"")</f>
        <v/>
      </c>
      <c r="C464" s="112" t="str">
        <f aca="false">IF(AND(MBYLLJA_6_7_AUTO!$B$8="PO",POSTIM_NE_DITAR!$D$166&lt;&gt;""),POSTIM_NE_DITAR!C$166,"")</f>
        <v/>
      </c>
      <c r="D464" s="112" t="str">
        <f aca="false">IF(AND(MBYLLJA_6_7_AUTO!$B$8="PO",POSTIM_NE_DITAR!$D$166&lt;&gt;""),POSTIM_NE_DITAR!D$166,"")</f>
        <v/>
      </c>
      <c r="E464" s="113" t="str">
        <f aca="false">IF(AND(MBYLLJA_6_7_AUTO!$B$8="PO",POSTIM_NE_DITAR!$D$166&lt;&gt;""),POSTIM_NE_DITAR!E$166,"")</f>
        <v/>
      </c>
      <c r="F464" s="114" t="str">
        <f aca="false">IF(AND(MBYLLJA_6_7_AUTO!$B$8="PO",POSTIM_NE_DITAR!$D$166&lt;&gt;""),POSTIM_NE_DITAR!F$166,"")</f>
        <v/>
      </c>
      <c r="G464" s="114" t="str">
        <f aca="false">IF(AND(MBYLLJA_6_7_AUTO!$B$8="PO",POSTIM_NE_DITAR!$D$166&lt;&gt;""),POSTIM_NE_DITAR!G$166,"")</f>
        <v/>
      </c>
      <c r="H464" s="112" t="str">
        <f aca="false">IF(AND(MBYLLJA_6_7_AUTO!$B$8="PO",POSTIM_NE_DITAR!$D$166&lt;&gt;""),POSTIM_NE_DITAR!H$166,"")</f>
        <v/>
      </c>
      <c r="I464" s="112" t="str">
        <f aca="false">IF(AND(MBYLLJA_6_7_AUTO!$B$8="PO",POSTIM_NE_DITAR!$D$166&lt;&gt;""),POSTIM_NE_DITAR!I$166,"")</f>
        <v/>
      </c>
      <c r="J464" s="113" t="str">
        <f aca="false">IF(TRIM($C464)="","",IF($M464&lt;&gt;"OK",$M464,IF(ABS(SUMIFS($F:$F,$C:$C,TRIM($C464))-SUMIFS($G:$G,$C:$C,TRIM($C464)))&lt;0.005,"OK","ERROR - veprimi nuk balancohet")))</f>
        <v/>
      </c>
      <c r="K464" s="115" t="str">
        <f aca="false">IF($D464="","",IFERROR(VLOOKUP($D464,PLANI_LLOGARIVE!$A:$J,10,FALSE()),FALSE()))</f>
        <v/>
      </c>
      <c r="L464" s="115" t="str">
        <f aca="false">IF($D464="","",IFERROR(VLOOKUP($D464,PLANI_LLOGARIVE!$A:$G,7,FALSE()),"NUK EKZISTON"))</f>
        <v/>
      </c>
      <c r="M464" s="115" t="str">
        <f aca="false">IF($D464="","",IF(COUNTIF(PLANI_LLOGARIVE!$A:$A,$D464)=0,"ERROR - llogaria nuk ekziston",IF($K464=TRUE(),"OK","ERROR - llogari jo-postuese/Header")))</f>
        <v/>
      </c>
      <c r="N464" s="115" t="str">
        <f aca="false">IF(TRIM($C464)="","",IF(ABS(SUMIFS($F:$F,$C:$C,TRIM($C464))-SUMIFS($G:$G,$C:$C,TRIM($C464)))&lt;0.005,"OK","ERROR - debi/kredi"))</f>
        <v/>
      </c>
      <c r="S464" s="116" t="str">
        <f aca="false">IF(D464="","",LEFT(D464&amp;"",2))</f>
        <v/>
      </c>
      <c r="T464" s="101" t="str">
        <f aca="false">IF(D464="","",LEFT(D464&amp;"",3))</f>
        <v/>
      </c>
    </row>
    <row r="465" customFormat="false" ht="14.25" hidden="false" customHeight="true" outlineLevel="0" collapsed="false">
      <c r="A465" s="111" t="str">
        <f aca="false">IF(AND(MBYLLJA_6_7_AUTO!$B$8="PO",POSTIM_NE_DITAR!$D$167&lt;&gt;""),POSTIM_NE_DITAR!A$167,"")</f>
        <v/>
      </c>
      <c r="B465" s="112" t="str">
        <f aca="false">IF(AND(MBYLLJA_6_7_AUTO!$B$8="PO",POSTIM_NE_DITAR!$D$167&lt;&gt;""),POSTIM_NE_DITAR!B$167,"")</f>
        <v/>
      </c>
      <c r="C465" s="112" t="str">
        <f aca="false">IF(AND(MBYLLJA_6_7_AUTO!$B$8="PO",POSTIM_NE_DITAR!$D$167&lt;&gt;""),POSTIM_NE_DITAR!C$167,"")</f>
        <v/>
      </c>
      <c r="D465" s="112" t="str">
        <f aca="false">IF(AND(MBYLLJA_6_7_AUTO!$B$8="PO",POSTIM_NE_DITAR!$D$167&lt;&gt;""),POSTIM_NE_DITAR!D$167,"")</f>
        <v/>
      </c>
      <c r="E465" s="113" t="str">
        <f aca="false">IF(AND(MBYLLJA_6_7_AUTO!$B$8="PO",POSTIM_NE_DITAR!$D$167&lt;&gt;""),POSTIM_NE_DITAR!E$167,"")</f>
        <v/>
      </c>
      <c r="F465" s="114" t="str">
        <f aca="false">IF(AND(MBYLLJA_6_7_AUTO!$B$8="PO",POSTIM_NE_DITAR!$D$167&lt;&gt;""),POSTIM_NE_DITAR!F$167,"")</f>
        <v/>
      </c>
      <c r="G465" s="114" t="str">
        <f aca="false">IF(AND(MBYLLJA_6_7_AUTO!$B$8="PO",POSTIM_NE_DITAR!$D$167&lt;&gt;""),POSTIM_NE_DITAR!G$167,"")</f>
        <v/>
      </c>
      <c r="H465" s="112" t="str">
        <f aca="false">IF(AND(MBYLLJA_6_7_AUTO!$B$8="PO",POSTIM_NE_DITAR!$D$167&lt;&gt;""),POSTIM_NE_DITAR!H$167,"")</f>
        <v/>
      </c>
      <c r="I465" s="112" t="str">
        <f aca="false">IF(AND(MBYLLJA_6_7_AUTO!$B$8="PO",POSTIM_NE_DITAR!$D$167&lt;&gt;""),POSTIM_NE_DITAR!I$167,"")</f>
        <v/>
      </c>
      <c r="J465" s="113" t="str">
        <f aca="false">IF(TRIM($C465)="","",IF($M465&lt;&gt;"OK",$M465,IF(ABS(SUMIFS($F:$F,$C:$C,TRIM($C465))-SUMIFS($G:$G,$C:$C,TRIM($C465)))&lt;0.005,"OK","ERROR - veprimi nuk balancohet")))</f>
        <v/>
      </c>
      <c r="K465" s="115" t="str">
        <f aca="false">IF($D465="","",IFERROR(VLOOKUP($D465,PLANI_LLOGARIVE!$A:$J,10,FALSE()),FALSE()))</f>
        <v/>
      </c>
      <c r="L465" s="115" t="str">
        <f aca="false">IF($D465="","",IFERROR(VLOOKUP($D465,PLANI_LLOGARIVE!$A:$G,7,FALSE()),"NUK EKZISTON"))</f>
        <v/>
      </c>
      <c r="M465" s="115" t="str">
        <f aca="false">IF($D465="","",IF(COUNTIF(PLANI_LLOGARIVE!$A:$A,$D465)=0,"ERROR - llogaria nuk ekziston",IF($K465=TRUE(),"OK","ERROR - llogari jo-postuese/Header")))</f>
        <v/>
      </c>
      <c r="N465" s="115" t="str">
        <f aca="false">IF(TRIM($C465)="","",IF(ABS(SUMIFS($F:$F,$C:$C,TRIM($C465))-SUMIFS($G:$G,$C:$C,TRIM($C465)))&lt;0.005,"OK","ERROR - debi/kredi"))</f>
        <v/>
      </c>
      <c r="S465" s="116" t="str">
        <f aca="false">IF(D465="","",LEFT(D465&amp;"",2))</f>
        <v/>
      </c>
      <c r="T465" s="101" t="str">
        <f aca="false">IF(D465="","",LEFT(D465&amp;"",3))</f>
        <v/>
      </c>
    </row>
    <row r="466" customFormat="false" ht="14.25" hidden="false" customHeight="true" outlineLevel="0" collapsed="false">
      <c r="A466" s="111" t="str">
        <f aca="false">IF(AND(MBYLLJA_6_7_AUTO!$B$8="PO",POSTIM_NE_DITAR!$D$168&lt;&gt;""),POSTIM_NE_DITAR!A$168,"")</f>
        <v/>
      </c>
      <c r="B466" s="112" t="str">
        <f aca="false">IF(AND(MBYLLJA_6_7_AUTO!$B$8="PO",POSTIM_NE_DITAR!$D$168&lt;&gt;""),POSTIM_NE_DITAR!B$168,"")</f>
        <v/>
      </c>
      <c r="C466" s="112" t="str">
        <f aca="false">IF(AND(MBYLLJA_6_7_AUTO!$B$8="PO",POSTIM_NE_DITAR!$D$168&lt;&gt;""),POSTIM_NE_DITAR!C$168,"")</f>
        <v/>
      </c>
      <c r="D466" s="112" t="str">
        <f aca="false">IF(AND(MBYLLJA_6_7_AUTO!$B$8="PO",POSTIM_NE_DITAR!$D$168&lt;&gt;""),POSTIM_NE_DITAR!D$168,"")</f>
        <v/>
      </c>
      <c r="E466" s="113" t="str">
        <f aca="false">IF(AND(MBYLLJA_6_7_AUTO!$B$8="PO",POSTIM_NE_DITAR!$D$168&lt;&gt;""),POSTIM_NE_DITAR!E$168,"")</f>
        <v/>
      </c>
      <c r="F466" s="114" t="str">
        <f aca="false">IF(AND(MBYLLJA_6_7_AUTO!$B$8="PO",POSTIM_NE_DITAR!$D$168&lt;&gt;""),POSTIM_NE_DITAR!F$168,"")</f>
        <v/>
      </c>
      <c r="G466" s="114" t="str">
        <f aca="false">IF(AND(MBYLLJA_6_7_AUTO!$B$8="PO",POSTIM_NE_DITAR!$D$168&lt;&gt;""),POSTIM_NE_DITAR!G$168,"")</f>
        <v/>
      </c>
      <c r="H466" s="112" t="str">
        <f aca="false">IF(AND(MBYLLJA_6_7_AUTO!$B$8="PO",POSTIM_NE_DITAR!$D$168&lt;&gt;""),POSTIM_NE_DITAR!H$168,"")</f>
        <v/>
      </c>
      <c r="I466" s="112" t="str">
        <f aca="false">IF(AND(MBYLLJA_6_7_AUTO!$B$8="PO",POSTIM_NE_DITAR!$D$168&lt;&gt;""),POSTIM_NE_DITAR!I$168,"")</f>
        <v/>
      </c>
      <c r="J466" s="113" t="str">
        <f aca="false">IF(TRIM($C466)="","",IF($M466&lt;&gt;"OK",$M466,IF(ABS(SUMIFS($F:$F,$C:$C,TRIM($C466))-SUMIFS($G:$G,$C:$C,TRIM($C466)))&lt;0.005,"OK","ERROR - veprimi nuk balancohet")))</f>
        <v/>
      </c>
      <c r="K466" s="115" t="str">
        <f aca="false">IF($D466="","",IFERROR(VLOOKUP($D466,PLANI_LLOGARIVE!$A:$J,10,FALSE()),FALSE()))</f>
        <v/>
      </c>
      <c r="L466" s="115" t="str">
        <f aca="false">IF($D466="","",IFERROR(VLOOKUP($D466,PLANI_LLOGARIVE!$A:$G,7,FALSE()),"NUK EKZISTON"))</f>
        <v/>
      </c>
      <c r="M466" s="115" t="str">
        <f aca="false">IF($D466="","",IF(COUNTIF(PLANI_LLOGARIVE!$A:$A,$D466)=0,"ERROR - llogaria nuk ekziston",IF($K466=TRUE(),"OK","ERROR - llogari jo-postuese/Header")))</f>
        <v/>
      </c>
      <c r="N466" s="115" t="str">
        <f aca="false">IF(TRIM($C466)="","",IF(ABS(SUMIFS($F:$F,$C:$C,TRIM($C466))-SUMIFS($G:$G,$C:$C,TRIM($C466)))&lt;0.005,"OK","ERROR - debi/kredi"))</f>
        <v/>
      </c>
      <c r="S466" s="116" t="str">
        <f aca="false">IF(D466="","",LEFT(D466&amp;"",2))</f>
        <v/>
      </c>
      <c r="T466" s="101" t="str">
        <f aca="false">IF(D466="","",LEFT(D466&amp;"",3))</f>
        <v/>
      </c>
    </row>
    <row r="467" customFormat="false" ht="14.25" hidden="false" customHeight="true" outlineLevel="0" collapsed="false">
      <c r="A467" s="111" t="str">
        <f aca="false">IF(AND(MBYLLJA_6_7_AUTO!$B$8="PO",POSTIM_NE_DITAR!$D$169&lt;&gt;""),POSTIM_NE_DITAR!A$169,"")</f>
        <v/>
      </c>
      <c r="B467" s="112" t="str">
        <f aca="false">IF(AND(MBYLLJA_6_7_AUTO!$B$8="PO",POSTIM_NE_DITAR!$D$169&lt;&gt;""),POSTIM_NE_DITAR!B$169,"")</f>
        <v/>
      </c>
      <c r="C467" s="112" t="str">
        <f aca="false">IF(AND(MBYLLJA_6_7_AUTO!$B$8="PO",POSTIM_NE_DITAR!$D$169&lt;&gt;""),POSTIM_NE_DITAR!C$169,"")</f>
        <v/>
      </c>
      <c r="D467" s="112" t="str">
        <f aca="false">IF(AND(MBYLLJA_6_7_AUTO!$B$8="PO",POSTIM_NE_DITAR!$D$169&lt;&gt;""),POSTIM_NE_DITAR!D$169,"")</f>
        <v/>
      </c>
      <c r="E467" s="113" t="str">
        <f aca="false">IF(AND(MBYLLJA_6_7_AUTO!$B$8="PO",POSTIM_NE_DITAR!$D$169&lt;&gt;""),POSTIM_NE_DITAR!E$169,"")</f>
        <v/>
      </c>
      <c r="F467" s="114" t="str">
        <f aca="false">IF(AND(MBYLLJA_6_7_AUTO!$B$8="PO",POSTIM_NE_DITAR!$D$169&lt;&gt;""),POSTIM_NE_DITAR!F$169,"")</f>
        <v/>
      </c>
      <c r="G467" s="114" t="str">
        <f aca="false">IF(AND(MBYLLJA_6_7_AUTO!$B$8="PO",POSTIM_NE_DITAR!$D$169&lt;&gt;""),POSTIM_NE_DITAR!G$169,"")</f>
        <v/>
      </c>
      <c r="H467" s="112" t="str">
        <f aca="false">IF(AND(MBYLLJA_6_7_AUTO!$B$8="PO",POSTIM_NE_DITAR!$D$169&lt;&gt;""),POSTIM_NE_DITAR!H$169,"")</f>
        <v/>
      </c>
      <c r="I467" s="112" t="str">
        <f aca="false">IF(AND(MBYLLJA_6_7_AUTO!$B$8="PO",POSTIM_NE_DITAR!$D$169&lt;&gt;""),POSTIM_NE_DITAR!I$169,"")</f>
        <v/>
      </c>
      <c r="J467" s="113" t="str">
        <f aca="false">IF(TRIM($C467)="","",IF($M467&lt;&gt;"OK",$M467,IF(ABS(SUMIFS($F:$F,$C:$C,TRIM($C467))-SUMIFS($G:$G,$C:$C,TRIM($C467)))&lt;0.005,"OK","ERROR - veprimi nuk balancohet")))</f>
        <v/>
      </c>
      <c r="K467" s="115" t="str">
        <f aca="false">IF($D467="","",IFERROR(VLOOKUP($D467,PLANI_LLOGARIVE!$A:$J,10,FALSE()),FALSE()))</f>
        <v/>
      </c>
      <c r="L467" s="115" t="str">
        <f aca="false">IF($D467="","",IFERROR(VLOOKUP($D467,PLANI_LLOGARIVE!$A:$G,7,FALSE()),"NUK EKZISTON"))</f>
        <v/>
      </c>
      <c r="M467" s="115" t="str">
        <f aca="false">IF($D467="","",IF(COUNTIF(PLANI_LLOGARIVE!$A:$A,$D467)=0,"ERROR - llogaria nuk ekziston",IF($K467=TRUE(),"OK","ERROR - llogari jo-postuese/Header")))</f>
        <v/>
      </c>
      <c r="N467" s="115" t="str">
        <f aca="false">IF(TRIM($C467)="","",IF(ABS(SUMIFS($F:$F,$C:$C,TRIM($C467))-SUMIFS($G:$G,$C:$C,TRIM($C467)))&lt;0.005,"OK","ERROR - debi/kredi"))</f>
        <v/>
      </c>
      <c r="S467" s="116" t="str">
        <f aca="false">IF(D467="","",LEFT(D467&amp;"",2))</f>
        <v/>
      </c>
      <c r="T467" s="101" t="str">
        <f aca="false">IF(D467="","",LEFT(D467&amp;"",3))</f>
        <v/>
      </c>
    </row>
    <row r="468" customFormat="false" ht="14.25" hidden="false" customHeight="true" outlineLevel="0" collapsed="false">
      <c r="A468" s="111" t="str">
        <f aca="false">IF(AND(MBYLLJA_6_7_AUTO!$B$8="PO",POSTIM_NE_DITAR!$D$170&lt;&gt;""),POSTIM_NE_DITAR!A$170,"")</f>
        <v/>
      </c>
      <c r="B468" s="112" t="str">
        <f aca="false">IF(AND(MBYLLJA_6_7_AUTO!$B$8="PO",POSTIM_NE_DITAR!$D$170&lt;&gt;""),POSTIM_NE_DITAR!B$170,"")</f>
        <v/>
      </c>
      <c r="C468" s="112" t="str">
        <f aca="false">IF(AND(MBYLLJA_6_7_AUTO!$B$8="PO",POSTIM_NE_DITAR!$D$170&lt;&gt;""),POSTIM_NE_DITAR!C$170,"")</f>
        <v/>
      </c>
      <c r="D468" s="112" t="str">
        <f aca="false">IF(AND(MBYLLJA_6_7_AUTO!$B$8="PO",POSTIM_NE_DITAR!$D$170&lt;&gt;""),POSTIM_NE_DITAR!D$170,"")</f>
        <v/>
      </c>
      <c r="E468" s="113" t="str">
        <f aca="false">IF(AND(MBYLLJA_6_7_AUTO!$B$8="PO",POSTIM_NE_DITAR!$D$170&lt;&gt;""),POSTIM_NE_DITAR!E$170,"")</f>
        <v/>
      </c>
      <c r="F468" s="114" t="str">
        <f aca="false">IF(AND(MBYLLJA_6_7_AUTO!$B$8="PO",POSTIM_NE_DITAR!$D$170&lt;&gt;""),POSTIM_NE_DITAR!F$170,"")</f>
        <v/>
      </c>
      <c r="G468" s="114" t="str">
        <f aca="false">IF(AND(MBYLLJA_6_7_AUTO!$B$8="PO",POSTIM_NE_DITAR!$D$170&lt;&gt;""),POSTIM_NE_DITAR!G$170,"")</f>
        <v/>
      </c>
      <c r="H468" s="112" t="str">
        <f aca="false">IF(AND(MBYLLJA_6_7_AUTO!$B$8="PO",POSTIM_NE_DITAR!$D$170&lt;&gt;""),POSTIM_NE_DITAR!H$170,"")</f>
        <v/>
      </c>
      <c r="I468" s="112" t="str">
        <f aca="false">IF(AND(MBYLLJA_6_7_AUTO!$B$8="PO",POSTIM_NE_DITAR!$D$170&lt;&gt;""),POSTIM_NE_DITAR!I$170,"")</f>
        <v/>
      </c>
      <c r="J468" s="113" t="str">
        <f aca="false">IF(TRIM($C468)="","",IF($M468&lt;&gt;"OK",$M468,IF(ABS(SUMIFS($F:$F,$C:$C,TRIM($C468))-SUMIFS($G:$G,$C:$C,TRIM($C468)))&lt;0.005,"OK","ERROR - veprimi nuk balancohet")))</f>
        <v/>
      </c>
      <c r="K468" s="115" t="str">
        <f aca="false">IF($D468="","",IFERROR(VLOOKUP($D468,PLANI_LLOGARIVE!$A:$J,10,FALSE()),FALSE()))</f>
        <v/>
      </c>
      <c r="L468" s="115" t="str">
        <f aca="false">IF($D468="","",IFERROR(VLOOKUP($D468,PLANI_LLOGARIVE!$A:$G,7,FALSE()),"NUK EKZISTON"))</f>
        <v/>
      </c>
      <c r="M468" s="115" t="str">
        <f aca="false">IF($D468="","",IF(COUNTIF(PLANI_LLOGARIVE!$A:$A,$D468)=0,"ERROR - llogaria nuk ekziston",IF($K468=TRUE(),"OK","ERROR - llogari jo-postuese/Header")))</f>
        <v/>
      </c>
      <c r="N468" s="115" t="str">
        <f aca="false">IF(TRIM($C468)="","",IF(ABS(SUMIFS($F:$F,$C:$C,TRIM($C468))-SUMIFS($G:$G,$C:$C,TRIM($C468)))&lt;0.005,"OK","ERROR - debi/kredi"))</f>
        <v/>
      </c>
      <c r="S468" s="116" t="str">
        <f aca="false">IF(D468="","",LEFT(D468&amp;"",2))</f>
        <v/>
      </c>
      <c r="T468" s="101" t="str">
        <f aca="false">IF(D468="","",LEFT(D468&amp;"",3))</f>
        <v/>
      </c>
    </row>
    <row r="469" customFormat="false" ht="14.25" hidden="false" customHeight="true" outlineLevel="0" collapsed="false">
      <c r="A469" s="111" t="str">
        <f aca="false">IF(AND(MBYLLJA_6_7_AUTO!$B$8="PO",POSTIM_NE_DITAR!$D$171&lt;&gt;""),POSTIM_NE_DITAR!A$171,"")</f>
        <v/>
      </c>
      <c r="B469" s="112" t="str">
        <f aca="false">IF(AND(MBYLLJA_6_7_AUTO!$B$8="PO",POSTIM_NE_DITAR!$D$171&lt;&gt;""),POSTIM_NE_DITAR!B$171,"")</f>
        <v/>
      </c>
      <c r="C469" s="112" t="str">
        <f aca="false">IF(AND(MBYLLJA_6_7_AUTO!$B$8="PO",POSTIM_NE_DITAR!$D$171&lt;&gt;""),POSTIM_NE_DITAR!C$171,"")</f>
        <v/>
      </c>
      <c r="D469" s="112" t="str">
        <f aca="false">IF(AND(MBYLLJA_6_7_AUTO!$B$8="PO",POSTIM_NE_DITAR!$D$171&lt;&gt;""),POSTIM_NE_DITAR!D$171,"")</f>
        <v/>
      </c>
      <c r="E469" s="113" t="str">
        <f aca="false">IF(AND(MBYLLJA_6_7_AUTO!$B$8="PO",POSTIM_NE_DITAR!$D$171&lt;&gt;""),POSTIM_NE_DITAR!E$171,"")</f>
        <v/>
      </c>
      <c r="F469" s="114" t="str">
        <f aca="false">IF(AND(MBYLLJA_6_7_AUTO!$B$8="PO",POSTIM_NE_DITAR!$D$171&lt;&gt;""),POSTIM_NE_DITAR!F$171,"")</f>
        <v/>
      </c>
      <c r="G469" s="114" t="str">
        <f aca="false">IF(AND(MBYLLJA_6_7_AUTO!$B$8="PO",POSTIM_NE_DITAR!$D$171&lt;&gt;""),POSTIM_NE_DITAR!G$171,"")</f>
        <v/>
      </c>
      <c r="H469" s="112" t="str">
        <f aca="false">IF(AND(MBYLLJA_6_7_AUTO!$B$8="PO",POSTIM_NE_DITAR!$D$171&lt;&gt;""),POSTIM_NE_DITAR!H$171,"")</f>
        <v/>
      </c>
      <c r="I469" s="112" t="str">
        <f aca="false">IF(AND(MBYLLJA_6_7_AUTO!$B$8="PO",POSTIM_NE_DITAR!$D$171&lt;&gt;""),POSTIM_NE_DITAR!I$171,"")</f>
        <v/>
      </c>
      <c r="J469" s="113" t="str">
        <f aca="false">IF(TRIM($C469)="","",IF($M469&lt;&gt;"OK",$M469,IF(ABS(SUMIFS($F:$F,$C:$C,TRIM($C469))-SUMIFS($G:$G,$C:$C,TRIM($C469)))&lt;0.005,"OK","ERROR - veprimi nuk balancohet")))</f>
        <v/>
      </c>
      <c r="K469" s="115" t="str">
        <f aca="false">IF($D469="","",IFERROR(VLOOKUP($D469,PLANI_LLOGARIVE!$A:$J,10,FALSE()),FALSE()))</f>
        <v/>
      </c>
      <c r="L469" s="115" t="str">
        <f aca="false">IF($D469="","",IFERROR(VLOOKUP($D469,PLANI_LLOGARIVE!$A:$G,7,FALSE()),"NUK EKZISTON"))</f>
        <v/>
      </c>
      <c r="M469" s="115" t="str">
        <f aca="false">IF($D469="","",IF(COUNTIF(PLANI_LLOGARIVE!$A:$A,$D469)=0,"ERROR - llogaria nuk ekziston",IF($K469=TRUE(),"OK","ERROR - llogari jo-postuese/Header")))</f>
        <v/>
      </c>
      <c r="N469" s="115" t="str">
        <f aca="false">IF(TRIM($C469)="","",IF(ABS(SUMIFS($F:$F,$C:$C,TRIM($C469))-SUMIFS($G:$G,$C:$C,TRIM($C469)))&lt;0.005,"OK","ERROR - debi/kredi"))</f>
        <v/>
      </c>
      <c r="S469" s="116" t="str">
        <f aca="false">IF(D469="","",LEFT(D469&amp;"",2))</f>
        <v/>
      </c>
      <c r="T469" s="101" t="str">
        <f aca="false">IF(D469="","",LEFT(D469&amp;"",3))</f>
        <v/>
      </c>
    </row>
    <row r="470" customFormat="false" ht="14.25" hidden="false" customHeight="true" outlineLevel="0" collapsed="false">
      <c r="A470" s="111" t="str">
        <f aca="false">IF(AND(MBYLLJA_6_7_AUTO!$B$8="PO",POSTIM_NE_DITAR!$D$172&lt;&gt;""),POSTIM_NE_DITAR!A$172,"")</f>
        <v/>
      </c>
      <c r="B470" s="112" t="str">
        <f aca="false">IF(AND(MBYLLJA_6_7_AUTO!$B$8="PO",POSTIM_NE_DITAR!$D$172&lt;&gt;""),POSTIM_NE_DITAR!B$172,"")</f>
        <v/>
      </c>
      <c r="C470" s="112" t="str">
        <f aca="false">IF(AND(MBYLLJA_6_7_AUTO!$B$8="PO",POSTIM_NE_DITAR!$D$172&lt;&gt;""),POSTIM_NE_DITAR!C$172,"")</f>
        <v/>
      </c>
      <c r="D470" s="112" t="str">
        <f aca="false">IF(AND(MBYLLJA_6_7_AUTO!$B$8="PO",POSTIM_NE_DITAR!$D$172&lt;&gt;""),POSTIM_NE_DITAR!D$172,"")</f>
        <v/>
      </c>
      <c r="E470" s="113" t="str">
        <f aca="false">IF(AND(MBYLLJA_6_7_AUTO!$B$8="PO",POSTIM_NE_DITAR!$D$172&lt;&gt;""),POSTIM_NE_DITAR!E$172,"")</f>
        <v/>
      </c>
      <c r="F470" s="114" t="str">
        <f aca="false">IF(AND(MBYLLJA_6_7_AUTO!$B$8="PO",POSTIM_NE_DITAR!$D$172&lt;&gt;""),POSTIM_NE_DITAR!F$172,"")</f>
        <v/>
      </c>
      <c r="G470" s="114" t="str">
        <f aca="false">IF(AND(MBYLLJA_6_7_AUTO!$B$8="PO",POSTIM_NE_DITAR!$D$172&lt;&gt;""),POSTIM_NE_DITAR!G$172,"")</f>
        <v/>
      </c>
      <c r="H470" s="112" t="str">
        <f aca="false">IF(AND(MBYLLJA_6_7_AUTO!$B$8="PO",POSTIM_NE_DITAR!$D$172&lt;&gt;""),POSTIM_NE_DITAR!H$172,"")</f>
        <v/>
      </c>
      <c r="I470" s="112" t="str">
        <f aca="false">IF(AND(MBYLLJA_6_7_AUTO!$B$8="PO",POSTIM_NE_DITAR!$D$172&lt;&gt;""),POSTIM_NE_DITAR!I$172,"")</f>
        <v/>
      </c>
      <c r="J470" s="113" t="str">
        <f aca="false">IF(TRIM($C470)="","",IF($M470&lt;&gt;"OK",$M470,IF(ABS(SUMIFS($F:$F,$C:$C,TRIM($C470))-SUMIFS($G:$G,$C:$C,TRIM($C470)))&lt;0.005,"OK","ERROR - veprimi nuk balancohet")))</f>
        <v/>
      </c>
      <c r="K470" s="115" t="str">
        <f aca="false">IF($D470="","",IFERROR(VLOOKUP($D470,PLANI_LLOGARIVE!$A:$J,10,FALSE()),FALSE()))</f>
        <v/>
      </c>
      <c r="L470" s="115" t="str">
        <f aca="false">IF($D470="","",IFERROR(VLOOKUP($D470,PLANI_LLOGARIVE!$A:$G,7,FALSE()),"NUK EKZISTON"))</f>
        <v/>
      </c>
      <c r="M470" s="115" t="str">
        <f aca="false">IF($D470="","",IF(COUNTIF(PLANI_LLOGARIVE!$A:$A,$D470)=0,"ERROR - llogaria nuk ekziston",IF($K470=TRUE(),"OK","ERROR - llogari jo-postuese/Header")))</f>
        <v/>
      </c>
      <c r="N470" s="115" t="str">
        <f aca="false">IF(TRIM($C470)="","",IF(ABS(SUMIFS($F:$F,$C:$C,TRIM($C470))-SUMIFS($G:$G,$C:$C,TRIM($C470)))&lt;0.005,"OK","ERROR - debi/kredi"))</f>
        <v/>
      </c>
      <c r="S470" s="116" t="str">
        <f aca="false">IF(D470="","",LEFT(D470&amp;"",2))</f>
        <v/>
      </c>
      <c r="T470" s="101" t="str">
        <f aca="false">IF(D470="","",LEFT(D470&amp;"",3))</f>
        <v/>
      </c>
    </row>
    <row r="471" customFormat="false" ht="14.25" hidden="false" customHeight="true" outlineLevel="0" collapsed="false">
      <c r="A471" s="111" t="str">
        <f aca="false">IF(AND(MBYLLJA_6_7_AUTO!$B$8="PO",POSTIM_NE_DITAR!$D$173&lt;&gt;""),POSTIM_NE_DITAR!A$173,"")</f>
        <v/>
      </c>
      <c r="B471" s="112" t="str">
        <f aca="false">IF(AND(MBYLLJA_6_7_AUTO!$B$8="PO",POSTIM_NE_DITAR!$D$173&lt;&gt;""),POSTIM_NE_DITAR!B$173,"")</f>
        <v/>
      </c>
      <c r="C471" s="112" t="str">
        <f aca="false">IF(AND(MBYLLJA_6_7_AUTO!$B$8="PO",POSTIM_NE_DITAR!$D$173&lt;&gt;""),POSTIM_NE_DITAR!C$173,"")</f>
        <v/>
      </c>
      <c r="D471" s="112" t="str">
        <f aca="false">IF(AND(MBYLLJA_6_7_AUTO!$B$8="PO",POSTIM_NE_DITAR!$D$173&lt;&gt;""),POSTIM_NE_DITAR!D$173,"")</f>
        <v/>
      </c>
      <c r="E471" s="113" t="str">
        <f aca="false">IF(AND(MBYLLJA_6_7_AUTO!$B$8="PO",POSTIM_NE_DITAR!$D$173&lt;&gt;""),POSTIM_NE_DITAR!E$173,"")</f>
        <v/>
      </c>
      <c r="F471" s="114" t="str">
        <f aca="false">IF(AND(MBYLLJA_6_7_AUTO!$B$8="PO",POSTIM_NE_DITAR!$D$173&lt;&gt;""),POSTIM_NE_DITAR!F$173,"")</f>
        <v/>
      </c>
      <c r="G471" s="114" t="str">
        <f aca="false">IF(AND(MBYLLJA_6_7_AUTO!$B$8="PO",POSTIM_NE_DITAR!$D$173&lt;&gt;""),POSTIM_NE_DITAR!G$173,"")</f>
        <v/>
      </c>
      <c r="H471" s="112" t="str">
        <f aca="false">IF(AND(MBYLLJA_6_7_AUTO!$B$8="PO",POSTIM_NE_DITAR!$D$173&lt;&gt;""),POSTIM_NE_DITAR!H$173,"")</f>
        <v/>
      </c>
      <c r="I471" s="112" t="str">
        <f aca="false">IF(AND(MBYLLJA_6_7_AUTO!$B$8="PO",POSTIM_NE_DITAR!$D$173&lt;&gt;""),POSTIM_NE_DITAR!I$173,"")</f>
        <v/>
      </c>
      <c r="J471" s="113" t="str">
        <f aca="false">IF(TRIM($C471)="","",IF($M471&lt;&gt;"OK",$M471,IF(ABS(SUMIFS($F:$F,$C:$C,TRIM($C471))-SUMIFS($G:$G,$C:$C,TRIM($C471)))&lt;0.005,"OK","ERROR - veprimi nuk balancohet")))</f>
        <v/>
      </c>
      <c r="K471" s="115" t="str">
        <f aca="false">IF($D471="","",IFERROR(VLOOKUP($D471,PLANI_LLOGARIVE!$A:$J,10,FALSE()),FALSE()))</f>
        <v/>
      </c>
      <c r="L471" s="115" t="str">
        <f aca="false">IF($D471="","",IFERROR(VLOOKUP($D471,PLANI_LLOGARIVE!$A:$G,7,FALSE()),"NUK EKZISTON"))</f>
        <v/>
      </c>
      <c r="M471" s="115" t="str">
        <f aca="false">IF($D471="","",IF(COUNTIF(PLANI_LLOGARIVE!$A:$A,$D471)=0,"ERROR - llogaria nuk ekziston",IF($K471=TRUE(),"OK","ERROR - llogari jo-postuese/Header")))</f>
        <v/>
      </c>
      <c r="N471" s="115" t="str">
        <f aca="false">IF(TRIM($C471)="","",IF(ABS(SUMIFS($F:$F,$C:$C,TRIM($C471))-SUMIFS($G:$G,$C:$C,TRIM($C471)))&lt;0.005,"OK","ERROR - debi/kredi"))</f>
        <v/>
      </c>
      <c r="S471" s="116" t="str">
        <f aca="false">IF(D471="","",LEFT(D471&amp;"",2))</f>
        <v/>
      </c>
      <c r="T471" s="101" t="str">
        <f aca="false">IF(D471="","",LEFT(D471&amp;"",3))</f>
        <v/>
      </c>
    </row>
    <row r="472" customFormat="false" ht="14.25" hidden="false" customHeight="true" outlineLevel="0" collapsed="false">
      <c r="A472" s="111" t="str">
        <f aca="false">IF(AND(MBYLLJA_6_7_AUTO!$B$8="PO",POSTIM_NE_DITAR!$D$174&lt;&gt;""),POSTIM_NE_DITAR!A$174,"")</f>
        <v/>
      </c>
      <c r="B472" s="112" t="str">
        <f aca="false">IF(AND(MBYLLJA_6_7_AUTO!$B$8="PO",POSTIM_NE_DITAR!$D$174&lt;&gt;""),POSTIM_NE_DITAR!B$174,"")</f>
        <v/>
      </c>
      <c r="C472" s="112" t="str">
        <f aca="false">IF(AND(MBYLLJA_6_7_AUTO!$B$8="PO",POSTIM_NE_DITAR!$D$174&lt;&gt;""),POSTIM_NE_DITAR!C$174,"")</f>
        <v/>
      </c>
      <c r="D472" s="112" t="str">
        <f aca="false">IF(AND(MBYLLJA_6_7_AUTO!$B$8="PO",POSTIM_NE_DITAR!$D$174&lt;&gt;""),POSTIM_NE_DITAR!D$174,"")</f>
        <v/>
      </c>
      <c r="E472" s="113" t="str">
        <f aca="false">IF(AND(MBYLLJA_6_7_AUTO!$B$8="PO",POSTIM_NE_DITAR!$D$174&lt;&gt;""),POSTIM_NE_DITAR!E$174,"")</f>
        <v/>
      </c>
      <c r="F472" s="114" t="str">
        <f aca="false">IF(AND(MBYLLJA_6_7_AUTO!$B$8="PO",POSTIM_NE_DITAR!$D$174&lt;&gt;""),POSTIM_NE_DITAR!F$174,"")</f>
        <v/>
      </c>
      <c r="G472" s="114" t="str">
        <f aca="false">IF(AND(MBYLLJA_6_7_AUTO!$B$8="PO",POSTIM_NE_DITAR!$D$174&lt;&gt;""),POSTIM_NE_DITAR!G$174,"")</f>
        <v/>
      </c>
      <c r="H472" s="112" t="str">
        <f aca="false">IF(AND(MBYLLJA_6_7_AUTO!$B$8="PO",POSTIM_NE_DITAR!$D$174&lt;&gt;""),POSTIM_NE_DITAR!H$174,"")</f>
        <v/>
      </c>
      <c r="I472" s="112" t="str">
        <f aca="false">IF(AND(MBYLLJA_6_7_AUTO!$B$8="PO",POSTIM_NE_DITAR!$D$174&lt;&gt;""),POSTIM_NE_DITAR!I$174,"")</f>
        <v/>
      </c>
      <c r="J472" s="113" t="str">
        <f aca="false">IF(TRIM($C472)="","",IF($M472&lt;&gt;"OK",$M472,IF(ABS(SUMIFS($F:$F,$C:$C,TRIM($C472))-SUMIFS($G:$G,$C:$C,TRIM($C472)))&lt;0.005,"OK","ERROR - veprimi nuk balancohet")))</f>
        <v/>
      </c>
      <c r="K472" s="115" t="str">
        <f aca="false">IF($D472="","",IFERROR(VLOOKUP($D472,PLANI_LLOGARIVE!$A:$J,10,FALSE()),FALSE()))</f>
        <v/>
      </c>
      <c r="L472" s="115" t="str">
        <f aca="false">IF($D472="","",IFERROR(VLOOKUP($D472,PLANI_LLOGARIVE!$A:$G,7,FALSE()),"NUK EKZISTON"))</f>
        <v/>
      </c>
      <c r="M472" s="115" t="str">
        <f aca="false">IF($D472="","",IF(COUNTIF(PLANI_LLOGARIVE!$A:$A,$D472)=0,"ERROR - llogaria nuk ekziston",IF($K472=TRUE(),"OK","ERROR - llogari jo-postuese/Header")))</f>
        <v/>
      </c>
      <c r="N472" s="115" t="str">
        <f aca="false">IF(TRIM($C472)="","",IF(ABS(SUMIFS($F:$F,$C:$C,TRIM($C472))-SUMIFS($G:$G,$C:$C,TRIM($C472)))&lt;0.005,"OK","ERROR - debi/kredi"))</f>
        <v/>
      </c>
      <c r="S472" s="116" t="str">
        <f aca="false">IF(D472="","",LEFT(D472&amp;"",2))</f>
        <v/>
      </c>
      <c r="T472" s="101" t="str">
        <f aca="false">IF(D472="","",LEFT(D472&amp;"",3))</f>
        <v/>
      </c>
    </row>
    <row r="473" customFormat="false" ht="14.25" hidden="false" customHeight="true" outlineLevel="0" collapsed="false">
      <c r="A473" s="111" t="str">
        <f aca="false">IF(AND(MBYLLJA_6_7_AUTO!$B$8="PO",POSTIM_NE_DITAR!$D$175&lt;&gt;""),POSTIM_NE_DITAR!A$175,"")</f>
        <v/>
      </c>
      <c r="B473" s="112" t="str">
        <f aca="false">IF(AND(MBYLLJA_6_7_AUTO!$B$8="PO",POSTIM_NE_DITAR!$D$175&lt;&gt;""),POSTIM_NE_DITAR!B$175,"")</f>
        <v/>
      </c>
      <c r="C473" s="112" t="str">
        <f aca="false">IF(AND(MBYLLJA_6_7_AUTO!$B$8="PO",POSTIM_NE_DITAR!$D$175&lt;&gt;""),POSTIM_NE_DITAR!C$175,"")</f>
        <v/>
      </c>
      <c r="D473" s="112" t="str">
        <f aca="false">IF(AND(MBYLLJA_6_7_AUTO!$B$8="PO",POSTIM_NE_DITAR!$D$175&lt;&gt;""),POSTIM_NE_DITAR!D$175,"")</f>
        <v/>
      </c>
      <c r="E473" s="113" t="str">
        <f aca="false">IF(AND(MBYLLJA_6_7_AUTO!$B$8="PO",POSTIM_NE_DITAR!$D$175&lt;&gt;""),POSTIM_NE_DITAR!E$175,"")</f>
        <v/>
      </c>
      <c r="F473" s="114" t="str">
        <f aca="false">IF(AND(MBYLLJA_6_7_AUTO!$B$8="PO",POSTIM_NE_DITAR!$D$175&lt;&gt;""),POSTIM_NE_DITAR!F$175,"")</f>
        <v/>
      </c>
      <c r="G473" s="114" t="str">
        <f aca="false">IF(AND(MBYLLJA_6_7_AUTO!$B$8="PO",POSTIM_NE_DITAR!$D$175&lt;&gt;""),POSTIM_NE_DITAR!G$175,"")</f>
        <v/>
      </c>
      <c r="H473" s="112" t="str">
        <f aca="false">IF(AND(MBYLLJA_6_7_AUTO!$B$8="PO",POSTIM_NE_DITAR!$D$175&lt;&gt;""),POSTIM_NE_DITAR!H$175,"")</f>
        <v/>
      </c>
      <c r="I473" s="112" t="str">
        <f aca="false">IF(AND(MBYLLJA_6_7_AUTO!$B$8="PO",POSTIM_NE_DITAR!$D$175&lt;&gt;""),POSTIM_NE_DITAR!I$175,"")</f>
        <v/>
      </c>
      <c r="J473" s="113" t="str">
        <f aca="false">IF(TRIM($C473)="","",IF($M473&lt;&gt;"OK",$M473,IF(ABS(SUMIFS($F:$F,$C:$C,TRIM($C473))-SUMIFS($G:$G,$C:$C,TRIM($C473)))&lt;0.005,"OK","ERROR - veprimi nuk balancohet")))</f>
        <v/>
      </c>
      <c r="K473" s="115" t="str">
        <f aca="false">IF($D473="","",IFERROR(VLOOKUP($D473,PLANI_LLOGARIVE!$A:$J,10,FALSE()),FALSE()))</f>
        <v/>
      </c>
      <c r="L473" s="115" t="str">
        <f aca="false">IF($D473="","",IFERROR(VLOOKUP($D473,PLANI_LLOGARIVE!$A:$G,7,FALSE()),"NUK EKZISTON"))</f>
        <v/>
      </c>
      <c r="M473" s="115" t="str">
        <f aca="false">IF($D473="","",IF(COUNTIF(PLANI_LLOGARIVE!$A:$A,$D473)=0,"ERROR - llogaria nuk ekziston",IF($K473=TRUE(),"OK","ERROR - llogari jo-postuese/Header")))</f>
        <v/>
      </c>
      <c r="N473" s="115" t="str">
        <f aca="false">IF(TRIM($C473)="","",IF(ABS(SUMIFS($F:$F,$C:$C,TRIM($C473))-SUMIFS($G:$G,$C:$C,TRIM($C473)))&lt;0.005,"OK","ERROR - debi/kredi"))</f>
        <v/>
      </c>
      <c r="S473" s="116" t="str">
        <f aca="false">IF(D473="","",LEFT(D473&amp;"",2))</f>
        <v/>
      </c>
      <c r="T473" s="101" t="str">
        <f aca="false">IF(D473="","",LEFT(D473&amp;"",3))</f>
        <v/>
      </c>
    </row>
    <row r="474" customFormat="false" ht="14.25" hidden="false" customHeight="true" outlineLevel="0" collapsed="false">
      <c r="A474" s="111" t="str">
        <f aca="false">IF(AND(MBYLLJA_6_7_AUTO!$B$8="PO",POSTIM_NE_DITAR!$D$176&lt;&gt;""),POSTIM_NE_DITAR!A$176,"")</f>
        <v/>
      </c>
      <c r="B474" s="112" t="str">
        <f aca="false">IF(AND(MBYLLJA_6_7_AUTO!$B$8="PO",POSTIM_NE_DITAR!$D$176&lt;&gt;""),POSTIM_NE_DITAR!B$176,"")</f>
        <v/>
      </c>
      <c r="C474" s="112" t="str">
        <f aca="false">IF(AND(MBYLLJA_6_7_AUTO!$B$8="PO",POSTIM_NE_DITAR!$D$176&lt;&gt;""),POSTIM_NE_DITAR!C$176,"")</f>
        <v/>
      </c>
      <c r="D474" s="112" t="str">
        <f aca="false">IF(AND(MBYLLJA_6_7_AUTO!$B$8="PO",POSTIM_NE_DITAR!$D$176&lt;&gt;""),POSTIM_NE_DITAR!D$176,"")</f>
        <v/>
      </c>
      <c r="E474" s="113" t="str">
        <f aca="false">IF(AND(MBYLLJA_6_7_AUTO!$B$8="PO",POSTIM_NE_DITAR!$D$176&lt;&gt;""),POSTIM_NE_DITAR!E$176,"")</f>
        <v/>
      </c>
      <c r="F474" s="114" t="str">
        <f aca="false">IF(AND(MBYLLJA_6_7_AUTO!$B$8="PO",POSTIM_NE_DITAR!$D$176&lt;&gt;""),POSTIM_NE_DITAR!F$176,"")</f>
        <v/>
      </c>
      <c r="G474" s="114" t="str">
        <f aca="false">IF(AND(MBYLLJA_6_7_AUTO!$B$8="PO",POSTIM_NE_DITAR!$D$176&lt;&gt;""),POSTIM_NE_DITAR!G$176,"")</f>
        <v/>
      </c>
      <c r="H474" s="112" t="str">
        <f aca="false">IF(AND(MBYLLJA_6_7_AUTO!$B$8="PO",POSTIM_NE_DITAR!$D$176&lt;&gt;""),POSTIM_NE_DITAR!H$176,"")</f>
        <v/>
      </c>
      <c r="I474" s="112" t="str">
        <f aca="false">IF(AND(MBYLLJA_6_7_AUTO!$B$8="PO",POSTIM_NE_DITAR!$D$176&lt;&gt;""),POSTIM_NE_DITAR!I$176,"")</f>
        <v/>
      </c>
      <c r="J474" s="113" t="str">
        <f aca="false">IF(TRIM($C474)="","",IF($M474&lt;&gt;"OK",$M474,IF(ABS(SUMIFS($F:$F,$C:$C,TRIM($C474))-SUMIFS($G:$G,$C:$C,TRIM($C474)))&lt;0.005,"OK","ERROR - veprimi nuk balancohet")))</f>
        <v/>
      </c>
      <c r="K474" s="115" t="str">
        <f aca="false">IF($D474="","",IFERROR(VLOOKUP($D474,PLANI_LLOGARIVE!$A:$J,10,FALSE()),FALSE()))</f>
        <v/>
      </c>
      <c r="L474" s="115" t="str">
        <f aca="false">IF($D474="","",IFERROR(VLOOKUP($D474,PLANI_LLOGARIVE!$A:$G,7,FALSE()),"NUK EKZISTON"))</f>
        <v/>
      </c>
      <c r="M474" s="115" t="str">
        <f aca="false">IF($D474="","",IF(COUNTIF(PLANI_LLOGARIVE!$A:$A,$D474)=0,"ERROR - llogaria nuk ekziston",IF($K474=TRUE(),"OK","ERROR - llogari jo-postuese/Header")))</f>
        <v/>
      </c>
      <c r="N474" s="115" t="str">
        <f aca="false">IF(TRIM($C474)="","",IF(ABS(SUMIFS($F:$F,$C:$C,TRIM($C474))-SUMIFS($G:$G,$C:$C,TRIM($C474)))&lt;0.005,"OK","ERROR - debi/kredi"))</f>
        <v/>
      </c>
      <c r="S474" s="116" t="str">
        <f aca="false">IF(D474="","",LEFT(D474&amp;"",2))</f>
        <v/>
      </c>
      <c r="T474" s="101" t="str">
        <f aca="false">IF(D474="","",LEFT(D474&amp;"",3))</f>
        <v/>
      </c>
    </row>
    <row r="475" customFormat="false" ht="14.25" hidden="false" customHeight="true" outlineLevel="0" collapsed="false">
      <c r="A475" s="111" t="str">
        <f aca="false">IF(AND(MBYLLJA_6_7_AUTO!$B$8="PO",POSTIM_NE_DITAR!$D$177&lt;&gt;""),POSTIM_NE_DITAR!A$177,"")</f>
        <v/>
      </c>
      <c r="B475" s="112" t="str">
        <f aca="false">IF(AND(MBYLLJA_6_7_AUTO!$B$8="PO",POSTIM_NE_DITAR!$D$177&lt;&gt;""),POSTIM_NE_DITAR!B$177,"")</f>
        <v/>
      </c>
      <c r="C475" s="112" t="str">
        <f aca="false">IF(AND(MBYLLJA_6_7_AUTO!$B$8="PO",POSTIM_NE_DITAR!$D$177&lt;&gt;""),POSTIM_NE_DITAR!C$177,"")</f>
        <v/>
      </c>
      <c r="D475" s="112" t="str">
        <f aca="false">IF(AND(MBYLLJA_6_7_AUTO!$B$8="PO",POSTIM_NE_DITAR!$D$177&lt;&gt;""),POSTIM_NE_DITAR!D$177,"")</f>
        <v/>
      </c>
      <c r="E475" s="113" t="str">
        <f aca="false">IF(AND(MBYLLJA_6_7_AUTO!$B$8="PO",POSTIM_NE_DITAR!$D$177&lt;&gt;""),POSTIM_NE_DITAR!E$177,"")</f>
        <v/>
      </c>
      <c r="F475" s="114" t="str">
        <f aca="false">IF(AND(MBYLLJA_6_7_AUTO!$B$8="PO",POSTIM_NE_DITAR!$D$177&lt;&gt;""),POSTIM_NE_DITAR!F$177,"")</f>
        <v/>
      </c>
      <c r="G475" s="114" t="str">
        <f aca="false">IF(AND(MBYLLJA_6_7_AUTO!$B$8="PO",POSTIM_NE_DITAR!$D$177&lt;&gt;""),POSTIM_NE_DITAR!G$177,"")</f>
        <v/>
      </c>
      <c r="H475" s="112" t="str">
        <f aca="false">IF(AND(MBYLLJA_6_7_AUTO!$B$8="PO",POSTIM_NE_DITAR!$D$177&lt;&gt;""),POSTIM_NE_DITAR!H$177,"")</f>
        <v/>
      </c>
      <c r="I475" s="112" t="str">
        <f aca="false">IF(AND(MBYLLJA_6_7_AUTO!$B$8="PO",POSTIM_NE_DITAR!$D$177&lt;&gt;""),POSTIM_NE_DITAR!I$177,"")</f>
        <v/>
      </c>
      <c r="J475" s="113" t="str">
        <f aca="false">IF(TRIM($C475)="","",IF($M475&lt;&gt;"OK",$M475,IF(ABS(SUMIFS($F:$F,$C:$C,TRIM($C475))-SUMIFS($G:$G,$C:$C,TRIM($C475)))&lt;0.005,"OK","ERROR - veprimi nuk balancohet")))</f>
        <v/>
      </c>
      <c r="K475" s="115" t="str">
        <f aca="false">IF($D475="","",IFERROR(VLOOKUP($D475,PLANI_LLOGARIVE!$A:$J,10,FALSE()),FALSE()))</f>
        <v/>
      </c>
      <c r="L475" s="115" t="str">
        <f aca="false">IF($D475="","",IFERROR(VLOOKUP($D475,PLANI_LLOGARIVE!$A:$G,7,FALSE()),"NUK EKZISTON"))</f>
        <v/>
      </c>
      <c r="M475" s="115" t="str">
        <f aca="false">IF($D475="","",IF(COUNTIF(PLANI_LLOGARIVE!$A:$A,$D475)=0,"ERROR - llogaria nuk ekziston",IF($K475=TRUE(),"OK","ERROR - llogari jo-postuese/Header")))</f>
        <v/>
      </c>
      <c r="N475" s="115" t="str">
        <f aca="false">IF(TRIM($C475)="","",IF(ABS(SUMIFS($F:$F,$C:$C,TRIM($C475))-SUMIFS($G:$G,$C:$C,TRIM($C475)))&lt;0.005,"OK","ERROR - debi/kredi"))</f>
        <v/>
      </c>
      <c r="S475" s="116" t="str">
        <f aca="false">IF(D475="","",LEFT(D475&amp;"",2))</f>
        <v/>
      </c>
      <c r="T475" s="101" t="str">
        <f aca="false">IF(D475="","",LEFT(D475&amp;"",3))</f>
        <v/>
      </c>
    </row>
    <row r="476" customFormat="false" ht="14.25" hidden="false" customHeight="true" outlineLevel="0" collapsed="false">
      <c r="A476" s="111" t="str">
        <f aca="false">IF(AND(MBYLLJA_6_7_AUTO!$B$8="PO",POSTIM_NE_DITAR!$D$178&lt;&gt;""),POSTIM_NE_DITAR!A$178,"")</f>
        <v/>
      </c>
      <c r="B476" s="112" t="str">
        <f aca="false">IF(AND(MBYLLJA_6_7_AUTO!$B$8="PO",POSTIM_NE_DITAR!$D$178&lt;&gt;""),POSTIM_NE_DITAR!B$178,"")</f>
        <v/>
      </c>
      <c r="C476" s="112" t="str">
        <f aca="false">IF(AND(MBYLLJA_6_7_AUTO!$B$8="PO",POSTIM_NE_DITAR!$D$178&lt;&gt;""),POSTIM_NE_DITAR!C$178,"")</f>
        <v/>
      </c>
      <c r="D476" s="112" t="str">
        <f aca="false">IF(AND(MBYLLJA_6_7_AUTO!$B$8="PO",POSTIM_NE_DITAR!$D$178&lt;&gt;""),POSTIM_NE_DITAR!D$178,"")</f>
        <v/>
      </c>
      <c r="E476" s="113" t="str">
        <f aca="false">IF(AND(MBYLLJA_6_7_AUTO!$B$8="PO",POSTIM_NE_DITAR!$D$178&lt;&gt;""),POSTIM_NE_DITAR!E$178,"")</f>
        <v/>
      </c>
      <c r="F476" s="114" t="str">
        <f aca="false">IF(AND(MBYLLJA_6_7_AUTO!$B$8="PO",POSTIM_NE_DITAR!$D$178&lt;&gt;""),POSTIM_NE_DITAR!F$178,"")</f>
        <v/>
      </c>
      <c r="G476" s="114" t="str">
        <f aca="false">IF(AND(MBYLLJA_6_7_AUTO!$B$8="PO",POSTIM_NE_DITAR!$D$178&lt;&gt;""),POSTIM_NE_DITAR!G$178,"")</f>
        <v/>
      </c>
      <c r="H476" s="112" t="str">
        <f aca="false">IF(AND(MBYLLJA_6_7_AUTO!$B$8="PO",POSTIM_NE_DITAR!$D$178&lt;&gt;""),POSTIM_NE_DITAR!H$178,"")</f>
        <v/>
      </c>
      <c r="I476" s="112" t="str">
        <f aca="false">IF(AND(MBYLLJA_6_7_AUTO!$B$8="PO",POSTIM_NE_DITAR!$D$178&lt;&gt;""),POSTIM_NE_DITAR!I$178,"")</f>
        <v/>
      </c>
      <c r="J476" s="113" t="str">
        <f aca="false">IF(TRIM($C476)="","",IF($M476&lt;&gt;"OK",$M476,IF(ABS(SUMIFS($F:$F,$C:$C,TRIM($C476))-SUMIFS($G:$G,$C:$C,TRIM($C476)))&lt;0.005,"OK","ERROR - veprimi nuk balancohet")))</f>
        <v/>
      </c>
      <c r="K476" s="115" t="str">
        <f aca="false">IF($D476="","",IFERROR(VLOOKUP($D476,PLANI_LLOGARIVE!$A:$J,10,FALSE()),FALSE()))</f>
        <v/>
      </c>
      <c r="L476" s="115" t="str">
        <f aca="false">IF($D476="","",IFERROR(VLOOKUP($D476,PLANI_LLOGARIVE!$A:$G,7,FALSE()),"NUK EKZISTON"))</f>
        <v/>
      </c>
      <c r="M476" s="115" t="str">
        <f aca="false">IF($D476="","",IF(COUNTIF(PLANI_LLOGARIVE!$A:$A,$D476)=0,"ERROR - llogaria nuk ekziston",IF($K476=TRUE(),"OK","ERROR - llogari jo-postuese/Header")))</f>
        <v/>
      </c>
      <c r="N476" s="115" t="str">
        <f aca="false">IF(TRIM($C476)="","",IF(ABS(SUMIFS($F:$F,$C:$C,TRIM($C476))-SUMIFS($G:$G,$C:$C,TRIM($C476)))&lt;0.005,"OK","ERROR - debi/kredi"))</f>
        <v/>
      </c>
      <c r="S476" s="116" t="str">
        <f aca="false">IF(D476="","",LEFT(D476&amp;"",2))</f>
        <v/>
      </c>
      <c r="T476" s="101" t="str">
        <f aca="false">IF(D476="","",LEFT(D476&amp;"",3))</f>
        <v/>
      </c>
    </row>
    <row r="477" customFormat="false" ht="14.25" hidden="false" customHeight="true" outlineLevel="0" collapsed="false">
      <c r="A477" s="111" t="str">
        <f aca="false">IF(AND(MBYLLJA_6_7_AUTO!$B$8="PO",POSTIM_NE_DITAR!$D$179&lt;&gt;""),POSTIM_NE_DITAR!A$179,"")</f>
        <v/>
      </c>
      <c r="B477" s="112" t="str">
        <f aca="false">IF(AND(MBYLLJA_6_7_AUTO!$B$8="PO",POSTIM_NE_DITAR!$D$179&lt;&gt;""),POSTIM_NE_DITAR!B$179,"")</f>
        <v/>
      </c>
      <c r="C477" s="112" t="str">
        <f aca="false">IF(AND(MBYLLJA_6_7_AUTO!$B$8="PO",POSTIM_NE_DITAR!$D$179&lt;&gt;""),POSTIM_NE_DITAR!C$179,"")</f>
        <v/>
      </c>
      <c r="D477" s="112" t="str">
        <f aca="false">IF(AND(MBYLLJA_6_7_AUTO!$B$8="PO",POSTIM_NE_DITAR!$D$179&lt;&gt;""),POSTIM_NE_DITAR!D$179,"")</f>
        <v/>
      </c>
      <c r="E477" s="113" t="str">
        <f aca="false">IF(AND(MBYLLJA_6_7_AUTO!$B$8="PO",POSTIM_NE_DITAR!$D$179&lt;&gt;""),POSTIM_NE_DITAR!E$179,"")</f>
        <v/>
      </c>
      <c r="F477" s="114" t="str">
        <f aca="false">IF(AND(MBYLLJA_6_7_AUTO!$B$8="PO",POSTIM_NE_DITAR!$D$179&lt;&gt;""),POSTIM_NE_DITAR!F$179,"")</f>
        <v/>
      </c>
      <c r="G477" s="114" t="str">
        <f aca="false">IF(AND(MBYLLJA_6_7_AUTO!$B$8="PO",POSTIM_NE_DITAR!$D$179&lt;&gt;""),POSTIM_NE_DITAR!G$179,"")</f>
        <v/>
      </c>
      <c r="H477" s="112" t="str">
        <f aca="false">IF(AND(MBYLLJA_6_7_AUTO!$B$8="PO",POSTIM_NE_DITAR!$D$179&lt;&gt;""),POSTIM_NE_DITAR!H$179,"")</f>
        <v/>
      </c>
      <c r="I477" s="112" t="str">
        <f aca="false">IF(AND(MBYLLJA_6_7_AUTO!$B$8="PO",POSTIM_NE_DITAR!$D$179&lt;&gt;""),POSTIM_NE_DITAR!I$179,"")</f>
        <v/>
      </c>
      <c r="J477" s="113" t="str">
        <f aca="false">IF(TRIM($C477)="","",IF($M477&lt;&gt;"OK",$M477,IF(ABS(SUMIFS($F:$F,$C:$C,TRIM($C477))-SUMIFS($G:$G,$C:$C,TRIM($C477)))&lt;0.005,"OK","ERROR - veprimi nuk balancohet")))</f>
        <v/>
      </c>
      <c r="K477" s="115" t="str">
        <f aca="false">IF($D477="","",IFERROR(VLOOKUP($D477,PLANI_LLOGARIVE!$A:$J,10,FALSE()),FALSE()))</f>
        <v/>
      </c>
      <c r="L477" s="115" t="str">
        <f aca="false">IF($D477="","",IFERROR(VLOOKUP($D477,PLANI_LLOGARIVE!$A:$G,7,FALSE()),"NUK EKZISTON"))</f>
        <v/>
      </c>
      <c r="M477" s="115" t="str">
        <f aca="false">IF($D477="","",IF(COUNTIF(PLANI_LLOGARIVE!$A:$A,$D477)=0,"ERROR - llogaria nuk ekziston",IF($K477=TRUE(),"OK","ERROR - llogari jo-postuese/Header")))</f>
        <v/>
      </c>
      <c r="N477" s="115" t="str">
        <f aca="false">IF(TRIM($C477)="","",IF(ABS(SUMIFS($F:$F,$C:$C,TRIM($C477))-SUMIFS($G:$G,$C:$C,TRIM($C477)))&lt;0.005,"OK","ERROR - debi/kredi"))</f>
        <v/>
      </c>
      <c r="S477" s="116" t="str">
        <f aca="false">IF(D477="","",LEFT(D477&amp;"",2))</f>
        <v/>
      </c>
      <c r="T477" s="101" t="str">
        <f aca="false">IF(D477="","",LEFT(D477&amp;"",3))</f>
        <v/>
      </c>
    </row>
    <row r="478" customFormat="false" ht="14.25" hidden="false" customHeight="true" outlineLevel="0" collapsed="false">
      <c r="A478" s="111" t="str">
        <f aca="false">IF(AND(MBYLLJA_6_7_AUTO!$B$8="PO",POSTIM_NE_DITAR!$D$180&lt;&gt;""),POSTIM_NE_DITAR!A$180,"")</f>
        <v/>
      </c>
      <c r="B478" s="112" t="str">
        <f aca="false">IF(AND(MBYLLJA_6_7_AUTO!$B$8="PO",POSTIM_NE_DITAR!$D$180&lt;&gt;""),POSTIM_NE_DITAR!B$180,"")</f>
        <v/>
      </c>
      <c r="C478" s="112" t="str">
        <f aca="false">IF(AND(MBYLLJA_6_7_AUTO!$B$8="PO",POSTIM_NE_DITAR!$D$180&lt;&gt;""),POSTIM_NE_DITAR!C$180,"")</f>
        <v/>
      </c>
      <c r="D478" s="112" t="str">
        <f aca="false">IF(AND(MBYLLJA_6_7_AUTO!$B$8="PO",POSTIM_NE_DITAR!$D$180&lt;&gt;""),POSTIM_NE_DITAR!D$180,"")</f>
        <v/>
      </c>
      <c r="E478" s="113" t="str">
        <f aca="false">IF(AND(MBYLLJA_6_7_AUTO!$B$8="PO",POSTIM_NE_DITAR!$D$180&lt;&gt;""),POSTIM_NE_DITAR!E$180,"")</f>
        <v/>
      </c>
      <c r="F478" s="114" t="str">
        <f aca="false">IF(AND(MBYLLJA_6_7_AUTO!$B$8="PO",POSTIM_NE_DITAR!$D$180&lt;&gt;""),POSTIM_NE_DITAR!F$180,"")</f>
        <v/>
      </c>
      <c r="G478" s="114" t="str">
        <f aca="false">IF(AND(MBYLLJA_6_7_AUTO!$B$8="PO",POSTIM_NE_DITAR!$D$180&lt;&gt;""),POSTIM_NE_DITAR!G$180,"")</f>
        <v/>
      </c>
      <c r="H478" s="112" t="str">
        <f aca="false">IF(AND(MBYLLJA_6_7_AUTO!$B$8="PO",POSTIM_NE_DITAR!$D$180&lt;&gt;""),POSTIM_NE_DITAR!H$180,"")</f>
        <v/>
      </c>
      <c r="I478" s="112" t="str">
        <f aca="false">IF(AND(MBYLLJA_6_7_AUTO!$B$8="PO",POSTIM_NE_DITAR!$D$180&lt;&gt;""),POSTIM_NE_DITAR!I$180,"")</f>
        <v/>
      </c>
      <c r="J478" s="113" t="str">
        <f aca="false">IF(TRIM($C478)="","",IF($M478&lt;&gt;"OK",$M478,IF(ABS(SUMIFS($F:$F,$C:$C,TRIM($C478))-SUMIFS($G:$G,$C:$C,TRIM($C478)))&lt;0.005,"OK","ERROR - veprimi nuk balancohet")))</f>
        <v/>
      </c>
      <c r="K478" s="115" t="str">
        <f aca="false">IF($D478="","",IFERROR(VLOOKUP($D478,PLANI_LLOGARIVE!$A:$J,10,FALSE()),FALSE()))</f>
        <v/>
      </c>
      <c r="L478" s="115" t="str">
        <f aca="false">IF($D478="","",IFERROR(VLOOKUP($D478,PLANI_LLOGARIVE!$A:$G,7,FALSE()),"NUK EKZISTON"))</f>
        <v/>
      </c>
      <c r="M478" s="115" t="str">
        <f aca="false">IF($D478="","",IF(COUNTIF(PLANI_LLOGARIVE!$A:$A,$D478)=0,"ERROR - llogaria nuk ekziston",IF($K478=TRUE(),"OK","ERROR - llogari jo-postuese/Header")))</f>
        <v/>
      </c>
      <c r="N478" s="115" t="str">
        <f aca="false">IF(TRIM($C478)="","",IF(ABS(SUMIFS($F:$F,$C:$C,TRIM($C478))-SUMIFS($G:$G,$C:$C,TRIM($C478)))&lt;0.005,"OK","ERROR - debi/kredi"))</f>
        <v/>
      </c>
      <c r="S478" s="116" t="str">
        <f aca="false">IF(D478="","",LEFT(D478&amp;"",2))</f>
        <v/>
      </c>
      <c r="T478" s="101" t="str">
        <f aca="false">IF(D478="","",LEFT(D478&amp;"",3))</f>
        <v/>
      </c>
    </row>
    <row r="479" customFormat="false" ht="14.25" hidden="false" customHeight="true" outlineLevel="0" collapsed="false">
      <c r="A479" s="111" t="str">
        <f aca="false">IF(AND(MBYLLJA_6_7_AUTO!$B$8="PO",POSTIM_NE_DITAR!$D$181&lt;&gt;""),POSTIM_NE_DITAR!A$181,"")</f>
        <v/>
      </c>
      <c r="B479" s="112" t="str">
        <f aca="false">IF(AND(MBYLLJA_6_7_AUTO!$B$8="PO",POSTIM_NE_DITAR!$D$181&lt;&gt;""),POSTIM_NE_DITAR!B$181,"")</f>
        <v/>
      </c>
      <c r="C479" s="112" t="str">
        <f aca="false">IF(AND(MBYLLJA_6_7_AUTO!$B$8="PO",POSTIM_NE_DITAR!$D$181&lt;&gt;""),POSTIM_NE_DITAR!C$181,"")</f>
        <v/>
      </c>
      <c r="D479" s="112" t="str">
        <f aca="false">IF(AND(MBYLLJA_6_7_AUTO!$B$8="PO",POSTIM_NE_DITAR!$D$181&lt;&gt;""),POSTIM_NE_DITAR!D$181,"")</f>
        <v/>
      </c>
      <c r="E479" s="113" t="str">
        <f aca="false">IF(AND(MBYLLJA_6_7_AUTO!$B$8="PO",POSTIM_NE_DITAR!$D$181&lt;&gt;""),POSTIM_NE_DITAR!E$181,"")</f>
        <v/>
      </c>
      <c r="F479" s="114" t="str">
        <f aca="false">IF(AND(MBYLLJA_6_7_AUTO!$B$8="PO",POSTIM_NE_DITAR!$D$181&lt;&gt;""),POSTIM_NE_DITAR!F$181,"")</f>
        <v/>
      </c>
      <c r="G479" s="114" t="str">
        <f aca="false">IF(AND(MBYLLJA_6_7_AUTO!$B$8="PO",POSTIM_NE_DITAR!$D$181&lt;&gt;""),POSTIM_NE_DITAR!G$181,"")</f>
        <v/>
      </c>
      <c r="H479" s="112" t="str">
        <f aca="false">IF(AND(MBYLLJA_6_7_AUTO!$B$8="PO",POSTIM_NE_DITAR!$D$181&lt;&gt;""),POSTIM_NE_DITAR!H$181,"")</f>
        <v/>
      </c>
      <c r="I479" s="112" t="str">
        <f aca="false">IF(AND(MBYLLJA_6_7_AUTO!$B$8="PO",POSTIM_NE_DITAR!$D$181&lt;&gt;""),POSTIM_NE_DITAR!I$181,"")</f>
        <v/>
      </c>
      <c r="J479" s="113" t="str">
        <f aca="false">IF(TRIM($C479)="","",IF($M479&lt;&gt;"OK",$M479,IF(ABS(SUMIFS($F:$F,$C:$C,TRIM($C479))-SUMIFS($G:$G,$C:$C,TRIM($C479)))&lt;0.005,"OK","ERROR - veprimi nuk balancohet")))</f>
        <v/>
      </c>
      <c r="K479" s="115" t="str">
        <f aca="false">IF($D479="","",IFERROR(VLOOKUP($D479,PLANI_LLOGARIVE!$A:$J,10,FALSE()),FALSE()))</f>
        <v/>
      </c>
      <c r="L479" s="115" t="str">
        <f aca="false">IF($D479="","",IFERROR(VLOOKUP($D479,PLANI_LLOGARIVE!$A:$G,7,FALSE()),"NUK EKZISTON"))</f>
        <v/>
      </c>
      <c r="M479" s="115" t="str">
        <f aca="false">IF($D479="","",IF(COUNTIF(PLANI_LLOGARIVE!$A:$A,$D479)=0,"ERROR - llogaria nuk ekziston",IF($K479=TRUE(),"OK","ERROR - llogari jo-postuese/Header")))</f>
        <v/>
      </c>
      <c r="N479" s="115" t="str">
        <f aca="false">IF(TRIM($C479)="","",IF(ABS(SUMIFS($F:$F,$C:$C,TRIM($C479))-SUMIFS($G:$G,$C:$C,TRIM($C479)))&lt;0.005,"OK","ERROR - debi/kredi"))</f>
        <v/>
      </c>
      <c r="S479" s="116" t="str">
        <f aca="false">IF(D479="","",LEFT(D479&amp;"",2))</f>
        <v/>
      </c>
      <c r="T479" s="101" t="str">
        <f aca="false">IF(D479="","",LEFT(D479&amp;"",3))</f>
        <v/>
      </c>
    </row>
    <row r="480" customFormat="false" ht="14.25" hidden="false" customHeight="true" outlineLevel="0" collapsed="false">
      <c r="A480" s="111" t="str">
        <f aca="false">IF(AND(MBYLLJA_6_7_AUTO!$B$8="PO",POSTIM_NE_DITAR!$D$182&lt;&gt;""),POSTIM_NE_DITAR!A$182,"")</f>
        <v/>
      </c>
      <c r="B480" s="112" t="str">
        <f aca="false">IF(AND(MBYLLJA_6_7_AUTO!$B$8="PO",POSTIM_NE_DITAR!$D$182&lt;&gt;""),POSTIM_NE_DITAR!B$182,"")</f>
        <v/>
      </c>
      <c r="C480" s="112" t="str">
        <f aca="false">IF(AND(MBYLLJA_6_7_AUTO!$B$8="PO",POSTIM_NE_DITAR!$D$182&lt;&gt;""),POSTIM_NE_DITAR!C$182,"")</f>
        <v/>
      </c>
      <c r="D480" s="112" t="str">
        <f aca="false">IF(AND(MBYLLJA_6_7_AUTO!$B$8="PO",POSTIM_NE_DITAR!$D$182&lt;&gt;""),POSTIM_NE_DITAR!D$182,"")</f>
        <v/>
      </c>
      <c r="E480" s="113" t="str">
        <f aca="false">IF(AND(MBYLLJA_6_7_AUTO!$B$8="PO",POSTIM_NE_DITAR!$D$182&lt;&gt;""),POSTIM_NE_DITAR!E$182,"")</f>
        <v/>
      </c>
      <c r="F480" s="114" t="str">
        <f aca="false">IF(AND(MBYLLJA_6_7_AUTO!$B$8="PO",POSTIM_NE_DITAR!$D$182&lt;&gt;""),POSTIM_NE_DITAR!F$182,"")</f>
        <v/>
      </c>
      <c r="G480" s="114" t="str">
        <f aca="false">IF(AND(MBYLLJA_6_7_AUTO!$B$8="PO",POSTIM_NE_DITAR!$D$182&lt;&gt;""),POSTIM_NE_DITAR!G$182,"")</f>
        <v/>
      </c>
      <c r="H480" s="112" t="str">
        <f aca="false">IF(AND(MBYLLJA_6_7_AUTO!$B$8="PO",POSTIM_NE_DITAR!$D$182&lt;&gt;""),POSTIM_NE_DITAR!H$182,"")</f>
        <v/>
      </c>
      <c r="I480" s="112" t="str">
        <f aca="false">IF(AND(MBYLLJA_6_7_AUTO!$B$8="PO",POSTIM_NE_DITAR!$D$182&lt;&gt;""),POSTIM_NE_DITAR!I$182,"")</f>
        <v/>
      </c>
      <c r="J480" s="113" t="str">
        <f aca="false">IF(TRIM($C480)="","",IF($M480&lt;&gt;"OK",$M480,IF(ABS(SUMIFS($F:$F,$C:$C,TRIM($C480))-SUMIFS($G:$G,$C:$C,TRIM($C480)))&lt;0.005,"OK","ERROR - veprimi nuk balancohet")))</f>
        <v/>
      </c>
      <c r="K480" s="115" t="str">
        <f aca="false">IF($D480="","",IFERROR(VLOOKUP($D480,PLANI_LLOGARIVE!$A:$J,10,FALSE()),FALSE()))</f>
        <v/>
      </c>
      <c r="L480" s="115" t="str">
        <f aca="false">IF($D480="","",IFERROR(VLOOKUP($D480,PLANI_LLOGARIVE!$A:$G,7,FALSE()),"NUK EKZISTON"))</f>
        <v/>
      </c>
      <c r="M480" s="115" t="str">
        <f aca="false">IF($D480="","",IF(COUNTIF(PLANI_LLOGARIVE!$A:$A,$D480)=0,"ERROR - llogaria nuk ekziston",IF($K480=TRUE(),"OK","ERROR - llogari jo-postuese/Header")))</f>
        <v/>
      </c>
      <c r="N480" s="115" t="str">
        <f aca="false">IF(TRIM($C480)="","",IF(ABS(SUMIFS($F:$F,$C:$C,TRIM($C480))-SUMIFS($G:$G,$C:$C,TRIM($C480)))&lt;0.005,"OK","ERROR - debi/kredi"))</f>
        <v/>
      </c>
      <c r="S480" s="116" t="str">
        <f aca="false">IF(D480="","",LEFT(D480&amp;"",2))</f>
        <v/>
      </c>
      <c r="T480" s="101" t="str">
        <f aca="false">IF(D480="","",LEFT(D480&amp;"",3))</f>
        <v/>
      </c>
    </row>
    <row r="481" customFormat="false" ht="14.25" hidden="false" customHeight="true" outlineLevel="0" collapsed="false">
      <c r="A481" s="111" t="str">
        <f aca="false">IF(AND(MBYLLJA_6_7_AUTO!$B$8="PO",POSTIM_NE_DITAR!$D$183&lt;&gt;""),POSTIM_NE_DITAR!A$183,"")</f>
        <v/>
      </c>
      <c r="B481" s="112" t="str">
        <f aca="false">IF(AND(MBYLLJA_6_7_AUTO!$B$8="PO",POSTIM_NE_DITAR!$D$183&lt;&gt;""),POSTIM_NE_DITAR!B$183,"")</f>
        <v/>
      </c>
      <c r="C481" s="112" t="str">
        <f aca="false">IF(AND(MBYLLJA_6_7_AUTO!$B$8="PO",POSTIM_NE_DITAR!$D$183&lt;&gt;""),POSTIM_NE_DITAR!C$183,"")</f>
        <v/>
      </c>
      <c r="D481" s="112" t="str">
        <f aca="false">IF(AND(MBYLLJA_6_7_AUTO!$B$8="PO",POSTIM_NE_DITAR!$D$183&lt;&gt;""),POSTIM_NE_DITAR!D$183,"")</f>
        <v/>
      </c>
      <c r="E481" s="113" t="str">
        <f aca="false">IF(AND(MBYLLJA_6_7_AUTO!$B$8="PO",POSTIM_NE_DITAR!$D$183&lt;&gt;""),POSTIM_NE_DITAR!E$183,"")</f>
        <v/>
      </c>
      <c r="F481" s="114" t="str">
        <f aca="false">IF(AND(MBYLLJA_6_7_AUTO!$B$8="PO",POSTIM_NE_DITAR!$D$183&lt;&gt;""),POSTIM_NE_DITAR!F$183,"")</f>
        <v/>
      </c>
      <c r="G481" s="114" t="str">
        <f aca="false">IF(AND(MBYLLJA_6_7_AUTO!$B$8="PO",POSTIM_NE_DITAR!$D$183&lt;&gt;""),POSTIM_NE_DITAR!G$183,"")</f>
        <v/>
      </c>
      <c r="H481" s="112" t="str">
        <f aca="false">IF(AND(MBYLLJA_6_7_AUTO!$B$8="PO",POSTIM_NE_DITAR!$D$183&lt;&gt;""),POSTIM_NE_DITAR!H$183,"")</f>
        <v/>
      </c>
      <c r="I481" s="112" t="str">
        <f aca="false">IF(AND(MBYLLJA_6_7_AUTO!$B$8="PO",POSTIM_NE_DITAR!$D$183&lt;&gt;""),POSTIM_NE_DITAR!I$183,"")</f>
        <v/>
      </c>
      <c r="J481" s="113" t="str">
        <f aca="false">IF(TRIM($C481)="","",IF($M481&lt;&gt;"OK",$M481,IF(ABS(SUMIFS($F:$F,$C:$C,TRIM($C481))-SUMIFS($G:$G,$C:$C,TRIM($C481)))&lt;0.005,"OK","ERROR - veprimi nuk balancohet")))</f>
        <v/>
      </c>
      <c r="K481" s="115" t="str">
        <f aca="false">IF($D481="","",IFERROR(VLOOKUP($D481,PLANI_LLOGARIVE!$A:$J,10,FALSE()),FALSE()))</f>
        <v/>
      </c>
      <c r="L481" s="115" t="str">
        <f aca="false">IF($D481="","",IFERROR(VLOOKUP($D481,PLANI_LLOGARIVE!$A:$G,7,FALSE()),"NUK EKZISTON"))</f>
        <v/>
      </c>
      <c r="M481" s="115" t="str">
        <f aca="false">IF($D481="","",IF(COUNTIF(PLANI_LLOGARIVE!$A:$A,$D481)=0,"ERROR - llogaria nuk ekziston",IF($K481=TRUE(),"OK","ERROR - llogari jo-postuese/Header")))</f>
        <v/>
      </c>
      <c r="N481" s="115" t="str">
        <f aca="false">IF(TRIM($C481)="","",IF(ABS(SUMIFS($F:$F,$C:$C,TRIM($C481))-SUMIFS($G:$G,$C:$C,TRIM($C481)))&lt;0.005,"OK","ERROR - debi/kredi"))</f>
        <v/>
      </c>
      <c r="S481" s="116" t="str">
        <f aca="false">IF(D481="","",LEFT(D481&amp;"",2))</f>
        <v/>
      </c>
      <c r="T481" s="101" t="str">
        <f aca="false">IF(D481="","",LEFT(D481&amp;"",3))</f>
        <v/>
      </c>
    </row>
    <row r="482" customFormat="false" ht="14.25" hidden="false" customHeight="true" outlineLevel="0" collapsed="false">
      <c r="A482" s="111" t="str">
        <f aca="false">IF(AND(MBYLLJA_6_7_AUTO!$B$8="PO",POSTIM_NE_DITAR!$D$184&lt;&gt;""),POSTIM_NE_DITAR!A$184,"")</f>
        <v/>
      </c>
      <c r="B482" s="112" t="str">
        <f aca="false">IF(AND(MBYLLJA_6_7_AUTO!$B$8="PO",POSTIM_NE_DITAR!$D$184&lt;&gt;""),POSTIM_NE_DITAR!B$184,"")</f>
        <v/>
      </c>
      <c r="C482" s="112" t="str">
        <f aca="false">IF(AND(MBYLLJA_6_7_AUTO!$B$8="PO",POSTIM_NE_DITAR!$D$184&lt;&gt;""),POSTIM_NE_DITAR!C$184,"")</f>
        <v/>
      </c>
      <c r="D482" s="112" t="str">
        <f aca="false">IF(AND(MBYLLJA_6_7_AUTO!$B$8="PO",POSTIM_NE_DITAR!$D$184&lt;&gt;""),POSTIM_NE_DITAR!D$184,"")</f>
        <v/>
      </c>
      <c r="E482" s="113" t="str">
        <f aca="false">IF(AND(MBYLLJA_6_7_AUTO!$B$8="PO",POSTIM_NE_DITAR!$D$184&lt;&gt;""),POSTIM_NE_DITAR!E$184,"")</f>
        <v/>
      </c>
      <c r="F482" s="114" t="str">
        <f aca="false">IF(AND(MBYLLJA_6_7_AUTO!$B$8="PO",POSTIM_NE_DITAR!$D$184&lt;&gt;""),POSTIM_NE_DITAR!F$184,"")</f>
        <v/>
      </c>
      <c r="G482" s="114" t="str">
        <f aca="false">IF(AND(MBYLLJA_6_7_AUTO!$B$8="PO",POSTIM_NE_DITAR!$D$184&lt;&gt;""),POSTIM_NE_DITAR!G$184,"")</f>
        <v/>
      </c>
      <c r="H482" s="112" t="str">
        <f aca="false">IF(AND(MBYLLJA_6_7_AUTO!$B$8="PO",POSTIM_NE_DITAR!$D$184&lt;&gt;""),POSTIM_NE_DITAR!H$184,"")</f>
        <v/>
      </c>
      <c r="I482" s="112" t="str">
        <f aca="false">IF(AND(MBYLLJA_6_7_AUTO!$B$8="PO",POSTIM_NE_DITAR!$D$184&lt;&gt;""),POSTIM_NE_DITAR!I$184,"")</f>
        <v/>
      </c>
      <c r="J482" s="113" t="str">
        <f aca="false">IF(TRIM($C482)="","",IF($M482&lt;&gt;"OK",$M482,IF(ABS(SUMIFS($F:$F,$C:$C,TRIM($C482))-SUMIFS($G:$G,$C:$C,TRIM($C482)))&lt;0.005,"OK","ERROR - veprimi nuk balancohet")))</f>
        <v/>
      </c>
      <c r="K482" s="115" t="str">
        <f aca="false">IF($D482="","",IFERROR(VLOOKUP($D482,PLANI_LLOGARIVE!$A:$J,10,FALSE()),FALSE()))</f>
        <v/>
      </c>
      <c r="L482" s="115" t="str">
        <f aca="false">IF($D482="","",IFERROR(VLOOKUP($D482,PLANI_LLOGARIVE!$A:$G,7,FALSE()),"NUK EKZISTON"))</f>
        <v/>
      </c>
      <c r="M482" s="115" t="str">
        <f aca="false">IF($D482="","",IF(COUNTIF(PLANI_LLOGARIVE!$A:$A,$D482)=0,"ERROR - llogaria nuk ekziston",IF($K482=TRUE(),"OK","ERROR - llogari jo-postuese/Header")))</f>
        <v/>
      </c>
      <c r="N482" s="115" t="str">
        <f aca="false">IF(TRIM($C482)="","",IF(ABS(SUMIFS($F:$F,$C:$C,TRIM($C482))-SUMIFS($G:$G,$C:$C,TRIM($C482)))&lt;0.005,"OK","ERROR - debi/kredi"))</f>
        <v/>
      </c>
      <c r="S482" s="116" t="str">
        <f aca="false">IF(D482="","",LEFT(D482&amp;"",2))</f>
        <v/>
      </c>
      <c r="T482" s="101" t="str">
        <f aca="false">IF(D482="","",LEFT(D482&amp;"",3))</f>
        <v/>
      </c>
    </row>
    <row r="483" customFormat="false" ht="14.25" hidden="false" customHeight="true" outlineLevel="0" collapsed="false">
      <c r="A483" s="111" t="str">
        <f aca="false">IF(AND(MBYLLJA_6_7_AUTO!$B$8="PO",POSTIM_NE_DITAR!$D$185&lt;&gt;""),POSTIM_NE_DITAR!A$185,"")</f>
        <v/>
      </c>
      <c r="B483" s="112" t="str">
        <f aca="false">IF(AND(MBYLLJA_6_7_AUTO!$B$8="PO",POSTIM_NE_DITAR!$D$185&lt;&gt;""),POSTIM_NE_DITAR!B$185,"")</f>
        <v/>
      </c>
      <c r="C483" s="112" t="str">
        <f aca="false">IF(AND(MBYLLJA_6_7_AUTO!$B$8="PO",POSTIM_NE_DITAR!$D$185&lt;&gt;""),POSTIM_NE_DITAR!C$185,"")</f>
        <v/>
      </c>
      <c r="D483" s="112" t="str">
        <f aca="false">IF(AND(MBYLLJA_6_7_AUTO!$B$8="PO",POSTIM_NE_DITAR!$D$185&lt;&gt;""),POSTIM_NE_DITAR!D$185,"")</f>
        <v/>
      </c>
      <c r="E483" s="113" t="str">
        <f aca="false">IF(AND(MBYLLJA_6_7_AUTO!$B$8="PO",POSTIM_NE_DITAR!$D$185&lt;&gt;""),POSTIM_NE_DITAR!E$185,"")</f>
        <v/>
      </c>
      <c r="F483" s="114" t="str">
        <f aca="false">IF(AND(MBYLLJA_6_7_AUTO!$B$8="PO",POSTIM_NE_DITAR!$D$185&lt;&gt;""),POSTIM_NE_DITAR!F$185,"")</f>
        <v/>
      </c>
      <c r="G483" s="114" t="str">
        <f aca="false">IF(AND(MBYLLJA_6_7_AUTO!$B$8="PO",POSTIM_NE_DITAR!$D$185&lt;&gt;""),POSTIM_NE_DITAR!G$185,"")</f>
        <v/>
      </c>
      <c r="H483" s="112" t="str">
        <f aca="false">IF(AND(MBYLLJA_6_7_AUTO!$B$8="PO",POSTIM_NE_DITAR!$D$185&lt;&gt;""),POSTIM_NE_DITAR!H$185,"")</f>
        <v/>
      </c>
      <c r="I483" s="112" t="str">
        <f aca="false">IF(AND(MBYLLJA_6_7_AUTO!$B$8="PO",POSTIM_NE_DITAR!$D$185&lt;&gt;""),POSTIM_NE_DITAR!I$185,"")</f>
        <v/>
      </c>
      <c r="J483" s="113" t="str">
        <f aca="false">IF(TRIM($C483)="","",IF($M483&lt;&gt;"OK",$M483,IF(ABS(SUMIFS($F:$F,$C:$C,TRIM($C483))-SUMIFS($G:$G,$C:$C,TRIM($C483)))&lt;0.005,"OK","ERROR - veprimi nuk balancohet")))</f>
        <v/>
      </c>
      <c r="K483" s="115" t="str">
        <f aca="false">IF($D483="","",IFERROR(VLOOKUP($D483,PLANI_LLOGARIVE!$A:$J,10,FALSE()),FALSE()))</f>
        <v/>
      </c>
      <c r="L483" s="115" t="str">
        <f aca="false">IF($D483="","",IFERROR(VLOOKUP($D483,PLANI_LLOGARIVE!$A:$G,7,FALSE()),"NUK EKZISTON"))</f>
        <v/>
      </c>
      <c r="M483" s="115" t="str">
        <f aca="false">IF($D483="","",IF(COUNTIF(PLANI_LLOGARIVE!$A:$A,$D483)=0,"ERROR - llogaria nuk ekziston",IF($K483=TRUE(),"OK","ERROR - llogari jo-postuese/Header")))</f>
        <v/>
      </c>
      <c r="N483" s="115" t="str">
        <f aca="false">IF(TRIM($C483)="","",IF(ABS(SUMIFS($F:$F,$C:$C,TRIM($C483))-SUMIFS($G:$G,$C:$C,TRIM($C483)))&lt;0.005,"OK","ERROR - debi/kredi"))</f>
        <v/>
      </c>
      <c r="S483" s="116" t="str">
        <f aca="false">IF(D483="","",LEFT(D483&amp;"",2))</f>
        <v/>
      </c>
      <c r="T483" s="101" t="str">
        <f aca="false">IF(D483="","",LEFT(D483&amp;"",3))</f>
        <v/>
      </c>
    </row>
    <row r="484" customFormat="false" ht="14.25" hidden="false" customHeight="true" outlineLevel="0" collapsed="false">
      <c r="A484" s="111" t="str">
        <f aca="false">IF(AND(MBYLLJA_6_7_AUTO!$B$8="PO",POSTIM_NE_DITAR!$D$186&lt;&gt;""),POSTIM_NE_DITAR!A$186,"")</f>
        <v/>
      </c>
      <c r="B484" s="112" t="str">
        <f aca="false">IF(AND(MBYLLJA_6_7_AUTO!$B$8="PO",POSTIM_NE_DITAR!$D$186&lt;&gt;""),POSTIM_NE_DITAR!B$186,"")</f>
        <v/>
      </c>
      <c r="C484" s="112" t="str">
        <f aca="false">IF(AND(MBYLLJA_6_7_AUTO!$B$8="PO",POSTIM_NE_DITAR!$D$186&lt;&gt;""),POSTIM_NE_DITAR!C$186,"")</f>
        <v/>
      </c>
      <c r="D484" s="112" t="str">
        <f aca="false">IF(AND(MBYLLJA_6_7_AUTO!$B$8="PO",POSTIM_NE_DITAR!$D$186&lt;&gt;""),POSTIM_NE_DITAR!D$186,"")</f>
        <v/>
      </c>
      <c r="E484" s="113" t="str">
        <f aca="false">IF(AND(MBYLLJA_6_7_AUTO!$B$8="PO",POSTIM_NE_DITAR!$D$186&lt;&gt;""),POSTIM_NE_DITAR!E$186,"")</f>
        <v/>
      </c>
      <c r="F484" s="114" t="str">
        <f aca="false">IF(AND(MBYLLJA_6_7_AUTO!$B$8="PO",POSTIM_NE_DITAR!$D$186&lt;&gt;""),POSTIM_NE_DITAR!F$186,"")</f>
        <v/>
      </c>
      <c r="G484" s="114" t="str">
        <f aca="false">IF(AND(MBYLLJA_6_7_AUTO!$B$8="PO",POSTIM_NE_DITAR!$D$186&lt;&gt;""),POSTIM_NE_DITAR!G$186,"")</f>
        <v/>
      </c>
      <c r="H484" s="112" t="str">
        <f aca="false">IF(AND(MBYLLJA_6_7_AUTO!$B$8="PO",POSTIM_NE_DITAR!$D$186&lt;&gt;""),POSTIM_NE_DITAR!H$186,"")</f>
        <v/>
      </c>
      <c r="I484" s="112" t="str">
        <f aca="false">IF(AND(MBYLLJA_6_7_AUTO!$B$8="PO",POSTIM_NE_DITAR!$D$186&lt;&gt;""),POSTIM_NE_DITAR!I$186,"")</f>
        <v/>
      </c>
      <c r="J484" s="113" t="str">
        <f aca="false">IF(TRIM($C484)="","",IF($M484&lt;&gt;"OK",$M484,IF(ABS(SUMIFS($F:$F,$C:$C,TRIM($C484))-SUMIFS($G:$G,$C:$C,TRIM($C484)))&lt;0.005,"OK","ERROR - veprimi nuk balancohet")))</f>
        <v/>
      </c>
      <c r="K484" s="115" t="str">
        <f aca="false">IF($D484="","",IFERROR(VLOOKUP($D484,PLANI_LLOGARIVE!$A:$J,10,FALSE()),FALSE()))</f>
        <v/>
      </c>
      <c r="L484" s="115" t="str">
        <f aca="false">IF($D484="","",IFERROR(VLOOKUP($D484,PLANI_LLOGARIVE!$A:$G,7,FALSE()),"NUK EKZISTON"))</f>
        <v/>
      </c>
      <c r="M484" s="115" t="str">
        <f aca="false">IF($D484="","",IF(COUNTIF(PLANI_LLOGARIVE!$A:$A,$D484)=0,"ERROR - llogaria nuk ekziston",IF($K484=TRUE(),"OK","ERROR - llogari jo-postuese/Header")))</f>
        <v/>
      </c>
      <c r="N484" s="115" t="str">
        <f aca="false">IF(TRIM($C484)="","",IF(ABS(SUMIFS($F:$F,$C:$C,TRIM($C484))-SUMIFS($G:$G,$C:$C,TRIM($C484)))&lt;0.005,"OK","ERROR - debi/kredi"))</f>
        <v/>
      </c>
      <c r="S484" s="116" t="str">
        <f aca="false">IF(D484="","",LEFT(D484&amp;"",2))</f>
        <v/>
      </c>
      <c r="T484" s="101" t="str">
        <f aca="false">IF(D484="","",LEFT(D484&amp;"",3))</f>
        <v/>
      </c>
    </row>
    <row r="485" customFormat="false" ht="14.25" hidden="false" customHeight="true" outlineLevel="0" collapsed="false">
      <c r="A485" s="111" t="str">
        <f aca="false">IF(AND(MBYLLJA_6_7_AUTO!$B$8="PO",POSTIM_NE_DITAR!$D$187&lt;&gt;""),POSTIM_NE_DITAR!A$187,"")</f>
        <v/>
      </c>
      <c r="B485" s="112" t="str">
        <f aca="false">IF(AND(MBYLLJA_6_7_AUTO!$B$8="PO",POSTIM_NE_DITAR!$D$187&lt;&gt;""),POSTIM_NE_DITAR!B$187,"")</f>
        <v/>
      </c>
      <c r="C485" s="112" t="str">
        <f aca="false">IF(AND(MBYLLJA_6_7_AUTO!$B$8="PO",POSTIM_NE_DITAR!$D$187&lt;&gt;""),POSTIM_NE_DITAR!C$187,"")</f>
        <v/>
      </c>
      <c r="D485" s="112" t="str">
        <f aca="false">IF(AND(MBYLLJA_6_7_AUTO!$B$8="PO",POSTIM_NE_DITAR!$D$187&lt;&gt;""),POSTIM_NE_DITAR!D$187,"")</f>
        <v/>
      </c>
      <c r="E485" s="113" t="str">
        <f aca="false">IF(AND(MBYLLJA_6_7_AUTO!$B$8="PO",POSTIM_NE_DITAR!$D$187&lt;&gt;""),POSTIM_NE_DITAR!E$187,"")</f>
        <v/>
      </c>
      <c r="F485" s="114" t="str">
        <f aca="false">IF(AND(MBYLLJA_6_7_AUTO!$B$8="PO",POSTIM_NE_DITAR!$D$187&lt;&gt;""),POSTIM_NE_DITAR!F$187,"")</f>
        <v/>
      </c>
      <c r="G485" s="114" t="str">
        <f aca="false">IF(AND(MBYLLJA_6_7_AUTO!$B$8="PO",POSTIM_NE_DITAR!$D$187&lt;&gt;""),POSTIM_NE_DITAR!G$187,"")</f>
        <v/>
      </c>
      <c r="H485" s="112" t="str">
        <f aca="false">IF(AND(MBYLLJA_6_7_AUTO!$B$8="PO",POSTIM_NE_DITAR!$D$187&lt;&gt;""),POSTIM_NE_DITAR!H$187,"")</f>
        <v/>
      </c>
      <c r="I485" s="112" t="str">
        <f aca="false">IF(AND(MBYLLJA_6_7_AUTO!$B$8="PO",POSTIM_NE_DITAR!$D$187&lt;&gt;""),POSTIM_NE_DITAR!I$187,"")</f>
        <v/>
      </c>
      <c r="J485" s="113" t="str">
        <f aca="false">IF(TRIM($C485)="","",IF($M485&lt;&gt;"OK",$M485,IF(ABS(SUMIFS($F:$F,$C:$C,TRIM($C485))-SUMIFS($G:$G,$C:$C,TRIM($C485)))&lt;0.005,"OK","ERROR - veprimi nuk balancohet")))</f>
        <v/>
      </c>
      <c r="K485" s="115" t="str">
        <f aca="false">IF($D485="","",IFERROR(VLOOKUP($D485,PLANI_LLOGARIVE!$A:$J,10,FALSE()),FALSE()))</f>
        <v/>
      </c>
      <c r="L485" s="115" t="str">
        <f aca="false">IF($D485="","",IFERROR(VLOOKUP($D485,PLANI_LLOGARIVE!$A:$G,7,FALSE()),"NUK EKZISTON"))</f>
        <v/>
      </c>
      <c r="M485" s="115" t="str">
        <f aca="false">IF($D485="","",IF(COUNTIF(PLANI_LLOGARIVE!$A:$A,$D485)=0,"ERROR - llogaria nuk ekziston",IF($K485=TRUE(),"OK","ERROR - llogari jo-postuese/Header")))</f>
        <v/>
      </c>
      <c r="N485" s="115" t="str">
        <f aca="false">IF(TRIM($C485)="","",IF(ABS(SUMIFS($F:$F,$C:$C,TRIM($C485))-SUMIFS($G:$G,$C:$C,TRIM($C485)))&lt;0.005,"OK","ERROR - debi/kredi"))</f>
        <v/>
      </c>
      <c r="S485" s="116" t="str">
        <f aca="false">IF(D485="","",LEFT(D485&amp;"",2))</f>
        <v/>
      </c>
      <c r="T485" s="101" t="str">
        <f aca="false">IF(D485="","",LEFT(D485&amp;"",3))</f>
        <v/>
      </c>
    </row>
    <row r="486" customFormat="false" ht="14.25" hidden="false" customHeight="true" outlineLevel="0" collapsed="false">
      <c r="A486" s="111" t="str">
        <f aca="false">IF(AND(MBYLLJA_6_7_AUTO!$B$8="PO",POSTIM_NE_DITAR!$D$188&lt;&gt;""),POSTIM_NE_DITAR!A$188,"")</f>
        <v/>
      </c>
      <c r="B486" s="112" t="str">
        <f aca="false">IF(AND(MBYLLJA_6_7_AUTO!$B$8="PO",POSTIM_NE_DITAR!$D$188&lt;&gt;""),POSTIM_NE_DITAR!B$188,"")</f>
        <v/>
      </c>
      <c r="C486" s="112" t="str">
        <f aca="false">IF(AND(MBYLLJA_6_7_AUTO!$B$8="PO",POSTIM_NE_DITAR!$D$188&lt;&gt;""),POSTIM_NE_DITAR!C$188,"")</f>
        <v/>
      </c>
      <c r="D486" s="112" t="str">
        <f aca="false">IF(AND(MBYLLJA_6_7_AUTO!$B$8="PO",POSTIM_NE_DITAR!$D$188&lt;&gt;""),POSTIM_NE_DITAR!D$188,"")</f>
        <v/>
      </c>
      <c r="E486" s="113" t="str">
        <f aca="false">IF(AND(MBYLLJA_6_7_AUTO!$B$8="PO",POSTIM_NE_DITAR!$D$188&lt;&gt;""),POSTIM_NE_DITAR!E$188,"")</f>
        <v/>
      </c>
      <c r="F486" s="114" t="str">
        <f aca="false">IF(AND(MBYLLJA_6_7_AUTO!$B$8="PO",POSTIM_NE_DITAR!$D$188&lt;&gt;""),POSTIM_NE_DITAR!F$188,"")</f>
        <v/>
      </c>
      <c r="G486" s="114" t="str">
        <f aca="false">IF(AND(MBYLLJA_6_7_AUTO!$B$8="PO",POSTIM_NE_DITAR!$D$188&lt;&gt;""),POSTIM_NE_DITAR!G$188,"")</f>
        <v/>
      </c>
      <c r="H486" s="112" t="str">
        <f aca="false">IF(AND(MBYLLJA_6_7_AUTO!$B$8="PO",POSTIM_NE_DITAR!$D$188&lt;&gt;""),POSTIM_NE_DITAR!H$188,"")</f>
        <v/>
      </c>
      <c r="I486" s="112" t="str">
        <f aca="false">IF(AND(MBYLLJA_6_7_AUTO!$B$8="PO",POSTIM_NE_DITAR!$D$188&lt;&gt;""),POSTIM_NE_DITAR!I$188,"")</f>
        <v/>
      </c>
      <c r="J486" s="113" t="str">
        <f aca="false">IF(TRIM($C486)="","",IF($M486&lt;&gt;"OK",$M486,IF(ABS(SUMIFS($F:$F,$C:$C,TRIM($C486))-SUMIFS($G:$G,$C:$C,TRIM($C486)))&lt;0.005,"OK","ERROR - veprimi nuk balancohet")))</f>
        <v/>
      </c>
      <c r="K486" s="115" t="str">
        <f aca="false">IF($D486="","",IFERROR(VLOOKUP($D486,PLANI_LLOGARIVE!$A:$J,10,FALSE()),FALSE()))</f>
        <v/>
      </c>
      <c r="L486" s="115" t="str">
        <f aca="false">IF($D486="","",IFERROR(VLOOKUP($D486,PLANI_LLOGARIVE!$A:$G,7,FALSE()),"NUK EKZISTON"))</f>
        <v/>
      </c>
      <c r="M486" s="115" t="str">
        <f aca="false">IF($D486="","",IF(COUNTIF(PLANI_LLOGARIVE!$A:$A,$D486)=0,"ERROR - llogaria nuk ekziston",IF($K486=TRUE(),"OK","ERROR - llogari jo-postuese/Header")))</f>
        <v/>
      </c>
      <c r="N486" s="115" t="str">
        <f aca="false">IF(TRIM($C486)="","",IF(ABS(SUMIFS($F:$F,$C:$C,TRIM($C486))-SUMIFS($G:$G,$C:$C,TRIM($C486)))&lt;0.005,"OK","ERROR - debi/kredi"))</f>
        <v/>
      </c>
      <c r="S486" s="116" t="str">
        <f aca="false">IF(D486="","",LEFT(D486&amp;"",2))</f>
        <v/>
      </c>
      <c r="T486" s="101" t="str">
        <f aca="false">IF(D486="","",LEFT(D486&amp;"",3))</f>
        <v/>
      </c>
    </row>
    <row r="487" customFormat="false" ht="14.25" hidden="false" customHeight="true" outlineLevel="0" collapsed="false">
      <c r="A487" s="111" t="str">
        <f aca="false">IF(AND(MBYLLJA_6_7_AUTO!$J$107="PO",POSTIM_NE_DITAR!$D$200&lt;&gt;""),POSTIM_NE_DITAR!A$200,"")</f>
        <v/>
      </c>
      <c r="B487" s="112" t="str">
        <f aca="false">IF(AND(MBYLLJA_6_7_AUTO!$J$107="PO",POSTIM_NE_DITAR!$D$200&lt;&gt;""),POSTIM_NE_DITAR!B$200,"")</f>
        <v/>
      </c>
      <c r="C487" s="112" t="str">
        <f aca="false">IF(AND(MBYLLJA_6_7_AUTO!$J$107="PO",POSTIM_NE_DITAR!$D$200&lt;&gt;""),POSTIM_NE_DITAR!C$200,"")</f>
        <v/>
      </c>
      <c r="D487" s="112" t="str">
        <f aca="false">IF(AND(MBYLLJA_6_7_AUTO!$J$107="PO",POSTIM_NE_DITAR!$D$200&lt;&gt;""),POSTIM_NE_DITAR!D$200,"")</f>
        <v/>
      </c>
      <c r="E487" s="113" t="str">
        <f aca="false">IF(AND(MBYLLJA_6_7_AUTO!$J$107="PO",POSTIM_NE_DITAR!$D$200&lt;&gt;""),POSTIM_NE_DITAR!E$200,"")</f>
        <v/>
      </c>
      <c r="F487" s="114" t="str">
        <f aca="false">IF(AND(MBYLLJA_6_7_AUTO!$J$107="PO",POSTIM_NE_DITAR!$D$200&lt;&gt;""),POSTIM_NE_DITAR!F$200,"")</f>
        <v/>
      </c>
      <c r="G487" s="114" t="str">
        <f aca="false">IF(AND(MBYLLJA_6_7_AUTO!$J$107="PO",POSTIM_NE_DITAR!$D$200&lt;&gt;""),POSTIM_NE_DITAR!G$200,"")</f>
        <v/>
      </c>
      <c r="H487" s="112" t="str">
        <f aca="false">IF(AND(MBYLLJA_6_7_AUTO!$J$107="PO",POSTIM_NE_DITAR!$D$200&lt;&gt;""),POSTIM_NE_DITAR!H$200,"")</f>
        <v/>
      </c>
      <c r="I487" s="112" t="str">
        <f aca="false">IF(AND(MBYLLJA_6_7_AUTO!$J$107="PO",POSTIM_NE_DITAR!$D$200&lt;&gt;""),POSTIM_NE_DITAR!I$200,"")</f>
        <v/>
      </c>
      <c r="J487" s="113" t="str">
        <f aca="false">IF(TRIM($C487)="","",IF($M487&lt;&gt;"OK",$M487,IF(ABS(SUMIFS($F:$F,$C:$C,TRIM($C487))-SUMIFS($G:$G,$C:$C,TRIM($C487)))&lt;0.005,"OK","ERROR - veprimi nuk balancohet")))</f>
        <v/>
      </c>
      <c r="K487" s="115" t="str">
        <f aca="false">IF($D487="","",IFERROR(VLOOKUP($D487,PLANI_LLOGARIVE!$A:$J,10,FALSE()),FALSE()))</f>
        <v/>
      </c>
      <c r="L487" s="115" t="str">
        <f aca="false">IF($D487="","",IFERROR(VLOOKUP($D487,PLANI_LLOGARIVE!$A:$G,7,FALSE()),"NUK EKZISTON"))</f>
        <v/>
      </c>
      <c r="M487" s="115" t="str">
        <f aca="false">IF($D487="","",IF(COUNTIF(PLANI_LLOGARIVE!$A:$A,$D487)=0,"ERROR - llogaria nuk ekziston",IF($K487=TRUE(),"OK","ERROR - llogari jo-postuese/Header")))</f>
        <v/>
      </c>
      <c r="N487" s="115" t="str">
        <f aca="false">IF(TRIM($C487)="","",IF(ABS(SUMIFS($F:$F,$C:$C,TRIM($C487))-SUMIFS($G:$G,$C:$C,TRIM($C487)))&lt;0.005,"OK","ERROR - debi/kredi"))</f>
        <v/>
      </c>
      <c r="S487" s="116" t="str">
        <f aca="false">IF(D487="","",LEFT(D487&amp;"",2))</f>
        <v/>
      </c>
      <c r="T487" s="101" t="str">
        <f aca="false">IF(D487="","",LEFT(D487&amp;"",3))</f>
        <v/>
      </c>
    </row>
    <row r="488" customFormat="false" ht="14.25" hidden="false" customHeight="true" outlineLevel="0" collapsed="false">
      <c r="A488" s="111" t="str">
        <f aca="false">IF(AND(MBYLLJA_6_7_AUTO!$J$107="PO",POSTIM_NE_DITAR!$D$201&lt;&gt;""),POSTIM_NE_DITAR!A$201,"")</f>
        <v/>
      </c>
      <c r="B488" s="112" t="str">
        <f aca="false">IF(AND(MBYLLJA_6_7_AUTO!$J$107="PO",POSTIM_NE_DITAR!$D$201&lt;&gt;""),POSTIM_NE_DITAR!B$201,"")</f>
        <v/>
      </c>
      <c r="C488" s="112" t="str">
        <f aca="false">IF(AND(MBYLLJA_6_7_AUTO!$J$107="PO",POSTIM_NE_DITAR!$D$201&lt;&gt;""),POSTIM_NE_DITAR!C$201,"")</f>
        <v/>
      </c>
      <c r="D488" s="112" t="str">
        <f aca="false">IF(AND(MBYLLJA_6_7_AUTO!$J$107="PO",POSTIM_NE_DITAR!$D$201&lt;&gt;""),POSTIM_NE_DITAR!D$201,"")</f>
        <v/>
      </c>
      <c r="E488" s="113" t="str">
        <f aca="false">IF(AND(MBYLLJA_6_7_AUTO!$J$107="PO",POSTIM_NE_DITAR!$D$201&lt;&gt;""),POSTIM_NE_DITAR!E$201,"")</f>
        <v/>
      </c>
      <c r="F488" s="114" t="str">
        <f aca="false">IF(AND(MBYLLJA_6_7_AUTO!$J$107="PO",POSTIM_NE_DITAR!$D$201&lt;&gt;""),POSTIM_NE_DITAR!F$201,"")</f>
        <v/>
      </c>
      <c r="G488" s="114" t="str">
        <f aca="false">IF(AND(MBYLLJA_6_7_AUTO!$J$107="PO",POSTIM_NE_DITAR!$D$201&lt;&gt;""),POSTIM_NE_DITAR!G$201,"")</f>
        <v/>
      </c>
      <c r="H488" s="112" t="str">
        <f aca="false">IF(AND(MBYLLJA_6_7_AUTO!$J$107="PO",POSTIM_NE_DITAR!$D$201&lt;&gt;""),POSTIM_NE_DITAR!H$201,"")</f>
        <v/>
      </c>
      <c r="I488" s="112" t="str">
        <f aca="false">IF(AND(MBYLLJA_6_7_AUTO!$J$107="PO",POSTIM_NE_DITAR!$D$201&lt;&gt;""),POSTIM_NE_DITAR!I$201,"")</f>
        <v/>
      </c>
      <c r="J488" s="113" t="str">
        <f aca="false">IF(TRIM($C488)="","",IF($M488&lt;&gt;"OK",$M488,IF(ABS(SUMIFS($F:$F,$C:$C,TRIM($C488))-SUMIFS($G:$G,$C:$C,TRIM($C488)))&lt;0.005,"OK","ERROR - veprimi nuk balancohet")))</f>
        <v/>
      </c>
      <c r="K488" s="115" t="str">
        <f aca="false">IF($D488="","",IFERROR(VLOOKUP($D488,PLANI_LLOGARIVE!$A:$J,10,FALSE()),FALSE()))</f>
        <v/>
      </c>
      <c r="L488" s="115" t="str">
        <f aca="false">IF($D488="","",IFERROR(VLOOKUP($D488,PLANI_LLOGARIVE!$A:$G,7,FALSE()),"NUK EKZISTON"))</f>
        <v/>
      </c>
      <c r="M488" s="115" t="str">
        <f aca="false">IF($D488="","",IF(COUNTIF(PLANI_LLOGARIVE!$A:$A,$D488)=0,"ERROR - llogaria nuk ekziston",IF($K488=TRUE(),"OK","ERROR - llogari jo-postuese/Header")))</f>
        <v/>
      </c>
      <c r="N488" s="115" t="str">
        <f aca="false">IF(TRIM($C488)="","",IF(ABS(SUMIFS($F:$F,$C:$C,TRIM($C488))-SUMIFS($G:$G,$C:$C,TRIM($C488)))&lt;0.005,"OK","ERROR - debi/kredi"))</f>
        <v/>
      </c>
      <c r="S488" s="116" t="str">
        <f aca="false">IF(D488="","",LEFT(D488&amp;"",2))</f>
        <v/>
      </c>
      <c r="T488" s="101" t="str">
        <f aca="false">IF(D488="","",LEFT(D488&amp;"",3))</f>
        <v/>
      </c>
    </row>
    <row r="489" customFormat="false" ht="14.25" hidden="false" customHeight="true" outlineLevel="0" collapsed="false">
      <c r="A489" s="117" t="str">
        <f aca="false">IF(AND(DITAR_MBYLLJE_AUTO!$M$2="PO",DITAR_MBYLLJE_AUTO!$G$4="PO",DITAR_MBYLLJE_AUTO!$F$4&gt;0),MBYLLJA_6_7_AUTO!$B$7,"")</f>
        <v/>
      </c>
      <c r="B489" s="118" t="str">
        <f aca="false">IF(AND(DITAR_MBYLLJE_AUTO!$M$2="PO",DITAR_MBYLLJE_AUTO!$G$4="PO",DITAR_MBYLLJE_AUTO!$F$4&gt;0),9001,"")</f>
        <v/>
      </c>
      <c r="C489" s="118" t="str">
        <f aca="false">IF(AND(DITAR_MBYLLJE_AUTO!$M$2="PO",DITAR_MBYLLJE_AUTO!$G$4="PO",DITAR_MBYLLJE_AUTO!$F$4&gt;0),"MB-REG-"&amp;TEXT(1,"00"),"")</f>
        <v/>
      </c>
      <c r="D489" s="118" t="str">
        <f aca="false">IF(AND(DITAR_MBYLLJE_AUTO!$M$2="PO",DITAR_MBYLLJE_AUTO!$G$4="PO",DITAR_MBYLLJE_AUTO!$F$4&gt;0),DITAR_MBYLLJE_AUTO!$D$4&amp;"","")</f>
        <v/>
      </c>
      <c r="E489" s="118" t="str">
        <f aca="false">IF($D489="","",IFERROR(VLOOKUP($D489,PLANI_LLOGARIVE!$A:$B,2,FALSE()),""))</f>
        <v/>
      </c>
      <c r="F489" s="119" t="str">
        <f aca="false">IF(AND(DITAR_MBYLLJE_AUTO!$M$2="PO",DITAR_MBYLLJE_AUTO!$G$4="PO",DITAR_MBYLLJE_AUTO!$F$4&gt;0),DITAR_MBYLLJE_AUTO!$F$4,"")</f>
        <v/>
      </c>
      <c r="G489" s="120"/>
      <c r="H489" s="118" t="str">
        <f aca="false">IF(AND(DITAR_MBYLLJE_AUTO!$M$2="PO",DITAR_MBYLLJE_AUTO!$G$4="PO",DITAR_MBYLLJE_AUTO!$F$4&gt;0),DITAR_MBYLLJE_AUTO!$B$4,"")</f>
        <v/>
      </c>
      <c r="I489" s="118" t="str">
        <f aca="false">IF(AND(DITAR_MBYLLJE_AUTO!$M$2="PO",DITAR_MBYLLJE_AUTO!$G$4="PO",DITAR_MBYLLJE_AUTO!$F$4&gt;0),DITAR_MBYLLJE_AUTO!$C$4,"")</f>
        <v/>
      </c>
      <c r="J489" s="118" t="str">
        <f aca="false">IF(TRIM($C489)="","",IF($M489&lt;&gt;"OK",$M489,IF(ABS(SUMIFS($F:$F,$C:$C,TRIM($C489))-SUMIFS($G:$G,$C:$C,TRIM($C489)))&lt;0.005,"OK","ERROR - veprimi nuk balancohet")))</f>
        <v/>
      </c>
      <c r="K489" s="118" t="str">
        <f aca="false">IF($D489="","",IFERROR(VLOOKUP($D489,PLANI_LLOGARIVE!$A:$J,10,FALSE()),FALSE()))</f>
        <v/>
      </c>
      <c r="L489" s="118" t="str">
        <f aca="false">IF($D489="","",IFERROR(VLOOKUP($D489,PLANI_LLOGARIVE!$A:$G,7,FALSE()),"NUK EKZISTON"))</f>
        <v/>
      </c>
      <c r="M489" s="118" t="str">
        <f aca="false">IF($D489="","",IF(COUNTIF(PLANI_LLOGARIVE!$A:$A,$D489)=0,"ERROR - llogaria nuk ekziston",IF($K489=TRUE(),"OK","ERROR - llogari jo-postuese/Header")))</f>
        <v/>
      </c>
      <c r="N489" s="121" t="str">
        <f aca="false">IF(TRIM($C489)="","",IF(ABS(SUMIFS($F:$F,$C:$C,TRIM($C489))-SUMIFS($G:$G,$C:$C,TRIM($C489)))&lt;0.005,"OK","ERROR - debi/kredi"))</f>
        <v/>
      </c>
      <c r="S489" s="116" t="str">
        <f aca="false">IF(D489="","",LEFT(D489&amp;"",2))</f>
        <v/>
      </c>
      <c r="T489" s="101" t="str">
        <f aca="false">IF(D489="","",LEFT(D489&amp;"",3))</f>
        <v/>
      </c>
    </row>
    <row r="490" customFormat="false" ht="14.25" hidden="false" customHeight="true" outlineLevel="0" collapsed="false">
      <c r="A490" s="122" t="str">
        <f aca="false">IF(AND(DITAR_MBYLLJE_AUTO!$M$2="PO",DITAR_MBYLLJE_AUTO!$G$4="PO",DITAR_MBYLLJE_AUTO!$F$4&gt;0),MBYLLJA_6_7_AUTO!$B$7,"")</f>
        <v/>
      </c>
      <c r="B490" s="123" t="str">
        <f aca="false">IF(AND(DITAR_MBYLLJE_AUTO!$M$2="PO",DITAR_MBYLLJE_AUTO!$G$4="PO",DITAR_MBYLLJE_AUTO!$F$4&gt;0),9001,"")</f>
        <v/>
      </c>
      <c r="C490" s="123" t="str">
        <f aca="false">IF(AND(DITAR_MBYLLJE_AUTO!$M$2="PO",DITAR_MBYLLJE_AUTO!$G$4="PO",DITAR_MBYLLJE_AUTO!$F$4&gt;0),"MB-REG-"&amp;TEXT(1,"00"),"")</f>
        <v/>
      </c>
      <c r="D490" s="123" t="str">
        <f aca="false">IF(AND(DITAR_MBYLLJE_AUTO!$M$2="PO",DITAR_MBYLLJE_AUTO!$G$4="PO",DITAR_MBYLLJE_AUTO!$F$4&gt;0),DITAR_MBYLLJE_AUTO!$E$4&amp;"","")</f>
        <v/>
      </c>
      <c r="E490" s="123" t="str">
        <f aca="false">IF($D490="","",IFERROR(VLOOKUP($D490,PLANI_LLOGARIVE!$A:$B,2,FALSE()),""))</f>
        <v/>
      </c>
      <c r="F490" s="124"/>
      <c r="G490" s="125" t="str">
        <f aca="false">IF(AND(DITAR_MBYLLJE_AUTO!$M$2="PO",DITAR_MBYLLJE_AUTO!$G$4="PO",DITAR_MBYLLJE_AUTO!$F$4&gt;0),DITAR_MBYLLJE_AUTO!$F$4,"")</f>
        <v/>
      </c>
      <c r="H490" s="123" t="str">
        <f aca="false">IF(AND(DITAR_MBYLLJE_AUTO!$M$2="PO",DITAR_MBYLLJE_AUTO!$G$4="PO",DITAR_MBYLLJE_AUTO!$F$4&gt;0),DITAR_MBYLLJE_AUTO!$B$4,"")</f>
        <v/>
      </c>
      <c r="I490" s="123" t="str">
        <f aca="false">IF(AND(DITAR_MBYLLJE_AUTO!$M$2="PO",DITAR_MBYLLJE_AUTO!$G$4="PO",DITAR_MBYLLJE_AUTO!$F$4&gt;0),DITAR_MBYLLJE_AUTO!$C$4,"")</f>
        <v/>
      </c>
      <c r="J490" s="123" t="str">
        <f aca="false">IF(TRIM($C490)="","",IF($M490&lt;&gt;"OK",$M490,IF(ABS(SUMIFS($F:$F,$C:$C,TRIM($C490))-SUMIFS($G:$G,$C:$C,TRIM($C490)))&lt;0.005,"OK","ERROR - veprimi nuk balancohet")))</f>
        <v/>
      </c>
      <c r="K490" s="123" t="str">
        <f aca="false">IF($D490="","",IFERROR(VLOOKUP($D490,PLANI_LLOGARIVE!$A:$J,10,FALSE()),FALSE()))</f>
        <v/>
      </c>
      <c r="L490" s="123" t="str">
        <f aca="false">IF($D490="","",IFERROR(VLOOKUP($D490,PLANI_LLOGARIVE!$A:$G,7,FALSE()),"NUK EKZISTON"))</f>
        <v/>
      </c>
      <c r="M490" s="123" t="str">
        <f aca="false">IF($D490="","",IF(COUNTIF(PLANI_LLOGARIVE!$A:$A,$D490)=0,"ERROR - llogaria nuk ekziston",IF($K490=TRUE(),"OK","ERROR - llogari jo-postuese/Header")))</f>
        <v/>
      </c>
      <c r="N490" s="126" t="str">
        <f aca="false">IF(TRIM($C490)="","",IF(ABS(SUMIFS($F:$F,$C:$C,TRIM($C490))-SUMIFS($G:$G,$C:$C,TRIM($C490)))&lt;0.005,"OK","ERROR - debi/kredi"))</f>
        <v/>
      </c>
      <c r="S490" s="116" t="str">
        <f aca="false">IF(D490="","",LEFT(D490&amp;"",2))</f>
        <v/>
      </c>
      <c r="T490" s="101" t="str">
        <f aca="false">IF(D490="","",LEFT(D490&amp;"",3))</f>
        <v/>
      </c>
    </row>
    <row r="491" customFormat="false" ht="14.25" hidden="false" customHeight="true" outlineLevel="0" collapsed="false">
      <c r="A491" s="122" t="str">
        <f aca="false">IF(AND(DITAR_MBYLLJE_AUTO!$M$2="PO",DITAR_MBYLLJE_AUTO!$G$5="PO",DITAR_MBYLLJE_AUTO!$F$5&gt;0),MBYLLJA_6_7_AUTO!$B$7,"")</f>
        <v/>
      </c>
      <c r="B491" s="123" t="str">
        <f aca="false">IF(AND(DITAR_MBYLLJE_AUTO!$M$2="PO",DITAR_MBYLLJE_AUTO!$G$5="PO",DITAR_MBYLLJE_AUTO!$F$5&gt;0),9002,"")</f>
        <v/>
      </c>
      <c r="C491" s="123" t="str">
        <f aca="false">IF(AND(DITAR_MBYLLJE_AUTO!$M$2="PO",DITAR_MBYLLJE_AUTO!$G$5="PO",DITAR_MBYLLJE_AUTO!$F$5&gt;0),"MB-REG-"&amp;TEXT(2,"00"),"")</f>
        <v/>
      </c>
      <c r="D491" s="123" t="str">
        <f aca="false">IF(AND(DITAR_MBYLLJE_AUTO!$M$2="PO",DITAR_MBYLLJE_AUTO!$G$5="PO",DITAR_MBYLLJE_AUTO!$F$5&gt;0),DITAR_MBYLLJE_AUTO!$D$5&amp;"","")</f>
        <v/>
      </c>
      <c r="E491" s="123" t="str">
        <f aca="false">IF($D491="","",IFERROR(VLOOKUP($D491,PLANI_LLOGARIVE!$A:$B,2,FALSE()),""))</f>
        <v/>
      </c>
      <c r="F491" s="125" t="str">
        <f aca="false">IF(AND(DITAR_MBYLLJE_AUTO!$M$2="PO",DITAR_MBYLLJE_AUTO!$G$5="PO",DITAR_MBYLLJE_AUTO!$F$5&gt;0),DITAR_MBYLLJE_AUTO!$F$5,"")</f>
        <v/>
      </c>
      <c r="G491" s="124"/>
      <c r="H491" s="123" t="str">
        <f aca="false">IF(AND(DITAR_MBYLLJE_AUTO!$M$2="PO",DITAR_MBYLLJE_AUTO!$G$5="PO",DITAR_MBYLLJE_AUTO!$F$5&gt;0),DITAR_MBYLLJE_AUTO!$B$5,"")</f>
        <v/>
      </c>
      <c r="I491" s="123" t="str">
        <f aca="false">IF(AND(DITAR_MBYLLJE_AUTO!$M$2="PO",DITAR_MBYLLJE_AUTO!$G$5="PO",DITAR_MBYLLJE_AUTO!$F$5&gt;0),DITAR_MBYLLJE_AUTO!$C$5,"")</f>
        <v/>
      </c>
      <c r="J491" s="123" t="str">
        <f aca="false">IF(TRIM($C491)="","",IF($M491&lt;&gt;"OK",$M491,IF(ABS(SUMIFS($F:$F,$C:$C,TRIM($C491))-SUMIFS($G:$G,$C:$C,TRIM($C491)))&lt;0.005,"OK","ERROR - veprimi nuk balancohet")))</f>
        <v/>
      </c>
      <c r="K491" s="123" t="str">
        <f aca="false">IF($D491="","",IFERROR(VLOOKUP($D491,PLANI_LLOGARIVE!$A:$J,10,FALSE()),FALSE()))</f>
        <v/>
      </c>
      <c r="L491" s="123" t="str">
        <f aca="false">IF($D491="","",IFERROR(VLOOKUP($D491,PLANI_LLOGARIVE!$A:$G,7,FALSE()),"NUK EKZISTON"))</f>
        <v/>
      </c>
      <c r="M491" s="123" t="str">
        <f aca="false">IF($D491="","",IF(COUNTIF(PLANI_LLOGARIVE!$A:$A,$D491)=0,"ERROR - llogaria nuk ekziston",IF($K491=TRUE(),"OK","ERROR - llogari jo-postuese/Header")))</f>
        <v/>
      </c>
      <c r="N491" s="126" t="str">
        <f aca="false">IF(TRIM($C491)="","",IF(ABS(SUMIFS($F:$F,$C:$C,TRIM($C491))-SUMIFS($G:$G,$C:$C,TRIM($C491)))&lt;0.005,"OK","ERROR - debi/kredi"))</f>
        <v/>
      </c>
      <c r="S491" s="116" t="str">
        <f aca="false">IF(D491="","",LEFT(D491&amp;"",2))</f>
        <v/>
      </c>
      <c r="T491" s="101" t="str">
        <f aca="false">IF(D491="","",LEFT(D491&amp;"",3))</f>
        <v/>
      </c>
    </row>
    <row r="492" customFormat="false" ht="14.25" hidden="false" customHeight="true" outlineLevel="0" collapsed="false">
      <c r="A492" s="122" t="str">
        <f aca="false">IF(AND(DITAR_MBYLLJE_AUTO!$M$2="PO",DITAR_MBYLLJE_AUTO!$G$5="PO",DITAR_MBYLLJE_AUTO!$F$5&gt;0),MBYLLJA_6_7_AUTO!$B$7,"")</f>
        <v/>
      </c>
      <c r="B492" s="123" t="str">
        <f aca="false">IF(AND(DITAR_MBYLLJE_AUTO!$M$2="PO",DITAR_MBYLLJE_AUTO!$G$5="PO",DITAR_MBYLLJE_AUTO!$F$5&gt;0),9002,"")</f>
        <v/>
      </c>
      <c r="C492" s="123" t="str">
        <f aca="false">IF(AND(DITAR_MBYLLJE_AUTO!$M$2="PO",DITAR_MBYLLJE_AUTO!$G$5="PO",DITAR_MBYLLJE_AUTO!$F$5&gt;0),"MB-REG-"&amp;TEXT(2,"00"),"")</f>
        <v/>
      </c>
      <c r="D492" s="123" t="str">
        <f aca="false">IF(AND(DITAR_MBYLLJE_AUTO!$M$2="PO",DITAR_MBYLLJE_AUTO!$G$5="PO",DITAR_MBYLLJE_AUTO!$F$5&gt;0),DITAR_MBYLLJE_AUTO!$E$5&amp;"","")</f>
        <v/>
      </c>
      <c r="E492" s="123" t="str">
        <f aca="false">IF($D492="","",IFERROR(VLOOKUP($D492,PLANI_LLOGARIVE!$A:$B,2,FALSE()),""))</f>
        <v/>
      </c>
      <c r="F492" s="124"/>
      <c r="G492" s="125" t="str">
        <f aca="false">IF(AND(DITAR_MBYLLJE_AUTO!$M$2="PO",DITAR_MBYLLJE_AUTO!$G$5="PO",DITAR_MBYLLJE_AUTO!$F$5&gt;0),DITAR_MBYLLJE_AUTO!$F$5,"")</f>
        <v/>
      </c>
      <c r="H492" s="123" t="str">
        <f aca="false">IF(AND(DITAR_MBYLLJE_AUTO!$M$2="PO",DITAR_MBYLLJE_AUTO!$G$5="PO",DITAR_MBYLLJE_AUTO!$F$5&gt;0),DITAR_MBYLLJE_AUTO!$B$5,"")</f>
        <v/>
      </c>
      <c r="I492" s="123" t="str">
        <f aca="false">IF(AND(DITAR_MBYLLJE_AUTO!$M$2="PO",DITAR_MBYLLJE_AUTO!$G$5="PO",DITAR_MBYLLJE_AUTO!$F$5&gt;0),DITAR_MBYLLJE_AUTO!$C$5,"")</f>
        <v/>
      </c>
      <c r="J492" s="123" t="str">
        <f aca="false">IF(TRIM($C492)="","",IF($M492&lt;&gt;"OK",$M492,IF(ABS(SUMIFS($F:$F,$C:$C,TRIM($C492))-SUMIFS($G:$G,$C:$C,TRIM($C492)))&lt;0.005,"OK","ERROR - veprimi nuk balancohet")))</f>
        <v/>
      </c>
      <c r="K492" s="123" t="str">
        <f aca="false">IF($D492="","",IFERROR(VLOOKUP($D492,PLANI_LLOGARIVE!$A:$J,10,FALSE()),FALSE()))</f>
        <v/>
      </c>
      <c r="L492" s="123" t="str">
        <f aca="false">IF($D492="","",IFERROR(VLOOKUP($D492,PLANI_LLOGARIVE!$A:$G,7,FALSE()),"NUK EKZISTON"))</f>
        <v/>
      </c>
      <c r="M492" s="123" t="str">
        <f aca="false">IF($D492="","",IF(COUNTIF(PLANI_LLOGARIVE!$A:$A,$D492)=0,"ERROR - llogaria nuk ekziston",IF($K492=TRUE(),"OK","ERROR - llogari jo-postuese/Header")))</f>
        <v/>
      </c>
      <c r="N492" s="126" t="str">
        <f aca="false">IF(TRIM($C492)="","",IF(ABS(SUMIFS($F:$F,$C:$C,TRIM($C492))-SUMIFS($G:$G,$C:$C,TRIM($C492)))&lt;0.005,"OK","ERROR - debi/kredi"))</f>
        <v/>
      </c>
      <c r="S492" s="116" t="str">
        <f aca="false">IF(D492="","",LEFT(D492&amp;"",2))</f>
        <v/>
      </c>
      <c r="T492" s="101" t="str">
        <f aca="false">IF(D492="","",LEFT(D492&amp;"",3))</f>
        <v/>
      </c>
    </row>
    <row r="493" customFormat="false" ht="14.25" hidden="false" customHeight="true" outlineLevel="0" collapsed="false">
      <c r="A493" s="122" t="str">
        <f aca="false">IF(AND(DITAR_MBYLLJE_AUTO!$M$2="PO",DITAR_MBYLLJE_AUTO!$G$6="PO",DITAR_MBYLLJE_AUTO!$F$6&gt;0),MBYLLJA_6_7_AUTO!$B$7,"")</f>
        <v/>
      </c>
      <c r="B493" s="123" t="str">
        <f aca="false">IF(AND(DITAR_MBYLLJE_AUTO!$M$2="PO",DITAR_MBYLLJE_AUTO!$G$6="PO",DITAR_MBYLLJE_AUTO!$F$6&gt;0),9003,"")</f>
        <v/>
      </c>
      <c r="C493" s="123" t="str">
        <f aca="false">IF(AND(DITAR_MBYLLJE_AUTO!$M$2="PO",DITAR_MBYLLJE_AUTO!$G$6="PO",DITAR_MBYLLJE_AUTO!$F$6&gt;0),"MB-REG-"&amp;TEXT(3,"00"),"")</f>
        <v/>
      </c>
      <c r="D493" s="123" t="str">
        <f aca="false">IF(AND(DITAR_MBYLLJE_AUTO!$M$2="PO",DITAR_MBYLLJE_AUTO!$G$6="PO",DITAR_MBYLLJE_AUTO!$F$6&gt;0),DITAR_MBYLLJE_AUTO!$D$6&amp;"","")</f>
        <v/>
      </c>
      <c r="E493" s="123" t="str">
        <f aca="false">IF($D493="","",IFERROR(VLOOKUP($D493,PLANI_LLOGARIVE!$A:$B,2,FALSE()),""))</f>
        <v/>
      </c>
      <c r="F493" s="125" t="str">
        <f aca="false">IF(AND(DITAR_MBYLLJE_AUTO!$M$2="PO",DITAR_MBYLLJE_AUTO!$G$6="PO",DITAR_MBYLLJE_AUTO!$F$6&gt;0),DITAR_MBYLLJE_AUTO!$F$6,"")</f>
        <v/>
      </c>
      <c r="G493" s="124"/>
      <c r="H493" s="123" t="str">
        <f aca="false">IF(AND(DITAR_MBYLLJE_AUTO!$M$2="PO",DITAR_MBYLLJE_AUTO!$G$6="PO",DITAR_MBYLLJE_AUTO!$F$6&gt;0),DITAR_MBYLLJE_AUTO!$B$6,"")</f>
        <v/>
      </c>
      <c r="I493" s="123" t="str">
        <f aca="false">IF(AND(DITAR_MBYLLJE_AUTO!$M$2="PO",DITAR_MBYLLJE_AUTO!$G$6="PO",DITAR_MBYLLJE_AUTO!$F$6&gt;0),DITAR_MBYLLJE_AUTO!$C$6,"")</f>
        <v/>
      </c>
      <c r="J493" s="123" t="str">
        <f aca="false">IF(TRIM($C493)="","",IF($M493&lt;&gt;"OK",$M493,IF(ABS(SUMIFS($F:$F,$C:$C,TRIM($C493))-SUMIFS($G:$G,$C:$C,TRIM($C493)))&lt;0.005,"OK","ERROR - veprimi nuk balancohet")))</f>
        <v/>
      </c>
      <c r="K493" s="123" t="str">
        <f aca="false">IF($D493="","",IFERROR(VLOOKUP($D493,PLANI_LLOGARIVE!$A:$J,10,FALSE()),FALSE()))</f>
        <v/>
      </c>
      <c r="L493" s="123" t="str">
        <f aca="false">IF($D493="","",IFERROR(VLOOKUP($D493,PLANI_LLOGARIVE!$A:$G,7,FALSE()),"NUK EKZISTON"))</f>
        <v/>
      </c>
      <c r="M493" s="123" t="str">
        <f aca="false">IF($D493="","",IF(COUNTIF(PLANI_LLOGARIVE!$A:$A,$D493)=0,"ERROR - llogaria nuk ekziston",IF($K493=TRUE(),"OK","ERROR - llogari jo-postuese/Header")))</f>
        <v/>
      </c>
      <c r="N493" s="126" t="str">
        <f aca="false">IF(TRIM($C493)="","",IF(ABS(SUMIFS($F:$F,$C:$C,TRIM($C493))-SUMIFS($G:$G,$C:$C,TRIM($C493)))&lt;0.005,"OK","ERROR - debi/kredi"))</f>
        <v/>
      </c>
      <c r="S493" s="116" t="str">
        <f aca="false">IF(D493="","",LEFT(D493&amp;"",2))</f>
        <v/>
      </c>
      <c r="T493" s="101" t="str">
        <f aca="false">IF(D493="","",LEFT(D493&amp;"",3))</f>
        <v/>
      </c>
    </row>
    <row r="494" customFormat="false" ht="14.25" hidden="false" customHeight="true" outlineLevel="0" collapsed="false">
      <c r="A494" s="122" t="str">
        <f aca="false">IF(AND(DITAR_MBYLLJE_AUTO!$M$2="PO",DITAR_MBYLLJE_AUTO!$G$6="PO",DITAR_MBYLLJE_AUTO!$F$6&gt;0),MBYLLJA_6_7_AUTO!$B$7,"")</f>
        <v/>
      </c>
      <c r="B494" s="123" t="str">
        <f aca="false">IF(AND(DITAR_MBYLLJE_AUTO!$M$2="PO",DITAR_MBYLLJE_AUTO!$G$6="PO",DITAR_MBYLLJE_AUTO!$F$6&gt;0),9003,"")</f>
        <v/>
      </c>
      <c r="C494" s="123" t="str">
        <f aca="false">IF(AND(DITAR_MBYLLJE_AUTO!$M$2="PO",DITAR_MBYLLJE_AUTO!$G$6="PO",DITAR_MBYLLJE_AUTO!$F$6&gt;0),"MB-REG-"&amp;TEXT(3,"00"),"")</f>
        <v/>
      </c>
      <c r="D494" s="123" t="str">
        <f aca="false">IF(AND(DITAR_MBYLLJE_AUTO!$M$2="PO",DITAR_MBYLLJE_AUTO!$G$6="PO",DITAR_MBYLLJE_AUTO!$F$6&gt;0),DITAR_MBYLLJE_AUTO!$E$6&amp;"","")</f>
        <v/>
      </c>
      <c r="E494" s="123" t="str">
        <f aca="false">IF($D494="","",IFERROR(VLOOKUP($D494,PLANI_LLOGARIVE!$A:$B,2,FALSE()),""))</f>
        <v/>
      </c>
      <c r="F494" s="124"/>
      <c r="G494" s="125" t="str">
        <f aca="false">IF(AND(DITAR_MBYLLJE_AUTO!$M$2="PO",DITAR_MBYLLJE_AUTO!$G$6="PO",DITAR_MBYLLJE_AUTO!$F$6&gt;0),DITAR_MBYLLJE_AUTO!$F$6,"")</f>
        <v/>
      </c>
      <c r="H494" s="123" t="str">
        <f aca="false">IF(AND(DITAR_MBYLLJE_AUTO!$M$2="PO",DITAR_MBYLLJE_AUTO!$G$6="PO",DITAR_MBYLLJE_AUTO!$F$6&gt;0),DITAR_MBYLLJE_AUTO!$B$6,"")</f>
        <v/>
      </c>
      <c r="I494" s="123" t="str">
        <f aca="false">IF(AND(DITAR_MBYLLJE_AUTO!$M$2="PO",DITAR_MBYLLJE_AUTO!$G$6="PO",DITAR_MBYLLJE_AUTO!$F$6&gt;0),DITAR_MBYLLJE_AUTO!$C$6,"")</f>
        <v/>
      </c>
      <c r="J494" s="123" t="str">
        <f aca="false">IF(TRIM($C494)="","",IF($M494&lt;&gt;"OK",$M494,IF(ABS(SUMIFS($F:$F,$C:$C,TRIM($C494))-SUMIFS($G:$G,$C:$C,TRIM($C494)))&lt;0.005,"OK","ERROR - veprimi nuk balancohet")))</f>
        <v/>
      </c>
      <c r="K494" s="123" t="str">
        <f aca="false">IF($D494="","",IFERROR(VLOOKUP($D494,PLANI_LLOGARIVE!$A:$J,10,FALSE()),FALSE()))</f>
        <v/>
      </c>
      <c r="L494" s="123" t="str">
        <f aca="false">IF($D494="","",IFERROR(VLOOKUP($D494,PLANI_LLOGARIVE!$A:$G,7,FALSE()),"NUK EKZISTON"))</f>
        <v/>
      </c>
      <c r="M494" s="123" t="str">
        <f aca="false">IF($D494="","",IF(COUNTIF(PLANI_LLOGARIVE!$A:$A,$D494)=0,"ERROR - llogaria nuk ekziston",IF($K494=TRUE(),"OK","ERROR - llogari jo-postuese/Header")))</f>
        <v/>
      </c>
      <c r="N494" s="126" t="str">
        <f aca="false">IF(TRIM($C494)="","",IF(ABS(SUMIFS($F:$F,$C:$C,TRIM($C494))-SUMIFS($G:$G,$C:$C,TRIM($C494)))&lt;0.005,"OK","ERROR - debi/kredi"))</f>
        <v/>
      </c>
      <c r="S494" s="116" t="str">
        <f aca="false">IF(D494="","",LEFT(D494&amp;"",2))</f>
        <v/>
      </c>
      <c r="T494" s="101" t="str">
        <f aca="false">IF(D494="","",LEFT(D494&amp;"",3))</f>
        <v/>
      </c>
    </row>
    <row r="495" customFormat="false" ht="14.25" hidden="false" customHeight="true" outlineLevel="0" collapsed="false">
      <c r="A495" s="122" t="str">
        <f aca="false">IF(AND(DITAR_MBYLLJE_AUTO!$M$2="PO",DITAR_MBYLLJE_AUTO!$G$7="PO",DITAR_MBYLLJE_AUTO!$F$7&gt;0),MBYLLJA_6_7_AUTO!$B$7,"")</f>
        <v/>
      </c>
      <c r="B495" s="123" t="str">
        <f aca="false">IF(AND(DITAR_MBYLLJE_AUTO!$M$2="PO",DITAR_MBYLLJE_AUTO!$G$7="PO",DITAR_MBYLLJE_AUTO!$F$7&gt;0),9004,"")</f>
        <v/>
      </c>
      <c r="C495" s="123" t="str">
        <f aca="false">IF(AND(DITAR_MBYLLJE_AUTO!$M$2="PO",DITAR_MBYLLJE_AUTO!$G$7="PO",DITAR_MBYLLJE_AUTO!$F$7&gt;0),"MB-REG-"&amp;TEXT(4,"00"),"")</f>
        <v/>
      </c>
      <c r="D495" s="123" t="str">
        <f aca="false">IF(AND(DITAR_MBYLLJE_AUTO!$M$2="PO",DITAR_MBYLLJE_AUTO!$G$7="PO",DITAR_MBYLLJE_AUTO!$F$7&gt;0),DITAR_MBYLLJE_AUTO!$D$7&amp;"","")</f>
        <v/>
      </c>
      <c r="E495" s="123" t="str">
        <f aca="false">IF($D495="","",IFERROR(VLOOKUP($D495,PLANI_LLOGARIVE!$A:$B,2,FALSE()),""))</f>
        <v/>
      </c>
      <c r="F495" s="125" t="str">
        <f aca="false">IF(AND(DITAR_MBYLLJE_AUTO!$M$2="PO",DITAR_MBYLLJE_AUTO!$G$7="PO",DITAR_MBYLLJE_AUTO!$F$7&gt;0),DITAR_MBYLLJE_AUTO!$F$7,"")</f>
        <v/>
      </c>
      <c r="G495" s="124"/>
      <c r="H495" s="123" t="str">
        <f aca="false">IF(AND(DITAR_MBYLLJE_AUTO!$M$2="PO",DITAR_MBYLLJE_AUTO!$G$7="PO",DITAR_MBYLLJE_AUTO!$F$7&gt;0),DITAR_MBYLLJE_AUTO!$B$7,"")</f>
        <v/>
      </c>
      <c r="I495" s="123" t="str">
        <f aca="false">IF(AND(DITAR_MBYLLJE_AUTO!$M$2="PO",DITAR_MBYLLJE_AUTO!$G$7="PO",DITAR_MBYLLJE_AUTO!$F$7&gt;0),DITAR_MBYLLJE_AUTO!$C$7,"")</f>
        <v/>
      </c>
      <c r="J495" s="123" t="str">
        <f aca="false">IF(TRIM($C495)="","",IF($M495&lt;&gt;"OK",$M495,IF(ABS(SUMIFS($F:$F,$C:$C,TRIM($C495))-SUMIFS($G:$G,$C:$C,TRIM($C495)))&lt;0.005,"OK","ERROR - veprimi nuk balancohet")))</f>
        <v/>
      </c>
      <c r="K495" s="123" t="str">
        <f aca="false">IF($D495="","",IFERROR(VLOOKUP($D495,PLANI_LLOGARIVE!$A:$J,10,FALSE()),FALSE()))</f>
        <v/>
      </c>
      <c r="L495" s="123" t="str">
        <f aca="false">IF($D495="","",IFERROR(VLOOKUP($D495,PLANI_LLOGARIVE!$A:$G,7,FALSE()),"NUK EKZISTON"))</f>
        <v/>
      </c>
      <c r="M495" s="123" t="str">
        <f aca="false">IF($D495="","",IF(COUNTIF(PLANI_LLOGARIVE!$A:$A,$D495)=0,"ERROR - llogaria nuk ekziston",IF($K495=TRUE(),"OK","ERROR - llogari jo-postuese/Header")))</f>
        <v/>
      </c>
      <c r="N495" s="126" t="str">
        <f aca="false">IF(TRIM($C495)="","",IF(ABS(SUMIFS($F:$F,$C:$C,TRIM($C495))-SUMIFS($G:$G,$C:$C,TRIM($C495)))&lt;0.005,"OK","ERROR - debi/kredi"))</f>
        <v/>
      </c>
      <c r="S495" s="116" t="str">
        <f aca="false">IF(D495="","",LEFT(D495&amp;"",2))</f>
        <v/>
      </c>
      <c r="T495" s="101" t="str">
        <f aca="false">IF(D495="","",LEFT(D495&amp;"",3))</f>
        <v/>
      </c>
    </row>
    <row r="496" customFormat="false" ht="14.25" hidden="false" customHeight="true" outlineLevel="0" collapsed="false">
      <c r="A496" s="122" t="str">
        <f aca="false">IF(AND(DITAR_MBYLLJE_AUTO!$M$2="PO",DITAR_MBYLLJE_AUTO!$G$7="PO",DITAR_MBYLLJE_AUTO!$F$7&gt;0),MBYLLJA_6_7_AUTO!$B$7,"")</f>
        <v/>
      </c>
      <c r="B496" s="123" t="str">
        <f aca="false">IF(AND(DITAR_MBYLLJE_AUTO!$M$2="PO",DITAR_MBYLLJE_AUTO!$G$7="PO",DITAR_MBYLLJE_AUTO!$F$7&gt;0),9004,"")</f>
        <v/>
      </c>
      <c r="C496" s="123" t="str">
        <f aca="false">IF(AND(DITAR_MBYLLJE_AUTO!$M$2="PO",DITAR_MBYLLJE_AUTO!$G$7="PO",DITAR_MBYLLJE_AUTO!$F$7&gt;0),"MB-REG-"&amp;TEXT(4,"00"),"")</f>
        <v/>
      </c>
      <c r="D496" s="123" t="str">
        <f aca="false">IF(AND(DITAR_MBYLLJE_AUTO!$M$2="PO",DITAR_MBYLLJE_AUTO!$G$7="PO",DITAR_MBYLLJE_AUTO!$F$7&gt;0),DITAR_MBYLLJE_AUTO!$E$7&amp;"","")</f>
        <v/>
      </c>
      <c r="E496" s="123" t="str">
        <f aca="false">IF($D496="","",IFERROR(VLOOKUP($D496,PLANI_LLOGARIVE!$A:$B,2,FALSE()),""))</f>
        <v/>
      </c>
      <c r="F496" s="124"/>
      <c r="G496" s="125" t="str">
        <f aca="false">IF(AND(DITAR_MBYLLJE_AUTO!$M$2="PO",DITAR_MBYLLJE_AUTO!$G$7="PO",DITAR_MBYLLJE_AUTO!$F$7&gt;0),DITAR_MBYLLJE_AUTO!$F$7,"")</f>
        <v/>
      </c>
      <c r="H496" s="123" t="str">
        <f aca="false">IF(AND(DITAR_MBYLLJE_AUTO!$M$2="PO",DITAR_MBYLLJE_AUTO!$G$7="PO",DITAR_MBYLLJE_AUTO!$F$7&gt;0),DITAR_MBYLLJE_AUTO!$B$7,"")</f>
        <v/>
      </c>
      <c r="I496" s="123" t="str">
        <f aca="false">IF(AND(DITAR_MBYLLJE_AUTO!$M$2="PO",DITAR_MBYLLJE_AUTO!$G$7="PO",DITAR_MBYLLJE_AUTO!$F$7&gt;0),DITAR_MBYLLJE_AUTO!$C$7,"")</f>
        <v/>
      </c>
      <c r="J496" s="123" t="str">
        <f aca="false">IF(TRIM($C496)="","",IF($M496&lt;&gt;"OK",$M496,IF(ABS(SUMIFS($F:$F,$C:$C,TRIM($C496))-SUMIFS($G:$G,$C:$C,TRIM($C496)))&lt;0.005,"OK","ERROR - veprimi nuk balancohet")))</f>
        <v/>
      </c>
      <c r="K496" s="123" t="str">
        <f aca="false">IF($D496="","",IFERROR(VLOOKUP($D496,PLANI_LLOGARIVE!$A:$J,10,FALSE()),FALSE()))</f>
        <v/>
      </c>
      <c r="L496" s="123" t="str">
        <f aca="false">IF($D496="","",IFERROR(VLOOKUP($D496,PLANI_LLOGARIVE!$A:$G,7,FALSE()),"NUK EKZISTON"))</f>
        <v/>
      </c>
      <c r="M496" s="123" t="str">
        <f aca="false">IF($D496="","",IF(COUNTIF(PLANI_LLOGARIVE!$A:$A,$D496)=0,"ERROR - llogaria nuk ekziston",IF($K496=TRUE(),"OK","ERROR - llogari jo-postuese/Header")))</f>
        <v/>
      </c>
      <c r="N496" s="126" t="str">
        <f aca="false">IF(TRIM($C496)="","",IF(ABS(SUMIFS($F:$F,$C:$C,TRIM($C496))-SUMIFS($G:$G,$C:$C,TRIM($C496)))&lt;0.005,"OK","ERROR - debi/kredi"))</f>
        <v/>
      </c>
      <c r="S496" s="116" t="str">
        <f aca="false">IF(D496="","",LEFT(D496&amp;"",2))</f>
        <v/>
      </c>
      <c r="T496" s="101" t="str">
        <f aca="false">IF(D496="","",LEFT(D496&amp;"",3))</f>
        <v/>
      </c>
    </row>
    <row r="497" customFormat="false" ht="14.25" hidden="false" customHeight="true" outlineLevel="0" collapsed="false">
      <c r="A497" s="122" t="str">
        <f aca="false">IF(AND(DITAR_MBYLLJE_AUTO!$M$2="PO",DITAR_MBYLLJE_AUTO!$G$8="PO",DITAR_MBYLLJE_AUTO!$F$8&gt;0),MBYLLJA_6_7_AUTO!$B$7,"")</f>
        <v/>
      </c>
      <c r="B497" s="123" t="str">
        <f aca="false">IF(AND(DITAR_MBYLLJE_AUTO!$M$2="PO",DITAR_MBYLLJE_AUTO!$G$8="PO",DITAR_MBYLLJE_AUTO!$F$8&gt;0),9005,"")</f>
        <v/>
      </c>
      <c r="C497" s="123" t="str">
        <f aca="false">IF(AND(DITAR_MBYLLJE_AUTO!$M$2="PO",DITAR_MBYLLJE_AUTO!$G$8="PO",DITAR_MBYLLJE_AUTO!$F$8&gt;0),"MB-REG-"&amp;TEXT(5,"00"),"")</f>
        <v/>
      </c>
      <c r="D497" s="123" t="str">
        <f aca="false">IF(AND(DITAR_MBYLLJE_AUTO!$M$2="PO",DITAR_MBYLLJE_AUTO!$G$8="PO",DITAR_MBYLLJE_AUTO!$F$8&gt;0),DITAR_MBYLLJE_AUTO!$D$8&amp;"","")</f>
        <v/>
      </c>
      <c r="E497" s="123" t="str">
        <f aca="false">IF($D497="","",IFERROR(VLOOKUP($D497,PLANI_LLOGARIVE!$A:$B,2,FALSE()),""))</f>
        <v/>
      </c>
      <c r="F497" s="125" t="str">
        <f aca="false">IF(AND(DITAR_MBYLLJE_AUTO!$M$2="PO",DITAR_MBYLLJE_AUTO!$G$8="PO",DITAR_MBYLLJE_AUTO!$F$8&gt;0),DITAR_MBYLLJE_AUTO!$F$8,"")</f>
        <v/>
      </c>
      <c r="G497" s="124"/>
      <c r="H497" s="123" t="str">
        <f aca="false">IF(AND(DITAR_MBYLLJE_AUTO!$M$2="PO",DITAR_MBYLLJE_AUTO!$G$8="PO",DITAR_MBYLLJE_AUTO!$F$8&gt;0),DITAR_MBYLLJE_AUTO!$B$8,"")</f>
        <v/>
      </c>
      <c r="I497" s="123" t="str">
        <f aca="false">IF(AND(DITAR_MBYLLJE_AUTO!$M$2="PO",DITAR_MBYLLJE_AUTO!$G$8="PO",DITAR_MBYLLJE_AUTO!$F$8&gt;0),DITAR_MBYLLJE_AUTO!$C$8,"")</f>
        <v/>
      </c>
      <c r="J497" s="123" t="str">
        <f aca="false">IF(TRIM($C497)="","",IF($M497&lt;&gt;"OK",$M497,IF(ABS(SUMIFS($F:$F,$C:$C,TRIM($C497))-SUMIFS($G:$G,$C:$C,TRIM($C497)))&lt;0.005,"OK","ERROR - veprimi nuk balancohet")))</f>
        <v/>
      </c>
      <c r="K497" s="123" t="str">
        <f aca="false">IF($D497="","",IFERROR(VLOOKUP($D497,PLANI_LLOGARIVE!$A:$J,10,FALSE()),FALSE()))</f>
        <v/>
      </c>
      <c r="L497" s="123" t="str">
        <f aca="false">IF($D497="","",IFERROR(VLOOKUP($D497,PLANI_LLOGARIVE!$A:$G,7,FALSE()),"NUK EKZISTON"))</f>
        <v/>
      </c>
      <c r="M497" s="123" t="str">
        <f aca="false">IF($D497="","",IF(COUNTIF(PLANI_LLOGARIVE!$A:$A,$D497)=0,"ERROR - llogaria nuk ekziston",IF($K497=TRUE(),"OK","ERROR - llogari jo-postuese/Header")))</f>
        <v/>
      </c>
      <c r="N497" s="126" t="str">
        <f aca="false">IF(TRIM($C497)="","",IF(ABS(SUMIFS($F:$F,$C:$C,TRIM($C497))-SUMIFS($G:$G,$C:$C,TRIM($C497)))&lt;0.005,"OK","ERROR - debi/kredi"))</f>
        <v/>
      </c>
      <c r="S497" s="116" t="str">
        <f aca="false">IF(D497="","",LEFT(D497&amp;"",2))</f>
        <v/>
      </c>
      <c r="T497" s="101" t="str">
        <f aca="false">IF(D497="","",LEFT(D497&amp;"",3))</f>
        <v/>
      </c>
    </row>
    <row r="498" customFormat="false" ht="14.25" hidden="false" customHeight="true" outlineLevel="0" collapsed="false">
      <c r="A498" s="122" t="str">
        <f aca="false">IF(AND(DITAR_MBYLLJE_AUTO!$M$2="PO",DITAR_MBYLLJE_AUTO!$G$8="PO",DITAR_MBYLLJE_AUTO!$F$8&gt;0),MBYLLJA_6_7_AUTO!$B$7,"")</f>
        <v/>
      </c>
      <c r="B498" s="123" t="str">
        <f aca="false">IF(AND(DITAR_MBYLLJE_AUTO!$M$2="PO",DITAR_MBYLLJE_AUTO!$G$8="PO",DITAR_MBYLLJE_AUTO!$F$8&gt;0),9005,"")</f>
        <v/>
      </c>
      <c r="C498" s="123" t="str">
        <f aca="false">IF(AND(DITAR_MBYLLJE_AUTO!$M$2="PO",DITAR_MBYLLJE_AUTO!$G$8="PO",DITAR_MBYLLJE_AUTO!$F$8&gt;0),"MB-REG-"&amp;TEXT(5,"00"),"")</f>
        <v/>
      </c>
      <c r="D498" s="123" t="str">
        <f aca="false">IF(AND(DITAR_MBYLLJE_AUTO!$M$2="PO",DITAR_MBYLLJE_AUTO!$G$8="PO",DITAR_MBYLLJE_AUTO!$F$8&gt;0),DITAR_MBYLLJE_AUTO!$E$8&amp;"","")</f>
        <v/>
      </c>
      <c r="E498" s="123" t="str">
        <f aca="false">IF($D498="","",IFERROR(VLOOKUP($D498,PLANI_LLOGARIVE!$A:$B,2,FALSE()),""))</f>
        <v/>
      </c>
      <c r="F498" s="124"/>
      <c r="G498" s="125" t="str">
        <f aca="false">IF(AND(DITAR_MBYLLJE_AUTO!$M$2="PO",DITAR_MBYLLJE_AUTO!$G$8="PO",DITAR_MBYLLJE_AUTO!$F$8&gt;0),DITAR_MBYLLJE_AUTO!$F$8,"")</f>
        <v/>
      </c>
      <c r="H498" s="123" t="str">
        <f aca="false">IF(AND(DITAR_MBYLLJE_AUTO!$M$2="PO",DITAR_MBYLLJE_AUTO!$G$8="PO",DITAR_MBYLLJE_AUTO!$F$8&gt;0),DITAR_MBYLLJE_AUTO!$B$8,"")</f>
        <v/>
      </c>
      <c r="I498" s="123" t="str">
        <f aca="false">IF(AND(DITAR_MBYLLJE_AUTO!$M$2="PO",DITAR_MBYLLJE_AUTO!$G$8="PO",DITAR_MBYLLJE_AUTO!$F$8&gt;0),DITAR_MBYLLJE_AUTO!$C$8,"")</f>
        <v/>
      </c>
      <c r="J498" s="123" t="str">
        <f aca="false">IF(TRIM($C498)="","",IF($M498&lt;&gt;"OK",$M498,IF(ABS(SUMIFS($F:$F,$C:$C,TRIM($C498))-SUMIFS($G:$G,$C:$C,TRIM($C498)))&lt;0.005,"OK","ERROR - veprimi nuk balancohet")))</f>
        <v/>
      </c>
      <c r="K498" s="123" t="str">
        <f aca="false">IF($D498="","",IFERROR(VLOOKUP($D498,PLANI_LLOGARIVE!$A:$J,10,FALSE()),FALSE()))</f>
        <v/>
      </c>
      <c r="L498" s="123" t="str">
        <f aca="false">IF($D498="","",IFERROR(VLOOKUP($D498,PLANI_LLOGARIVE!$A:$G,7,FALSE()),"NUK EKZISTON"))</f>
        <v/>
      </c>
      <c r="M498" s="123" t="str">
        <f aca="false">IF($D498="","",IF(COUNTIF(PLANI_LLOGARIVE!$A:$A,$D498)=0,"ERROR - llogaria nuk ekziston",IF($K498=TRUE(),"OK","ERROR - llogari jo-postuese/Header")))</f>
        <v/>
      </c>
      <c r="N498" s="126" t="str">
        <f aca="false">IF(TRIM($C498)="","",IF(ABS(SUMIFS($F:$F,$C:$C,TRIM($C498))-SUMIFS($G:$G,$C:$C,TRIM($C498)))&lt;0.005,"OK","ERROR - debi/kredi"))</f>
        <v/>
      </c>
      <c r="S498" s="116" t="str">
        <f aca="false">IF(D498="","",LEFT(D498&amp;"",2))</f>
        <v/>
      </c>
      <c r="T498" s="101" t="str">
        <f aca="false">IF(D498="","",LEFT(D498&amp;"",3))</f>
        <v/>
      </c>
    </row>
    <row r="499" customFormat="false" ht="14.25" hidden="false" customHeight="true" outlineLevel="0" collapsed="false">
      <c r="A499" s="122" t="str">
        <f aca="false">IF(AND(DITAR_MBYLLJE_AUTO!$M$2="PO",DITAR_MBYLLJE_AUTO!$G$9="PO",DITAR_MBYLLJE_AUTO!$F$9&gt;0),MBYLLJA_6_7_AUTO!$B$7,"")</f>
        <v/>
      </c>
      <c r="B499" s="123" t="str">
        <f aca="false">IF(AND(DITAR_MBYLLJE_AUTO!$M$2="PO",DITAR_MBYLLJE_AUTO!$G$9="PO",DITAR_MBYLLJE_AUTO!$F$9&gt;0),9006,"")</f>
        <v/>
      </c>
      <c r="C499" s="123" t="str">
        <f aca="false">IF(AND(DITAR_MBYLLJE_AUTO!$M$2="PO",DITAR_MBYLLJE_AUTO!$G$9="PO",DITAR_MBYLLJE_AUTO!$F$9&gt;0),"MB-REG-"&amp;TEXT(6,"00"),"")</f>
        <v/>
      </c>
      <c r="D499" s="123" t="str">
        <f aca="false">IF(AND(DITAR_MBYLLJE_AUTO!$M$2="PO",DITAR_MBYLLJE_AUTO!$G$9="PO",DITAR_MBYLLJE_AUTO!$F$9&gt;0),DITAR_MBYLLJE_AUTO!$D$9&amp;"","")</f>
        <v/>
      </c>
      <c r="E499" s="123" t="str">
        <f aca="false">IF($D499="","",IFERROR(VLOOKUP($D499,PLANI_LLOGARIVE!$A:$B,2,FALSE()),""))</f>
        <v/>
      </c>
      <c r="F499" s="125" t="str">
        <f aca="false">IF(AND(DITAR_MBYLLJE_AUTO!$M$2="PO",DITAR_MBYLLJE_AUTO!$G$9="PO",DITAR_MBYLLJE_AUTO!$F$9&gt;0),DITAR_MBYLLJE_AUTO!$F$9,"")</f>
        <v/>
      </c>
      <c r="G499" s="124"/>
      <c r="H499" s="123" t="str">
        <f aca="false">IF(AND(DITAR_MBYLLJE_AUTO!$M$2="PO",DITAR_MBYLLJE_AUTO!$G$9="PO",DITAR_MBYLLJE_AUTO!$F$9&gt;0),DITAR_MBYLLJE_AUTO!$B$9,"")</f>
        <v/>
      </c>
      <c r="I499" s="123" t="str">
        <f aca="false">IF(AND(DITAR_MBYLLJE_AUTO!$M$2="PO",DITAR_MBYLLJE_AUTO!$G$9="PO",DITAR_MBYLLJE_AUTO!$F$9&gt;0),DITAR_MBYLLJE_AUTO!$C$9,"")</f>
        <v/>
      </c>
      <c r="J499" s="123" t="str">
        <f aca="false">IF(TRIM($C499)="","",IF($M499&lt;&gt;"OK",$M499,IF(ABS(SUMIFS($F:$F,$C:$C,TRIM($C499))-SUMIFS($G:$G,$C:$C,TRIM($C499)))&lt;0.005,"OK","ERROR - veprimi nuk balancohet")))</f>
        <v/>
      </c>
      <c r="K499" s="123" t="str">
        <f aca="false">IF($D499="","",IFERROR(VLOOKUP($D499,PLANI_LLOGARIVE!$A:$J,10,FALSE()),FALSE()))</f>
        <v/>
      </c>
      <c r="L499" s="123" t="str">
        <f aca="false">IF($D499="","",IFERROR(VLOOKUP($D499,PLANI_LLOGARIVE!$A:$G,7,FALSE()),"NUK EKZISTON"))</f>
        <v/>
      </c>
      <c r="M499" s="123" t="str">
        <f aca="false">IF($D499="","",IF(COUNTIF(PLANI_LLOGARIVE!$A:$A,$D499)=0,"ERROR - llogaria nuk ekziston",IF($K499=TRUE(),"OK","ERROR - llogari jo-postuese/Header")))</f>
        <v/>
      </c>
      <c r="N499" s="126" t="str">
        <f aca="false">IF(TRIM($C499)="","",IF(ABS(SUMIFS($F:$F,$C:$C,TRIM($C499))-SUMIFS($G:$G,$C:$C,TRIM($C499)))&lt;0.005,"OK","ERROR - debi/kredi"))</f>
        <v/>
      </c>
      <c r="S499" s="116" t="str">
        <f aca="false">IF(D499="","",LEFT(D499&amp;"",2))</f>
        <v/>
      </c>
      <c r="T499" s="101" t="str">
        <f aca="false">IF(D499="","",LEFT(D499&amp;"",3))</f>
        <v/>
      </c>
    </row>
    <row r="500" customFormat="false" ht="14.25" hidden="false" customHeight="true" outlineLevel="0" collapsed="false">
      <c r="A500" s="122" t="str">
        <f aca="false">IF(AND(DITAR_MBYLLJE_AUTO!$M$2="PO",DITAR_MBYLLJE_AUTO!$G$9="PO",DITAR_MBYLLJE_AUTO!$F$9&gt;0),MBYLLJA_6_7_AUTO!$B$7,"")</f>
        <v/>
      </c>
      <c r="B500" s="123" t="str">
        <f aca="false">IF(AND(DITAR_MBYLLJE_AUTO!$M$2="PO",DITAR_MBYLLJE_AUTO!$G$9="PO",DITAR_MBYLLJE_AUTO!$F$9&gt;0),9006,"")</f>
        <v/>
      </c>
      <c r="C500" s="123" t="str">
        <f aca="false">IF(AND(DITAR_MBYLLJE_AUTO!$M$2="PO",DITAR_MBYLLJE_AUTO!$G$9="PO",DITAR_MBYLLJE_AUTO!$F$9&gt;0),"MB-REG-"&amp;TEXT(6,"00"),"")</f>
        <v/>
      </c>
      <c r="D500" s="123" t="str">
        <f aca="false">IF(AND(DITAR_MBYLLJE_AUTO!$M$2="PO",DITAR_MBYLLJE_AUTO!$G$9="PO",DITAR_MBYLLJE_AUTO!$F$9&gt;0),DITAR_MBYLLJE_AUTO!$E$9&amp;"","")</f>
        <v/>
      </c>
      <c r="E500" s="123" t="str">
        <f aca="false">IF($D500="","",IFERROR(VLOOKUP($D500,PLANI_LLOGARIVE!$A:$B,2,FALSE()),""))</f>
        <v/>
      </c>
      <c r="F500" s="124"/>
      <c r="G500" s="125" t="str">
        <f aca="false">IF(AND(DITAR_MBYLLJE_AUTO!$M$2="PO",DITAR_MBYLLJE_AUTO!$G$9="PO",DITAR_MBYLLJE_AUTO!$F$9&gt;0),DITAR_MBYLLJE_AUTO!$F$9,"")</f>
        <v/>
      </c>
      <c r="H500" s="123" t="str">
        <f aca="false">IF(AND(DITAR_MBYLLJE_AUTO!$M$2="PO",DITAR_MBYLLJE_AUTO!$G$9="PO",DITAR_MBYLLJE_AUTO!$F$9&gt;0),DITAR_MBYLLJE_AUTO!$B$9,"")</f>
        <v/>
      </c>
      <c r="I500" s="123" t="str">
        <f aca="false">IF(AND(DITAR_MBYLLJE_AUTO!$M$2="PO",DITAR_MBYLLJE_AUTO!$G$9="PO",DITAR_MBYLLJE_AUTO!$F$9&gt;0),DITAR_MBYLLJE_AUTO!$C$9,"")</f>
        <v/>
      </c>
      <c r="J500" s="123" t="str">
        <f aca="false">IF(TRIM($C500)="","",IF($M500&lt;&gt;"OK",$M500,IF(ABS(SUMIFS($F:$F,$C:$C,TRIM($C500))-SUMIFS($G:$G,$C:$C,TRIM($C500)))&lt;0.005,"OK","ERROR - veprimi nuk balancohet")))</f>
        <v/>
      </c>
      <c r="K500" s="123" t="str">
        <f aca="false">IF($D500="","",IFERROR(VLOOKUP($D500,PLANI_LLOGARIVE!$A:$J,10,FALSE()),FALSE()))</f>
        <v/>
      </c>
      <c r="L500" s="123" t="str">
        <f aca="false">IF($D500="","",IFERROR(VLOOKUP($D500,PLANI_LLOGARIVE!$A:$G,7,FALSE()),"NUK EKZISTON"))</f>
        <v/>
      </c>
      <c r="M500" s="123" t="str">
        <f aca="false">IF($D500="","",IF(COUNTIF(PLANI_LLOGARIVE!$A:$A,$D500)=0,"ERROR - llogaria nuk ekziston",IF($K500=TRUE(),"OK","ERROR - llogari jo-postuese/Header")))</f>
        <v/>
      </c>
      <c r="N500" s="126" t="str">
        <f aca="false">IF(TRIM($C500)="","",IF(ABS(SUMIFS($F:$F,$C:$C,TRIM($C500))-SUMIFS($G:$G,$C:$C,TRIM($C500)))&lt;0.005,"OK","ERROR - debi/kredi"))</f>
        <v/>
      </c>
      <c r="S500" s="116" t="str">
        <f aca="false">IF(D500="","",LEFT(D500&amp;"",2))</f>
        <v/>
      </c>
      <c r="T500" s="101" t="str">
        <f aca="false">IF(D500="","",LEFT(D500&amp;"",3))</f>
        <v/>
      </c>
    </row>
    <row r="501" customFormat="false" ht="15" hidden="false" customHeight="true" outlineLevel="0" collapsed="false">
      <c r="A501" s="127" t="str">
        <f aca="false">IF(AND(DITAR_MBYLLJE_AUTO!$M$2="PO",DITAR_MBYLLJE_AUTO!$G$10="PO",DITAR_MBYLLJE_AUTO!$F$10&gt;0),MBYLLJA_6_7_AUTO!$B$7,"")</f>
        <v/>
      </c>
      <c r="B501" s="128" t="str">
        <f aca="false">IF(AND(DITAR_MBYLLJE_AUTO!$M$2="PO",DITAR_MBYLLJE_AUTO!$G$10="PO",DITAR_MBYLLJE_AUTO!$F$10&gt;0),9007,"")</f>
        <v/>
      </c>
      <c r="C501" s="128" t="str">
        <f aca="false">IF(AND(DITAR_MBYLLJE_AUTO!$M$2="PO",DITAR_MBYLLJE_AUTO!$G$10="PO",DITAR_MBYLLJE_AUTO!$F$10&gt;0),"MB-REG-"&amp;TEXT(7,"00"),"")</f>
        <v/>
      </c>
      <c r="D501" s="128" t="str">
        <f aca="false">IF(AND(DITAR_MBYLLJE_AUTO!$M$2="PO",DITAR_MBYLLJE_AUTO!$G$10="PO",DITAR_MBYLLJE_AUTO!$F$10&gt;0),DITAR_MBYLLJE_AUTO!$D$10&amp;"","")</f>
        <v/>
      </c>
      <c r="E501" s="128" t="str">
        <f aca="false">IF($D501="","",IFERROR(VLOOKUP($D501,PLANI_LLOGARIVE!$A:$B,2,FALSE()),""))</f>
        <v/>
      </c>
      <c r="F501" s="128" t="str">
        <f aca="false">IF(AND(DITAR_MBYLLJE_AUTO!$M$2="PO",DITAR_MBYLLJE_AUTO!$G$10="PO",DITAR_MBYLLJE_AUTO!$F$10&gt;0),DITAR_MBYLLJE_AUTO!$F$10,"")</f>
        <v/>
      </c>
      <c r="G501" s="129"/>
      <c r="H501" s="128" t="str">
        <f aca="false">IF(AND(DITAR_MBYLLJE_AUTO!$M$2="PO",DITAR_MBYLLJE_AUTO!$G$10="PO",DITAR_MBYLLJE_AUTO!$F$10&gt;0),DITAR_MBYLLJE_AUTO!$B$10,"")</f>
        <v/>
      </c>
      <c r="I501" s="128" t="str">
        <f aca="false">IF(AND(DITAR_MBYLLJE_AUTO!$M$2="PO",DITAR_MBYLLJE_AUTO!$G$10="PO",DITAR_MBYLLJE_AUTO!$F$10&gt;0),DITAR_MBYLLJE_AUTO!$C$10,"")</f>
        <v/>
      </c>
      <c r="J501" s="128" t="str">
        <f aca="false">IF(TRIM($C501)="","",IF($M501&lt;&gt;"OK",$M501,IF(ABS(SUMIFS($F:$F,$C:$C,TRIM($C501))-SUMIFS($G:$G,$C:$C,TRIM($C501)))&lt;0.005,"OK","ERROR - veprimi nuk balancohet")))</f>
        <v/>
      </c>
      <c r="K501" s="128" t="str">
        <f aca="false">IF($D501="","",IFERROR(VLOOKUP($D501,PLANI_LLOGARIVE!$A:$J,10,FALSE()),FALSE()))</f>
        <v/>
      </c>
      <c r="L501" s="128" t="str">
        <f aca="false">IF($D501="","",IFERROR(VLOOKUP($D501,PLANI_LLOGARIVE!$A:$G,7,FALSE()),"NUK EKZISTON"))</f>
        <v/>
      </c>
      <c r="M501" s="128" t="str">
        <f aca="false">IF($D501="","",IF(COUNTIF(PLANI_LLOGARIVE!$A:$A,$D501)=0,"ERROR - llogaria nuk ekziston",IF($K501=TRUE(),"OK","ERROR - llogari jo-postuese/Header")))</f>
        <v/>
      </c>
      <c r="N501" s="130" t="str">
        <f aca="false">IF(TRIM($C501)="","",IF(ABS(SUMIFS($F:$F,$C:$C,TRIM($C501))-SUMIFS($G:$G,$C:$C,TRIM($C501)))&lt;0.005,"OK","ERROR - debi/kredi"))</f>
        <v/>
      </c>
      <c r="S501" s="116" t="str">
        <f aca="false">IF(D501="","",LEFT(D501&amp;"",2))</f>
        <v/>
      </c>
      <c r="T501" s="101" t="str">
        <f aca="false">IF(D501="","",LEFT(D501&amp;"",3))</f>
        <v/>
      </c>
    </row>
    <row r="502" customFormat="false" ht="15" hidden="false" customHeight="true" outlineLevel="0" collapsed="false">
      <c r="A502" s="127" t="str">
        <f aca="false">IF(AND(DITAR_MBYLLJE_AUTO!$M$2="PO",DITAR_MBYLLJE_AUTO!$G$10="PO",DITAR_MBYLLJE_AUTO!$F$10&gt;0),MBYLLJA_6_7_AUTO!$B$7,"")</f>
        <v/>
      </c>
      <c r="B502" s="128" t="str">
        <f aca="false">IF(AND(DITAR_MBYLLJE_AUTO!$M$2="PO",DITAR_MBYLLJE_AUTO!$G$10="PO",DITAR_MBYLLJE_AUTO!$F$10&gt;0),9007,"")</f>
        <v/>
      </c>
      <c r="C502" s="128" t="str">
        <f aca="false">IF(AND(DITAR_MBYLLJE_AUTO!$M$2="PO",DITAR_MBYLLJE_AUTO!$G$10="PO",DITAR_MBYLLJE_AUTO!$F$10&gt;0),"MB-REG-"&amp;TEXT(7,"00"),"")</f>
        <v/>
      </c>
      <c r="D502" s="128" t="str">
        <f aca="false">IF(AND(DITAR_MBYLLJE_AUTO!$M$2="PO",DITAR_MBYLLJE_AUTO!$G$10="PO",DITAR_MBYLLJE_AUTO!$F$10&gt;0),DITAR_MBYLLJE_AUTO!$E$10&amp;"","")</f>
        <v/>
      </c>
      <c r="E502" s="128" t="str">
        <f aca="false">IF($D502="","",IFERROR(VLOOKUP($D502,PLANI_LLOGARIVE!$A:$B,2,FALSE()),""))</f>
        <v/>
      </c>
      <c r="F502" s="129"/>
      <c r="G502" s="128" t="str">
        <f aca="false">IF(AND(DITAR_MBYLLJE_AUTO!$M$2="PO",DITAR_MBYLLJE_AUTO!$G$10="PO",DITAR_MBYLLJE_AUTO!$F$10&gt;0),DITAR_MBYLLJE_AUTO!$F$10,"")</f>
        <v/>
      </c>
      <c r="H502" s="128" t="str">
        <f aca="false">IF(AND(DITAR_MBYLLJE_AUTO!$M$2="PO",DITAR_MBYLLJE_AUTO!$G$10="PO",DITAR_MBYLLJE_AUTO!$F$10&gt;0),DITAR_MBYLLJE_AUTO!$B$10,"")</f>
        <v/>
      </c>
      <c r="I502" s="128" t="str">
        <f aca="false">IF(AND(DITAR_MBYLLJE_AUTO!$M$2="PO",DITAR_MBYLLJE_AUTO!$G$10="PO",DITAR_MBYLLJE_AUTO!$F$10&gt;0),DITAR_MBYLLJE_AUTO!$C$10,"")</f>
        <v/>
      </c>
      <c r="J502" s="128" t="str">
        <f aca="false">IF(TRIM($C502)="","",IF($M502&lt;&gt;"OK",$M502,IF(ABS(SUMIFS($F:$F,$C:$C,TRIM($C502))-SUMIFS($G:$G,$C:$C,TRIM($C502)))&lt;0.005,"OK","ERROR - veprimi nuk balancohet")))</f>
        <v/>
      </c>
      <c r="K502" s="128" t="str">
        <f aca="false">IF($D502="","",IFERROR(VLOOKUP($D502,PLANI_LLOGARIVE!$A:$J,10,FALSE()),FALSE()))</f>
        <v/>
      </c>
      <c r="L502" s="128" t="str">
        <f aca="false">IF($D502="","",IFERROR(VLOOKUP($D502,PLANI_LLOGARIVE!$A:$G,7,FALSE()),"NUK EKZISTON"))</f>
        <v/>
      </c>
      <c r="M502" s="128" t="str">
        <f aca="false">IF($D502="","",IF(COUNTIF(PLANI_LLOGARIVE!$A:$A,$D502)=0,"ERROR - llogaria nuk ekziston",IF($K502=TRUE(),"OK","ERROR - llogari jo-postuese/Header")))</f>
        <v/>
      </c>
      <c r="N502" s="130" t="str">
        <f aca="false">IF(TRIM($C502)="","",IF(ABS(SUMIFS($F:$F,$C:$C,TRIM($C502))-SUMIFS($G:$G,$C:$C,TRIM($C502)))&lt;0.005,"OK","ERROR - debi/kredi"))</f>
        <v/>
      </c>
      <c r="S502" s="116" t="str">
        <f aca="false">IF(D502="","",LEFT(D502&amp;"",2))</f>
        <v/>
      </c>
      <c r="T502" s="101" t="str">
        <f aca="false">IF(D502="","",LEFT(D502&amp;"",3))</f>
        <v/>
      </c>
    </row>
    <row r="503" customFormat="false" ht="15" hidden="false" customHeight="true" outlineLevel="0" collapsed="false">
      <c r="A503" s="127" t="str">
        <f aca="false">IF(AND(DITAR_MBYLLJE_AUTO!$M$2="PO",DITAR_MBYLLJE_AUTO!$G$11="PO",DITAR_MBYLLJE_AUTO!$F$11&gt;0),MBYLLJA_6_7_AUTO!$B$7,"")</f>
        <v/>
      </c>
      <c r="B503" s="128" t="str">
        <f aca="false">IF(AND(DITAR_MBYLLJE_AUTO!$M$2="PO",DITAR_MBYLLJE_AUTO!$G$11="PO",DITAR_MBYLLJE_AUTO!$F$11&gt;0),9008,"")</f>
        <v/>
      </c>
      <c r="C503" s="128" t="str">
        <f aca="false">IF(AND(DITAR_MBYLLJE_AUTO!$M$2="PO",DITAR_MBYLLJE_AUTO!$G$11="PO",DITAR_MBYLLJE_AUTO!$F$11&gt;0),"MB-REG-"&amp;TEXT(8,"00"),"")</f>
        <v/>
      </c>
      <c r="D503" s="128" t="str">
        <f aca="false">IF(AND(DITAR_MBYLLJE_AUTO!$M$2="PO",DITAR_MBYLLJE_AUTO!$G$11="PO",DITAR_MBYLLJE_AUTO!$F$11&gt;0),DITAR_MBYLLJE_AUTO!$D$11&amp;"","")</f>
        <v/>
      </c>
      <c r="E503" s="128" t="str">
        <f aca="false">IF($D503="","",IFERROR(VLOOKUP($D503,PLANI_LLOGARIVE!$A:$B,2,FALSE()),""))</f>
        <v/>
      </c>
      <c r="F503" s="128" t="str">
        <f aca="false">IF(AND(DITAR_MBYLLJE_AUTO!$M$2="PO",DITAR_MBYLLJE_AUTO!$G$11="PO",DITAR_MBYLLJE_AUTO!$F$11&gt;0),DITAR_MBYLLJE_AUTO!$F$11,"")</f>
        <v/>
      </c>
      <c r="G503" s="129"/>
      <c r="H503" s="128" t="str">
        <f aca="false">IF(AND(DITAR_MBYLLJE_AUTO!$M$2="PO",DITAR_MBYLLJE_AUTO!$G$11="PO",DITAR_MBYLLJE_AUTO!$F$11&gt;0),DITAR_MBYLLJE_AUTO!$B$11,"")</f>
        <v/>
      </c>
      <c r="I503" s="128" t="str">
        <f aca="false">IF(AND(DITAR_MBYLLJE_AUTO!$M$2="PO",DITAR_MBYLLJE_AUTO!$G$11="PO",DITAR_MBYLLJE_AUTO!$F$11&gt;0),DITAR_MBYLLJE_AUTO!$C$11,"")</f>
        <v/>
      </c>
      <c r="J503" s="128" t="str">
        <f aca="false">IF(TRIM($C503)="","",IF($M503&lt;&gt;"OK",$M503,IF(ABS(SUMIFS($F:$F,$C:$C,TRIM($C503))-SUMIFS($G:$G,$C:$C,TRIM($C503)))&lt;0.005,"OK","ERROR - veprimi nuk balancohet")))</f>
        <v/>
      </c>
      <c r="K503" s="128" t="str">
        <f aca="false">IF($D503="","",IFERROR(VLOOKUP($D503,PLANI_LLOGARIVE!$A:$J,10,FALSE()),FALSE()))</f>
        <v/>
      </c>
      <c r="L503" s="128" t="str">
        <f aca="false">IF($D503="","",IFERROR(VLOOKUP($D503,PLANI_LLOGARIVE!$A:$G,7,FALSE()),"NUK EKZISTON"))</f>
        <v/>
      </c>
      <c r="M503" s="128" t="str">
        <f aca="false">IF($D503="","",IF(COUNTIF(PLANI_LLOGARIVE!$A:$A,$D503)=0,"ERROR - llogaria nuk ekziston",IF($K503=TRUE(),"OK","ERROR - llogari jo-postuese/Header")))</f>
        <v/>
      </c>
      <c r="N503" s="130" t="str">
        <f aca="false">IF(TRIM($C503)="","",IF(ABS(SUMIFS($F:$F,$C:$C,TRIM($C503))-SUMIFS($G:$G,$C:$C,TRIM($C503)))&lt;0.005,"OK","ERROR - debi/kredi"))</f>
        <v/>
      </c>
      <c r="S503" s="116" t="str">
        <f aca="false">IF(D503="","",LEFT(D503&amp;"",2))</f>
        <v/>
      </c>
      <c r="T503" s="101" t="str">
        <f aca="false">IF(D503="","",LEFT(D503&amp;"",3))</f>
        <v/>
      </c>
    </row>
    <row r="504" customFormat="false" ht="15" hidden="false" customHeight="true" outlineLevel="0" collapsed="false">
      <c r="A504" s="127" t="str">
        <f aca="false">IF(AND(DITAR_MBYLLJE_AUTO!$M$2="PO",DITAR_MBYLLJE_AUTO!$G$11="PO",DITAR_MBYLLJE_AUTO!$F$11&gt;0),MBYLLJA_6_7_AUTO!$B$7,"")</f>
        <v/>
      </c>
      <c r="B504" s="128" t="str">
        <f aca="false">IF(AND(DITAR_MBYLLJE_AUTO!$M$2="PO",DITAR_MBYLLJE_AUTO!$G$11="PO",DITAR_MBYLLJE_AUTO!$F$11&gt;0),9008,"")</f>
        <v/>
      </c>
      <c r="C504" s="128" t="str">
        <f aca="false">IF(AND(DITAR_MBYLLJE_AUTO!$M$2="PO",DITAR_MBYLLJE_AUTO!$G$11="PO",DITAR_MBYLLJE_AUTO!$F$11&gt;0),"MB-REG-"&amp;TEXT(8,"00"),"")</f>
        <v/>
      </c>
      <c r="D504" s="128" t="str">
        <f aca="false">IF(AND(DITAR_MBYLLJE_AUTO!$M$2="PO",DITAR_MBYLLJE_AUTO!$G$11="PO",DITAR_MBYLLJE_AUTO!$F$11&gt;0),DITAR_MBYLLJE_AUTO!$E$11&amp;"","")</f>
        <v/>
      </c>
      <c r="E504" s="128" t="str">
        <f aca="false">IF($D504="","",IFERROR(VLOOKUP($D504,PLANI_LLOGARIVE!$A:$B,2,FALSE()),""))</f>
        <v/>
      </c>
      <c r="F504" s="129"/>
      <c r="G504" s="128" t="str">
        <f aca="false">IF(AND(DITAR_MBYLLJE_AUTO!$M$2="PO",DITAR_MBYLLJE_AUTO!$G$11="PO",DITAR_MBYLLJE_AUTO!$F$11&gt;0),DITAR_MBYLLJE_AUTO!$F$11,"")</f>
        <v/>
      </c>
      <c r="H504" s="128" t="str">
        <f aca="false">IF(AND(DITAR_MBYLLJE_AUTO!$M$2="PO",DITAR_MBYLLJE_AUTO!$G$11="PO",DITAR_MBYLLJE_AUTO!$F$11&gt;0),DITAR_MBYLLJE_AUTO!$B$11,"")</f>
        <v/>
      </c>
      <c r="I504" s="128" t="str">
        <f aca="false">IF(AND(DITAR_MBYLLJE_AUTO!$M$2="PO",DITAR_MBYLLJE_AUTO!$G$11="PO",DITAR_MBYLLJE_AUTO!$F$11&gt;0),DITAR_MBYLLJE_AUTO!$C$11,"")</f>
        <v/>
      </c>
      <c r="J504" s="128" t="str">
        <f aca="false">IF(TRIM($C504)="","",IF($M504&lt;&gt;"OK",$M504,IF(ABS(SUMIFS($F:$F,$C:$C,TRIM($C504))-SUMIFS($G:$G,$C:$C,TRIM($C504)))&lt;0.005,"OK","ERROR - veprimi nuk balancohet")))</f>
        <v/>
      </c>
      <c r="K504" s="128" t="str">
        <f aca="false">IF($D504="","",IFERROR(VLOOKUP($D504,PLANI_LLOGARIVE!$A:$J,10,FALSE()),FALSE()))</f>
        <v/>
      </c>
      <c r="L504" s="128" t="str">
        <f aca="false">IF($D504="","",IFERROR(VLOOKUP($D504,PLANI_LLOGARIVE!$A:$G,7,FALSE()),"NUK EKZISTON"))</f>
        <v/>
      </c>
      <c r="M504" s="128" t="str">
        <f aca="false">IF($D504="","",IF(COUNTIF(PLANI_LLOGARIVE!$A:$A,$D504)=0,"ERROR - llogaria nuk ekziston",IF($K504=TRUE(),"OK","ERROR - llogari jo-postuese/Header")))</f>
        <v/>
      </c>
      <c r="N504" s="130" t="str">
        <f aca="false">IF(TRIM($C504)="","",IF(ABS(SUMIFS($F:$F,$C:$C,TRIM($C504))-SUMIFS($G:$G,$C:$C,TRIM($C504)))&lt;0.005,"OK","ERROR - debi/kredi"))</f>
        <v/>
      </c>
      <c r="S504" s="116" t="str">
        <f aca="false">IF(D504="","",LEFT(D504&amp;"",2))</f>
        <v/>
      </c>
      <c r="T504" s="101" t="str">
        <f aca="false">IF(D504="","",LEFT(D504&amp;"",3))</f>
        <v/>
      </c>
    </row>
    <row r="505" customFormat="false" ht="15" hidden="false" customHeight="true" outlineLevel="0" collapsed="false">
      <c r="A505" s="127" t="str">
        <f aca="false">IF(AND(DITAR_MBYLLJE_AUTO!$M$2="PO",DITAR_MBYLLJE_AUTO!$G$12="PO",DITAR_MBYLLJE_AUTO!$F$12&gt;0),MBYLLJA_6_7_AUTO!$B$7,"")</f>
        <v/>
      </c>
      <c r="B505" s="128" t="str">
        <f aca="false">IF(AND(DITAR_MBYLLJE_AUTO!$M$2="PO",DITAR_MBYLLJE_AUTO!$G$12="PO",DITAR_MBYLLJE_AUTO!$F$12&gt;0),9009,"")</f>
        <v/>
      </c>
      <c r="C505" s="128" t="str">
        <f aca="false">IF(AND(DITAR_MBYLLJE_AUTO!$M$2="PO",DITAR_MBYLLJE_AUTO!$G$12="PO",DITAR_MBYLLJE_AUTO!$F$12&gt;0),"MB-REG-"&amp;TEXT(9,"00"),"")</f>
        <v/>
      </c>
      <c r="D505" s="128" t="str">
        <f aca="false">IF(AND(DITAR_MBYLLJE_AUTO!$M$2="PO",DITAR_MBYLLJE_AUTO!$G$12="PO",DITAR_MBYLLJE_AUTO!$F$12&gt;0),DITAR_MBYLLJE_AUTO!$D$12&amp;"","")</f>
        <v/>
      </c>
      <c r="E505" s="128" t="str">
        <f aca="false">IF($D505="","",IFERROR(VLOOKUP($D505,PLANI_LLOGARIVE!$A:$B,2,FALSE()),""))</f>
        <v/>
      </c>
      <c r="F505" s="128" t="str">
        <f aca="false">IF(AND(DITAR_MBYLLJE_AUTO!$M$2="PO",DITAR_MBYLLJE_AUTO!$G$12="PO",DITAR_MBYLLJE_AUTO!$F$12&gt;0),DITAR_MBYLLJE_AUTO!$F$12,"")</f>
        <v/>
      </c>
      <c r="G505" s="129"/>
      <c r="H505" s="128" t="str">
        <f aca="false">IF(AND(DITAR_MBYLLJE_AUTO!$M$2="PO",DITAR_MBYLLJE_AUTO!$G$12="PO",DITAR_MBYLLJE_AUTO!$F$12&gt;0),DITAR_MBYLLJE_AUTO!$B$12,"")</f>
        <v/>
      </c>
      <c r="I505" s="128" t="str">
        <f aca="false">IF(AND(DITAR_MBYLLJE_AUTO!$M$2="PO",DITAR_MBYLLJE_AUTO!$G$12="PO",DITAR_MBYLLJE_AUTO!$F$12&gt;0),DITAR_MBYLLJE_AUTO!$C$12,"")</f>
        <v/>
      </c>
      <c r="J505" s="128" t="str">
        <f aca="false">IF(TRIM($C505)="","",IF($M505&lt;&gt;"OK",$M505,IF(ABS(SUMIFS($F:$F,$C:$C,TRIM($C505))-SUMIFS($G:$G,$C:$C,TRIM($C505)))&lt;0.005,"OK","ERROR - veprimi nuk balancohet")))</f>
        <v/>
      </c>
      <c r="K505" s="128" t="str">
        <f aca="false">IF($D505="","",IFERROR(VLOOKUP($D505,PLANI_LLOGARIVE!$A:$J,10,FALSE()),FALSE()))</f>
        <v/>
      </c>
      <c r="L505" s="128" t="str">
        <f aca="false">IF($D505="","",IFERROR(VLOOKUP($D505,PLANI_LLOGARIVE!$A:$G,7,FALSE()),"NUK EKZISTON"))</f>
        <v/>
      </c>
      <c r="M505" s="128" t="str">
        <f aca="false">IF($D505="","",IF(COUNTIF(PLANI_LLOGARIVE!$A:$A,$D505)=0,"ERROR - llogaria nuk ekziston",IF($K505=TRUE(),"OK","ERROR - llogari jo-postuese/Header")))</f>
        <v/>
      </c>
      <c r="N505" s="130" t="str">
        <f aca="false">IF(TRIM($C505)="","",IF(ABS(SUMIFS($F:$F,$C:$C,TRIM($C505))-SUMIFS($G:$G,$C:$C,TRIM($C505)))&lt;0.005,"OK","ERROR - debi/kredi"))</f>
        <v/>
      </c>
      <c r="S505" s="116" t="str">
        <f aca="false">IF(D505="","",LEFT(D505&amp;"",2))</f>
        <v/>
      </c>
      <c r="T505" s="101" t="str">
        <f aca="false">IF(D505="","",LEFT(D505&amp;"",3))</f>
        <v/>
      </c>
    </row>
    <row r="506" customFormat="false" ht="15" hidden="false" customHeight="true" outlineLevel="0" collapsed="false">
      <c r="A506" s="127" t="str">
        <f aca="false">IF(AND(DITAR_MBYLLJE_AUTO!$M$2="PO",DITAR_MBYLLJE_AUTO!$G$12="PO",DITAR_MBYLLJE_AUTO!$F$12&gt;0),MBYLLJA_6_7_AUTO!$B$7,"")</f>
        <v/>
      </c>
      <c r="B506" s="128" t="str">
        <f aca="false">IF(AND(DITAR_MBYLLJE_AUTO!$M$2="PO",DITAR_MBYLLJE_AUTO!$G$12="PO",DITAR_MBYLLJE_AUTO!$F$12&gt;0),9009,"")</f>
        <v/>
      </c>
      <c r="C506" s="128" t="str">
        <f aca="false">IF(AND(DITAR_MBYLLJE_AUTO!$M$2="PO",DITAR_MBYLLJE_AUTO!$G$12="PO",DITAR_MBYLLJE_AUTO!$F$12&gt;0),"MB-REG-"&amp;TEXT(9,"00"),"")</f>
        <v/>
      </c>
      <c r="D506" s="128" t="str">
        <f aca="false">IF(AND(DITAR_MBYLLJE_AUTO!$M$2="PO",DITAR_MBYLLJE_AUTO!$G$12="PO",DITAR_MBYLLJE_AUTO!$F$12&gt;0),DITAR_MBYLLJE_AUTO!$E$12&amp;"","")</f>
        <v/>
      </c>
      <c r="E506" s="128" t="str">
        <f aca="false">IF($D506="","",IFERROR(VLOOKUP($D506,PLANI_LLOGARIVE!$A:$B,2,FALSE()),""))</f>
        <v/>
      </c>
      <c r="F506" s="129"/>
      <c r="G506" s="128" t="str">
        <f aca="false">IF(AND(DITAR_MBYLLJE_AUTO!$M$2="PO",DITAR_MBYLLJE_AUTO!$G$12="PO",DITAR_MBYLLJE_AUTO!$F$12&gt;0),DITAR_MBYLLJE_AUTO!$F$12,"")</f>
        <v/>
      </c>
      <c r="H506" s="128" t="str">
        <f aca="false">IF(AND(DITAR_MBYLLJE_AUTO!$M$2="PO",DITAR_MBYLLJE_AUTO!$G$12="PO",DITAR_MBYLLJE_AUTO!$F$12&gt;0),DITAR_MBYLLJE_AUTO!$B$12,"")</f>
        <v/>
      </c>
      <c r="I506" s="128" t="str">
        <f aca="false">IF(AND(DITAR_MBYLLJE_AUTO!$M$2="PO",DITAR_MBYLLJE_AUTO!$G$12="PO",DITAR_MBYLLJE_AUTO!$F$12&gt;0),DITAR_MBYLLJE_AUTO!$C$12,"")</f>
        <v/>
      </c>
      <c r="J506" s="128" t="str">
        <f aca="false">IF(TRIM($C506)="","",IF($M506&lt;&gt;"OK",$M506,IF(ABS(SUMIFS($F:$F,$C:$C,TRIM($C506))-SUMIFS($G:$G,$C:$C,TRIM($C506)))&lt;0.005,"OK","ERROR - veprimi nuk balancohet")))</f>
        <v/>
      </c>
      <c r="K506" s="128" t="str">
        <f aca="false">IF($D506="","",IFERROR(VLOOKUP($D506,PLANI_LLOGARIVE!$A:$J,10,FALSE()),FALSE()))</f>
        <v/>
      </c>
      <c r="L506" s="128" t="str">
        <f aca="false">IF($D506="","",IFERROR(VLOOKUP($D506,PLANI_LLOGARIVE!$A:$G,7,FALSE()),"NUK EKZISTON"))</f>
        <v/>
      </c>
      <c r="M506" s="128" t="str">
        <f aca="false">IF($D506="","",IF(COUNTIF(PLANI_LLOGARIVE!$A:$A,$D506)=0,"ERROR - llogaria nuk ekziston",IF($K506=TRUE(),"OK","ERROR - llogari jo-postuese/Header")))</f>
        <v/>
      </c>
      <c r="N506" s="130" t="str">
        <f aca="false">IF(TRIM($C506)="","",IF(ABS(SUMIFS($F:$F,$C:$C,TRIM($C506))-SUMIFS($G:$G,$C:$C,TRIM($C506)))&lt;0.005,"OK","ERROR - debi/kredi"))</f>
        <v/>
      </c>
      <c r="S506" s="116" t="str">
        <f aca="false">IF(D506="","",LEFT(D506&amp;"",2))</f>
        <v/>
      </c>
      <c r="T506" s="101" t="str">
        <f aca="false">IF(D506="","",LEFT(D506&amp;"",3))</f>
        <v/>
      </c>
    </row>
    <row r="507" customFormat="false" ht="15" hidden="false" customHeight="true" outlineLevel="0" collapsed="false">
      <c r="A507" s="127" t="str">
        <f aca="false">IF(AND(DITAR_MBYLLJE_AUTO!$M$2="PO",DITAR_MBYLLJE_AUTO!$G$13="PO",DITAR_MBYLLJE_AUTO!$F$13&gt;0),MBYLLJA_6_7_AUTO!$B$7,"")</f>
        <v/>
      </c>
      <c r="B507" s="128" t="str">
        <f aca="false">IF(AND(DITAR_MBYLLJE_AUTO!$M$2="PO",DITAR_MBYLLJE_AUTO!$G$13="PO",DITAR_MBYLLJE_AUTO!$F$13&gt;0),9010,"")</f>
        <v/>
      </c>
      <c r="C507" s="128" t="str">
        <f aca="false">IF(AND(DITAR_MBYLLJE_AUTO!$M$2="PO",DITAR_MBYLLJE_AUTO!$G$13="PO",DITAR_MBYLLJE_AUTO!$F$13&gt;0),"MB-REG-"&amp;TEXT(10,"00"),"")</f>
        <v/>
      </c>
      <c r="D507" s="128" t="str">
        <f aca="false">IF(AND(DITAR_MBYLLJE_AUTO!$M$2="PO",DITAR_MBYLLJE_AUTO!$G$13="PO",DITAR_MBYLLJE_AUTO!$F$13&gt;0),DITAR_MBYLLJE_AUTO!$D$13&amp;"","")</f>
        <v/>
      </c>
      <c r="E507" s="128" t="str">
        <f aca="false">IF($D507="","",IFERROR(VLOOKUP($D507,PLANI_LLOGARIVE!$A:$B,2,FALSE()),""))</f>
        <v/>
      </c>
      <c r="F507" s="128" t="str">
        <f aca="false">IF(AND(DITAR_MBYLLJE_AUTO!$M$2="PO",DITAR_MBYLLJE_AUTO!$G$13="PO",DITAR_MBYLLJE_AUTO!$F$13&gt;0),DITAR_MBYLLJE_AUTO!$F$13,"")</f>
        <v/>
      </c>
      <c r="G507" s="129"/>
      <c r="H507" s="128" t="str">
        <f aca="false">IF(AND(DITAR_MBYLLJE_AUTO!$M$2="PO",DITAR_MBYLLJE_AUTO!$G$13="PO",DITAR_MBYLLJE_AUTO!$F$13&gt;0),DITAR_MBYLLJE_AUTO!$B$13,"")</f>
        <v/>
      </c>
      <c r="I507" s="128" t="str">
        <f aca="false">IF(AND(DITAR_MBYLLJE_AUTO!$M$2="PO",DITAR_MBYLLJE_AUTO!$G$13="PO",DITAR_MBYLLJE_AUTO!$F$13&gt;0),DITAR_MBYLLJE_AUTO!$C$13,"")</f>
        <v/>
      </c>
      <c r="J507" s="128" t="str">
        <f aca="false">IF(TRIM($C507)="","",IF($M507&lt;&gt;"OK",$M507,IF(ABS(SUMIFS($F:$F,$C:$C,TRIM($C507))-SUMIFS($G:$G,$C:$C,TRIM($C507)))&lt;0.005,"OK","ERROR - veprimi nuk balancohet")))</f>
        <v/>
      </c>
      <c r="K507" s="128" t="str">
        <f aca="false">IF($D507="","",IFERROR(VLOOKUP($D507,PLANI_LLOGARIVE!$A:$J,10,FALSE()),FALSE()))</f>
        <v/>
      </c>
      <c r="L507" s="128" t="str">
        <f aca="false">IF($D507="","",IFERROR(VLOOKUP($D507,PLANI_LLOGARIVE!$A:$G,7,FALSE()),"NUK EKZISTON"))</f>
        <v/>
      </c>
      <c r="M507" s="128" t="str">
        <f aca="false">IF($D507="","",IF(COUNTIF(PLANI_LLOGARIVE!$A:$A,$D507)=0,"ERROR - llogaria nuk ekziston",IF($K507=TRUE(),"OK","ERROR - llogari jo-postuese/Header")))</f>
        <v/>
      </c>
      <c r="N507" s="130" t="str">
        <f aca="false">IF(TRIM($C507)="","",IF(ABS(SUMIFS($F:$F,$C:$C,TRIM($C507))-SUMIFS($G:$G,$C:$C,TRIM($C507)))&lt;0.005,"OK","ERROR - debi/kredi"))</f>
        <v/>
      </c>
      <c r="S507" s="116" t="str">
        <f aca="false">IF(D507="","",LEFT(D507&amp;"",2))</f>
        <v/>
      </c>
      <c r="T507" s="101" t="str">
        <f aca="false">IF(D507="","",LEFT(D507&amp;"",3))</f>
        <v/>
      </c>
    </row>
    <row r="508" customFormat="false" ht="15" hidden="false" customHeight="true" outlineLevel="0" collapsed="false">
      <c r="A508" s="127" t="str">
        <f aca="false">IF(AND(DITAR_MBYLLJE_AUTO!$M$2="PO",DITAR_MBYLLJE_AUTO!$G$13="PO",DITAR_MBYLLJE_AUTO!$F$13&gt;0),MBYLLJA_6_7_AUTO!$B$7,"")</f>
        <v/>
      </c>
      <c r="B508" s="128" t="str">
        <f aca="false">IF(AND(DITAR_MBYLLJE_AUTO!$M$2="PO",DITAR_MBYLLJE_AUTO!$G$13="PO",DITAR_MBYLLJE_AUTO!$F$13&gt;0),9010,"")</f>
        <v/>
      </c>
      <c r="C508" s="128" t="str">
        <f aca="false">IF(AND(DITAR_MBYLLJE_AUTO!$M$2="PO",DITAR_MBYLLJE_AUTO!$G$13="PO",DITAR_MBYLLJE_AUTO!$F$13&gt;0),"MB-REG-"&amp;TEXT(10,"00"),"")</f>
        <v/>
      </c>
      <c r="D508" s="128" t="str">
        <f aca="false">IF(AND(DITAR_MBYLLJE_AUTO!$M$2="PO",DITAR_MBYLLJE_AUTO!$G$13="PO",DITAR_MBYLLJE_AUTO!$F$13&gt;0),DITAR_MBYLLJE_AUTO!$E$13&amp;"","")</f>
        <v/>
      </c>
      <c r="E508" s="128" t="str">
        <f aca="false">IF($D508="","",IFERROR(VLOOKUP($D508,PLANI_LLOGARIVE!$A:$B,2,FALSE()),""))</f>
        <v/>
      </c>
      <c r="F508" s="129"/>
      <c r="G508" s="128" t="str">
        <f aca="false">IF(AND(DITAR_MBYLLJE_AUTO!$M$2="PO",DITAR_MBYLLJE_AUTO!$G$13="PO",DITAR_MBYLLJE_AUTO!$F$13&gt;0),DITAR_MBYLLJE_AUTO!$F$13,"")</f>
        <v/>
      </c>
      <c r="H508" s="128" t="str">
        <f aca="false">IF(AND(DITAR_MBYLLJE_AUTO!$M$2="PO",DITAR_MBYLLJE_AUTO!$G$13="PO",DITAR_MBYLLJE_AUTO!$F$13&gt;0),DITAR_MBYLLJE_AUTO!$B$13,"")</f>
        <v/>
      </c>
      <c r="I508" s="128" t="str">
        <f aca="false">IF(AND(DITAR_MBYLLJE_AUTO!$M$2="PO",DITAR_MBYLLJE_AUTO!$G$13="PO",DITAR_MBYLLJE_AUTO!$F$13&gt;0),DITAR_MBYLLJE_AUTO!$C$13,"")</f>
        <v/>
      </c>
      <c r="J508" s="128" t="str">
        <f aca="false">IF(TRIM($C508)="","",IF($M508&lt;&gt;"OK",$M508,IF(ABS(SUMIFS($F:$F,$C:$C,TRIM($C508))-SUMIFS($G:$G,$C:$C,TRIM($C508)))&lt;0.005,"OK","ERROR - veprimi nuk balancohet")))</f>
        <v/>
      </c>
      <c r="K508" s="128" t="str">
        <f aca="false">IF($D508="","",IFERROR(VLOOKUP($D508,PLANI_LLOGARIVE!$A:$J,10,FALSE()),FALSE()))</f>
        <v/>
      </c>
      <c r="L508" s="128" t="str">
        <f aca="false">IF($D508="","",IFERROR(VLOOKUP($D508,PLANI_LLOGARIVE!$A:$G,7,FALSE()),"NUK EKZISTON"))</f>
        <v/>
      </c>
      <c r="M508" s="128" t="str">
        <f aca="false">IF($D508="","",IF(COUNTIF(PLANI_LLOGARIVE!$A:$A,$D508)=0,"ERROR - llogaria nuk ekziston",IF($K508=TRUE(),"OK","ERROR - llogari jo-postuese/Header")))</f>
        <v/>
      </c>
      <c r="N508" s="130" t="str">
        <f aca="false">IF(TRIM($C508)="","",IF(ABS(SUMIFS($F:$F,$C:$C,TRIM($C508))-SUMIFS($G:$G,$C:$C,TRIM($C508)))&lt;0.005,"OK","ERROR - debi/kredi"))</f>
        <v/>
      </c>
      <c r="S508" s="116" t="str">
        <f aca="false">IF(D508="","",LEFT(D508&amp;"",2))</f>
        <v/>
      </c>
      <c r="T508" s="101" t="str">
        <f aca="false">IF(D508="","",LEFT(D508&amp;"",3))</f>
        <v/>
      </c>
    </row>
    <row r="509" customFormat="false" ht="15" hidden="false" customHeight="true" outlineLevel="0" collapsed="false">
      <c r="A509" s="127" t="str">
        <f aca="false">IF(AND(DITAR_MBYLLJE_AUTO!$M$2="PO",DITAR_MBYLLJE_AUTO!$G$14="PO",DITAR_MBYLLJE_AUTO!$F$14&gt;0),MBYLLJA_6_7_AUTO!$B$7,"")</f>
        <v/>
      </c>
      <c r="B509" s="128" t="str">
        <f aca="false">IF(AND(DITAR_MBYLLJE_AUTO!$M$2="PO",DITAR_MBYLLJE_AUTO!$G$14="PO",DITAR_MBYLLJE_AUTO!$F$14&gt;0),9011,"")</f>
        <v/>
      </c>
      <c r="C509" s="128" t="str">
        <f aca="false">IF(AND(DITAR_MBYLLJE_AUTO!$M$2="PO",DITAR_MBYLLJE_AUTO!$G$14="PO",DITAR_MBYLLJE_AUTO!$F$14&gt;0),"MB-REG-"&amp;TEXT(11,"00"),"")</f>
        <v/>
      </c>
      <c r="D509" s="128" t="str">
        <f aca="false">IF(AND(DITAR_MBYLLJE_AUTO!$M$2="PO",DITAR_MBYLLJE_AUTO!$G$14="PO",DITAR_MBYLLJE_AUTO!$F$14&gt;0),DITAR_MBYLLJE_AUTO!$D$14&amp;"","")</f>
        <v/>
      </c>
      <c r="E509" s="128" t="str">
        <f aca="false">IF($D509="","",IFERROR(VLOOKUP($D509,PLANI_LLOGARIVE!$A:$B,2,FALSE()),""))</f>
        <v/>
      </c>
      <c r="F509" s="128" t="str">
        <f aca="false">IF(AND(DITAR_MBYLLJE_AUTO!$M$2="PO",DITAR_MBYLLJE_AUTO!$G$14="PO",DITAR_MBYLLJE_AUTO!$F$14&gt;0),DITAR_MBYLLJE_AUTO!$F$14,"")</f>
        <v/>
      </c>
      <c r="G509" s="129"/>
      <c r="H509" s="128" t="str">
        <f aca="false">IF(AND(DITAR_MBYLLJE_AUTO!$M$2="PO",DITAR_MBYLLJE_AUTO!$G$14="PO",DITAR_MBYLLJE_AUTO!$F$14&gt;0),DITAR_MBYLLJE_AUTO!$B$14,"")</f>
        <v/>
      </c>
      <c r="I509" s="128" t="str">
        <f aca="false">IF(AND(DITAR_MBYLLJE_AUTO!$M$2="PO",DITAR_MBYLLJE_AUTO!$G$14="PO",DITAR_MBYLLJE_AUTO!$F$14&gt;0),DITAR_MBYLLJE_AUTO!$C$14,"")</f>
        <v/>
      </c>
      <c r="J509" s="128" t="str">
        <f aca="false">IF(TRIM($C509)="","",IF($M509&lt;&gt;"OK",$M509,IF(ABS(SUMIFS($F:$F,$C:$C,TRIM($C509))-SUMIFS($G:$G,$C:$C,TRIM($C509)))&lt;0.005,"OK","ERROR - veprimi nuk balancohet")))</f>
        <v/>
      </c>
      <c r="K509" s="128" t="str">
        <f aca="false">IF($D509="","",IFERROR(VLOOKUP($D509,PLANI_LLOGARIVE!$A:$J,10,FALSE()),FALSE()))</f>
        <v/>
      </c>
      <c r="L509" s="128" t="str">
        <f aca="false">IF($D509="","",IFERROR(VLOOKUP($D509,PLANI_LLOGARIVE!$A:$G,7,FALSE()),"NUK EKZISTON"))</f>
        <v/>
      </c>
      <c r="M509" s="128" t="str">
        <f aca="false">IF($D509="","",IF(COUNTIF(PLANI_LLOGARIVE!$A:$A,$D509)=0,"ERROR - llogaria nuk ekziston",IF($K509=TRUE(),"OK","ERROR - llogari jo-postuese/Header")))</f>
        <v/>
      </c>
      <c r="N509" s="130" t="str">
        <f aca="false">IF(TRIM($C509)="","",IF(ABS(SUMIFS($F:$F,$C:$C,TRIM($C509))-SUMIFS($G:$G,$C:$C,TRIM($C509)))&lt;0.005,"OK","ERROR - debi/kredi"))</f>
        <v/>
      </c>
      <c r="S509" s="116" t="str">
        <f aca="false">IF(D509="","",LEFT(D509&amp;"",2))</f>
        <v/>
      </c>
      <c r="T509" s="101" t="str">
        <f aca="false">IF(D509="","",LEFT(D509&amp;"",3))</f>
        <v/>
      </c>
    </row>
    <row r="510" customFormat="false" ht="15" hidden="false" customHeight="true" outlineLevel="0" collapsed="false">
      <c r="A510" s="127" t="str">
        <f aca="false">IF(AND(DITAR_MBYLLJE_AUTO!$M$2="PO",DITAR_MBYLLJE_AUTO!$G$14="PO",DITAR_MBYLLJE_AUTO!$F$14&gt;0),MBYLLJA_6_7_AUTO!$B$7,"")</f>
        <v/>
      </c>
      <c r="B510" s="128" t="str">
        <f aca="false">IF(AND(DITAR_MBYLLJE_AUTO!$M$2="PO",DITAR_MBYLLJE_AUTO!$G$14="PO",DITAR_MBYLLJE_AUTO!$F$14&gt;0),9011,"")</f>
        <v/>
      </c>
      <c r="C510" s="128" t="str">
        <f aca="false">IF(AND(DITAR_MBYLLJE_AUTO!$M$2="PO",DITAR_MBYLLJE_AUTO!$G$14="PO",DITAR_MBYLLJE_AUTO!$F$14&gt;0),"MB-REG-"&amp;TEXT(11,"00"),"")</f>
        <v/>
      </c>
      <c r="D510" s="128" t="str">
        <f aca="false">IF(AND(DITAR_MBYLLJE_AUTO!$M$2="PO",DITAR_MBYLLJE_AUTO!$G$14="PO",DITAR_MBYLLJE_AUTO!$F$14&gt;0),DITAR_MBYLLJE_AUTO!$E$14&amp;"","")</f>
        <v/>
      </c>
      <c r="E510" s="128" t="str">
        <f aca="false">IF($D510="","",IFERROR(VLOOKUP($D510,PLANI_LLOGARIVE!$A:$B,2,FALSE()),""))</f>
        <v/>
      </c>
      <c r="F510" s="129"/>
      <c r="G510" s="128" t="str">
        <f aca="false">IF(AND(DITAR_MBYLLJE_AUTO!$M$2="PO",DITAR_MBYLLJE_AUTO!$G$14="PO",DITAR_MBYLLJE_AUTO!$F$14&gt;0),DITAR_MBYLLJE_AUTO!$F$14,"")</f>
        <v/>
      </c>
      <c r="H510" s="128" t="str">
        <f aca="false">IF(AND(DITAR_MBYLLJE_AUTO!$M$2="PO",DITAR_MBYLLJE_AUTO!$G$14="PO",DITAR_MBYLLJE_AUTO!$F$14&gt;0),DITAR_MBYLLJE_AUTO!$B$14,"")</f>
        <v/>
      </c>
      <c r="I510" s="128" t="str">
        <f aca="false">IF(AND(DITAR_MBYLLJE_AUTO!$M$2="PO",DITAR_MBYLLJE_AUTO!$G$14="PO",DITAR_MBYLLJE_AUTO!$F$14&gt;0),DITAR_MBYLLJE_AUTO!$C$14,"")</f>
        <v/>
      </c>
      <c r="J510" s="128" t="str">
        <f aca="false">IF(TRIM($C510)="","",IF($M510&lt;&gt;"OK",$M510,IF(ABS(SUMIFS($F:$F,$C:$C,TRIM($C510))-SUMIFS($G:$G,$C:$C,TRIM($C510)))&lt;0.005,"OK","ERROR - veprimi nuk balancohet")))</f>
        <v/>
      </c>
      <c r="K510" s="128" t="str">
        <f aca="false">IF($D510="","",IFERROR(VLOOKUP($D510,PLANI_LLOGARIVE!$A:$J,10,FALSE()),FALSE()))</f>
        <v/>
      </c>
      <c r="L510" s="128" t="str">
        <f aca="false">IF($D510="","",IFERROR(VLOOKUP($D510,PLANI_LLOGARIVE!$A:$G,7,FALSE()),"NUK EKZISTON"))</f>
        <v/>
      </c>
      <c r="M510" s="128" t="str">
        <f aca="false">IF($D510="","",IF(COUNTIF(PLANI_LLOGARIVE!$A:$A,$D510)=0,"ERROR - llogaria nuk ekziston",IF($K510=TRUE(),"OK","ERROR - llogari jo-postuese/Header")))</f>
        <v/>
      </c>
      <c r="N510" s="130" t="str">
        <f aca="false">IF(TRIM($C510)="","",IF(ABS(SUMIFS($F:$F,$C:$C,TRIM($C510))-SUMIFS($G:$G,$C:$C,TRIM($C510)))&lt;0.005,"OK","ERROR - debi/kredi"))</f>
        <v/>
      </c>
      <c r="S510" s="116" t="str">
        <f aca="false">IF(D510="","",LEFT(D510&amp;"",2))</f>
        <v/>
      </c>
      <c r="T510" s="101" t="str">
        <f aca="false">IF(D510="","",LEFT(D510&amp;"",3))</f>
        <v/>
      </c>
    </row>
    <row r="511" customFormat="false" ht="15" hidden="false" customHeight="true" outlineLevel="0" collapsed="false">
      <c r="A511" s="127" t="str">
        <f aca="false">IF(AND(DITAR_MBYLLJE_AUTO!$M$2="PO",DITAR_MBYLLJE_AUTO!$G$15="PO",DITAR_MBYLLJE_AUTO!$F$15&gt;0),MBYLLJA_6_7_AUTO!$B$7,"")</f>
        <v/>
      </c>
      <c r="B511" s="128" t="str">
        <f aca="false">IF(AND(DITAR_MBYLLJE_AUTO!$M$2="PO",DITAR_MBYLLJE_AUTO!$G$15="PO",DITAR_MBYLLJE_AUTO!$F$15&gt;0),9012,"")</f>
        <v/>
      </c>
      <c r="C511" s="128" t="str">
        <f aca="false">IF(AND(DITAR_MBYLLJE_AUTO!$M$2="PO",DITAR_MBYLLJE_AUTO!$G$15="PO",DITAR_MBYLLJE_AUTO!$F$15&gt;0),"MB-REG-"&amp;TEXT(12,"00"),"")</f>
        <v/>
      </c>
      <c r="D511" s="128" t="str">
        <f aca="false">IF(AND(DITAR_MBYLLJE_AUTO!$M$2="PO",DITAR_MBYLLJE_AUTO!$G$15="PO",DITAR_MBYLLJE_AUTO!$F$15&gt;0),DITAR_MBYLLJE_AUTO!$D$15&amp;"","")</f>
        <v/>
      </c>
      <c r="E511" s="128" t="str">
        <f aca="false">IF($D511="","",IFERROR(VLOOKUP($D511,PLANI_LLOGARIVE!$A:$B,2,FALSE()),""))</f>
        <v/>
      </c>
      <c r="F511" s="128" t="str">
        <f aca="false">IF(AND(DITAR_MBYLLJE_AUTO!$M$2="PO",DITAR_MBYLLJE_AUTO!$G$15="PO",DITAR_MBYLLJE_AUTO!$F$15&gt;0),DITAR_MBYLLJE_AUTO!$F$15,"")</f>
        <v/>
      </c>
      <c r="G511" s="129"/>
      <c r="H511" s="128" t="str">
        <f aca="false">IF(AND(DITAR_MBYLLJE_AUTO!$M$2="PO",DITAR_MBYLLJE_AUTO!$G$15="PO",DITAR_MBYLLJE_AUTO!$F$15&gt;0),DITAR_MBYLLJE_AUTO!$B$15,"")</f>
        <v/>
      </c>
      <c r="I511" s="128" t="str">
        <f aca="false">IF(AND(DITAR_MBYLLJE_AUTO!$M$2="PO",DITAR_MBYLLJE_AUTO!$G$15="PO",DITAR_MBYLLJE_AUTO!$F$15&gt;0),DITAR_MBYLLJE_AUTO!$C$15,"")</f>
        <v/>
      </c>
      <c r="J511" s="128" t="str">
        <f aca="false">IF(TRIM($C511)="","",IF($M511&lt;&gt;"OK",$M511,IF(ABS(SUMIFS($F:$F,$C:$C,TRIM($C511))-SUMIFS($G:$G,$C:$C,TRIM($C511)))&lt;0.005,"OK","ERROR - veprimi nuk balancohet")))</f>
        <v/>
      </c>
      <c r="K511" s="128" t="str">
        <f aca="false">IF($D511="","",IFERROR(VLOOKUP($D511,PLANI_LLOGARIVE!$A:$J,10,FALSE()),FALSE()))</f>
        <v/>
      </c>
      <c r="L511" s="128" t="str">
        <f aca="false">IF($D511="","",IFERROR(VLOOKUP($D511,PLANI_LLOGARIVE!$A:$G,7,FALSE()),"NUK EKZISTON"))</f>
        <v/>
      </c>
      <c r="M511" s="128" t="str">
        <f aca="false">IF($D511="","",IF(COUNTIF(PLANI_LLOGARIVE!$A:$A,$D511)=0,"ERROR - llogaria nuk ekziston",IF($K511=TRUE(),"OK","ERROR - llogari jo-postuese/Header")))</f>
        <v/>
      </c>
      <c r="N511" s="130" t="str">
        <f aca="false">IF(TRIM($C511)="","",IF(ABS(SUMIFS($F:$F,$C:$C,TRIM($C511))-SUMIFS($G:$G,$C:$C,TRIM($C511)))&lt;0.005,"OK","ERROR - debi/kredi"))</f>
        <v/>
      </c>
      <c r="S511" s="116" t="str">
        <f aca="false">IF(D511="","",LEFT(D511&amp;"",2))</f>
        <v/>
      </c>
      <c r="T511" s="101" t="str">
        <f aca="false">IF(D511="","",LEFT(D511&amp;"",3))</f>
        <v/>
      </c>
    </row>
    <row r="512" customFormat="false" ht="15" hidden="false" customHeight="true" outlineLevel="0" collapsed="false">
      <c r="A512" s="127" t="str">
        <f aca="false">IF(AND(DITAR_MBYLLJE_AUTO!$M$2="PO",DITAR_MBYLLJE_AUTO!$G$15="PO",DITAR_MBYLLJE_AUTO!$F$15&gt;0),MBYLLJA_6_7_AUTO!$B$7,"")</f>
        <v/>
      </c>
      <c r="B512" s="128" t="str">
        <f aca="false">IF(AND(DITAR_MBYLLJE_AUTO!$M$2="PO",DITAR_MBYLLJE_AUTO!$G$15="PO",DITAR_MBYLLJE_AUTO!$F$15&gt;0),9012,"")</f>
        <v/>
      </c>
      <c r="C512" s="128" t="str">
        <f aca="false">IF(AND(DITAR_MBYLLJE_AUTO!$M$2="PO",DITAR_MBYLLJE_AUTO!$G$15="PO",DITAR_MBYLLJE_AUTO!$F$15&gt;0),"MB-REG-"&amp;TEXT(12,"00"),"")</f>
        <v/>
      </c>
      <c r="D512" s="128" t="str">
        <f aca="false">IF(AND(DITAR_MBYLLJE_AUTO!$M$2="PO",DITAR_MBYLLJE_AUTO!$G$15="PO",DITAR_MBYLLJE_AUTO!$F$15&gt;0),DITAR_MBYLLJE_AUTO!$E$15&amp;"","")</f>
        <v/>
      </c>
      <c r="E512" s="128" t="str">
        <f aca="false">IF($D512="","",IFERROR(VLOOKUP($D512,PLANI_LLOGARIVE!$A:$B,2,FALSE()),""))</f>
        <v/>
      </c>
      <c r="F512" s="129"/>
      <c r="G512" s="128" t="str">
        <f aca="false">IF(AND(DITAR_MBYLLJE_AUTO!$M$2="PO",DITAR_MBYLLJE_AUTO!$G$15="PO",DITAR_MBYLLJE_AUTO!$F$15&gt;0),DITAR_MBYLLJE_AUTO!$F$15,"")</f>
        <v/>
      </c>
      <c r="H512" s="128" t="str">
        <f aca="false">IF(AND(DITAR_MBYLLJE_AUTO!$M$2="PO",DITAR_MBYLLJE_AUTO!$G$15="PO",DITAR_MBYLLJE_AUTO!$F$15&gt;0),DITAR_MBYLLJE_AUTO!$B$15,"")</f>
        <v/>
      </c>
      <c r="I512" s="128" t="str">
        <f aca="false">IF(AND(DITAR_MBYLLJE_AUTO!$M$2="PO",DITAR_MBYLLJE_AUTO!$G$15="PO",DITAR_MBYLLJE_AUTO!$F$15&gt;0),DITAR_MBYLLJE_AUTO!$C$15,"")</f>
        <v/>
      </c>
      <c r="J512" s="128" t="str">
        <f aca="false">IF(TRIM($C512)="","",IF($M512&lt;&gt;"OK",$M512,IF(ABS(SUMIFS($F:$F,$C:$C,TRIM($C512))-SUMIFS($G:$G,$C:$C,TRIM($C512)))&lt;0.005,"OK","ERROR - veprimi nuk balancohet")))</f>
        <v/>
      </c>
      <c r="K512" s="128" t="str">
        <f aca="false">IF($D512="","",IFERROR(VLOOKUP($D512,PLANI_LLOGARIVE!$A:$J,10,FALSE()),FALSE()))</f>
        <v/>
      </c>
      <c r="L512" s="128" t="str">
        <f aca="false">IF($D512="","",IFERROR(VLOOKUP($D512,PLANI_LLOGARIVE!$A:$G,7,FALSE()),"NUK EKZISTON"))</f>
        <v/>
      </c>
      <c r="M512" s="128" t="str">
        <f aca="false">IF($D512="","",IF(COUNTIF(PLANI_LLOGARIVE!$A:$A,$D512)=0,"ERROR - llogaria nuk ekziston",IF($K512=TRUE(),"OK","ERROR - llogari jo-postuese/Header")))</f>
        <v/>
      </c>
      <c r="N512" s="130" t="str">
        <f aca="false">IF(TRIM($C512)="","",IF(ABS(SUMIFS($F:$F,$C:$C,TRIM($C512))-SUMIFS($G:$G,$C:$C,TRIM($C512)))&lt;0.005,"OK","ERROR - debi/kredi"))</f>
        <v/>
      </c>
      <c r="S512" s="116" t="str">
        <f aca="false">IF(D512="","",LEFT(D512&amp;"",2))</f>
        <v/>
      </c>
      <c r="T512" s="101" t="str">
        <f aca="false">IF(D512="","",LEFT(D512&amp;"",3))</f>
        <v/>
      </c>
    </row>
    <row r="513" customFormat="false" ht="15" hidden="false" customHeight="true" outlineLevel="0" collapsed="false">
      <c r="A513" s="127" t="str">
        <f aca="false">IF(AND(DITAR_MBYLLJE_AUTO!$M$2="PO",DITAR_MBYLLJE_AUTO!$G$16="PO",DITAR_MBYLLJE_AUTO!$F$16&gt;0),MBYLLJA_6_7_AUTO!$B$7,"")</f>
        <v/>
      </c>
      <c r="B513" s="128" t="str">
        <f aca="false">IF(AND(DITAR_MBYLLJE_AUTO!$M$2="PO",DITAR_MBYLLJE_AUTO!$G$16="PO",DITAR_MBYLLJE_AUTO!$F$16&gt;0),9013,"")</f>
        <v/>
      </c>
      <c r="C513" s="128" t="str">
        <f aca="false">IF(AND(DITAR_MBYLLJE_AUTO!$M$2="PO",DITAR_MBYLLJE_AUTO!$G$16="PO",DITAR_MBYLLJE_AUTO!$F$16&gt;0),"MB-REG-"&amp;TEXT(13,"00"),"")</f>
        <v/>
      </c>
      <c r="D513" s="128" t="str">
        <f aca="false">IF(AND(DITAR_MBYLLJE_AUTO!$M$2="PO",DITAR_MBYLLJE_AUTO!$G$16="PO",DITAR_MBYLLJE_AUTO!$F$16&gt;0),DITAR_MBYLLJE_AUTO!$D$16&amp;"","")</f>
        <v/>
      </c>
      <c r="E513" s="128" t="str">
        <f aca="false">IF($D513="","",IFERROR(VLOOKUP($D513,PLANI_LLOGARIVE!$A:$B,2,FALSE()),""))</f>
        <v/>
      </c>
      <c r="F513" s="128" t="str">
        <f aca="false">IF(AND(DITAR_MBYLLJE_AUTO!$M$2="PO",DITAR_MBYLLJE_AUTO!$G$16="PO",DITAR_MBYLLJE_AUTO!$F$16&gt;0),DITAR_MBYLLJE_AUTO!$F$16,"")</f>
        <v/>
      </c>
      <c r="G513" s="129"/>
      <c r="H513" s="128" t="str">
        <f aca="false">IF(AND(DITAR_MBYLLJE_AUTO!$M$2="PO",DITAR_MBYLLJE_AUTO!$G$16="PO",DITAR_MBYLLJE_AUTO!$F$16&gt;0),DITAR_MBYLLJE_AUTO!$B$16,"")</f>
        <v/>
      </c>
      <c r="I513" s="128" t="str">
        <f aca="false">IF(AND(DITAR_MBYLLJE_AUTO!$M$2="PO",DITAR_MBYLLJE_AUTO!$G$16="PO",DITAR_MBYLLJE_AUTO!$F$16&gt;0),DITAR_MBYLLJE_AUTO!$C$16,"")</f>
        <v/>
      </c>
      <c r="J513" s="128" t="str">
        <f aca="false">IF(TRIM($C513)="","",IF($M513&lt;&gt;"OK",$M513,IF(ABS(SUMIFS($F:$F,$C:$C,TRIM($C513))-SUMIFS($G:$G,$C:$C,TRIM($C513)))&lt;0.005,"OK","ERROR - veprimi nuk balancohet")))</f>
        <v/>
      </c>
      <c r="K513" s="128" t="str">
        <f aca="false">IF($D513="","",IFERROR(VLOOKUP($D513,PLANI_LLOGARIVE!$A:$J,10,FALSE()),FALSE()))</f>
        <v/>
      </c>
      <c r="L513" s="128" t="str">
        <f aca="false">IF($D513="","",IFERROR(VLOOKUP($D513,PLANI_LLOGARIVE!$A:$G,7,FALSE()),"NUK EKZISTON"))</f>
        <v/>
      </c>
      <c r="M513" s="128" t="str">
        <f aca="false">IF($D513="","",IF(COUNTIF(PLANI_LLOGARIVE!$A:$A,$D513)=0,"ERROR - llogaria nuk ekziston",IF($K513=TRUE(),"OK","ERROR - llogari jo-postuese/Header")))</f>
        <v/>
      </c>
      <c r="N513" s="130" t="str">
        <f aca="false">IF(TRIM($C513)="","",IF(ABS(SUMIFS($F:$F,$C:$C,TRIM($C513))-SUMIFS($G:$G,$C:$C,TRIM($C513)))&lt;0.005,"OK","ERROR - debi/kredi"))</f>
        <v/>
      </c>
      <c r="S513" s="116" t="str">
        <f aca="false">IF(D513="","",LEFT(D513&amp;"",2))</f>
        <v/>
      </c>
      <c r="T513" s="101" t="str">
        <f aca="false">IF(D513="","",LEFT(D513&amp;"",3))</f>
        <v/>
      </c>
    </row>
    <row r="514" customFormat="false" ht="15" hidden="false" customHeight="true" outlineLevel="0" collapsed="false">
      <c r="A514" s="127" t="str">
        <f aca="false">IF(AND(DITAR_MBYLLJE_AUTO!$M$2="PO",DITAR_MBYLLJE_AUTO!$G$16="PO",DITAR_MBYLLJE_AUTO!$F$16&gt;0),MBYLLJA_6_7_AUTO!$B$7,"")</f>
        <v/>
      </c>
      <c r="B514" s="128" t="str">
        <f aca="false">IF(AND(DITAR_MBYLLJE_AUTO!$M$2="PO",DITAR_MBYLLJE_AUTO!$G$16="PO",DITAR_MBYLLJE_AUTO!$F$16&gt;0),9013,"")</f>
        <v/>
      </c>
      <c r="C514" s="128" t="str">
        <f aca="false">IF(AND(DITAR_MBYLLJE_AUTO!$M$2="PO",DITAR_MBYLLJE_AUTO!$G$16="PO",DITAR_MBYLLJE_AUTO!$F$16&gt;0),"MB-REG-"&amp;TEXT(13,"00"),"")</f>
        <v/>
      </c>
      <c r="D514" s="128" t="str">
        <f aca="false">IF(AND(DITAR_MBYLLJE_AUTO!$M$2="PO",DITAR_MBYLLJE_AUTO!$G$16="PO",DITAR_MBYLLJE_AUTO!$F$16&gt;0),DITAR_MBYLLJE_AUTO!$E$16&amp;"","")</f>
        <v/>
      </c>
      <c r="E514" s="128" t="str">
        <f aca="false">IF($D514="","",IFERROR(VLOOKUP($D514,PLANI_LLOGARIVE!$A:$B,2,FALSE()),""))</f>
        <v/>
      </c>
      <c r="F514" s="129"/>
      <c r="G514" s="128" t="str">
        <f aca="false">IF(AND(DITAR_MBYLLJE_AUTO!$M$2="PO",DITAR_MBYLLJE_AUTO!$G$16="PO",DITAR_MBYLLJE_AUTO!$F$16&gt;0),DITAR_MBYLLJE_AUTO!$F$16,"")</f>
        <v/>
      </c>
      <c r="H514" s="128" t="str">
        <f aca="false">IF(AND(DITAR_MBYLLJE_AUTO!$M$2="PO",DITAR_MBYLLJE_AUTO!$G$16="PO",DITAR_MBYLLJE_AUTO!$F$16&gt;0),DITAR_MBYLLJE_AUTO!$B$16,"")</f>
        <v/>
      </c>
      <c r="I514" s="128" t="str">
        <f aca="false">IF(AND(DITAR_MBYLLJE_AUTO!$M$2="PO",DITAR_MBYLLJE_AUTO!$G$16="PO",DITAR_MBYLLJE_AUTO!$F$16&gt;0),DITAR_MBYLLJE_AUTO!$C$16,"")</f>
        <v/>
      </c>
      <c r="J514" s="128" t="str">
        <f aca="false">IF(TRIM($C514)="","",IF($M514&lt;&gt;"OK",$M514,IF(ABS(SUMIFS($F:$F,$C:$C,TRIM($C514))-SUMIFS($G:$G,$C:$C,TRIM($C514)))&lt;0.005,"OK","ERROR - veprimi nuk balancohet")))</f>
        <v/>
      </c>
      <c r="K514" s="128" t="str">
        <f aca="false">IF($D514="","",IFERROR(VLOOKUP($D514,PLANI_LLOGARIVE!$A:$J,10,FALSE()),FALSE()))</f>
        <v/>
      </c>
      <c r="L514" s="128" t="str">
        <f aca="false">IF($D514="","",IFERROR(VLOOKUP($D514,PLANI_LLOGARIVE!$A:$G,7,FALSE()),"NUK EKZISTON"))</f>
        <v/>
      </c>
      <c r="M514" s="128" t="str">
        <f aca="false">IF($D514="","",IF(COUNTIF(PLANI_LLOGARIVE!$A:$A,$D514)=0,"ERROR - llogaria nuk ekziston",IF($K514=TRUE(),"OK","ERROR - llogari jo-postuese/Header")))</f>
        <v/>
      </c>
      <c r="N514" s="130" t="str">
        <f aca="false">IF(TRIM($C514)="","",IF(ABS(SUMIFS($F:$F,$C:$C,TRIM($C514))-SUMIFS($G:$G,$C:$C,TRIM($C514)))&lt;0.005,"OK","ERROR - debi/kredi"))</f>
        <v/>
      </c>
      <c r="S514" s="116" t="str">
        <f aca="false">IF(D514="","",LEFT(D514&amp;"",2))</f>
        <v/>
      </c>
      <c r="T514" s="101" t="str">
        <f aca="false">IF(D514="","",LEFT(D514&amp;"",3))</f>
        <v/>
      </c>
    </row>
    <row r="515" customFormat="false" ht="15" hidden="false" customHeight="true" outlineLevel="0" collapsed="false">
      <c r="A515" s="127" t="str">
        <f aca="false">IF(AND(DITAR_MBYLLJE_AUTO!$M$2="PO",DITAR_MBYLLJE_AUTO!$G$17="PO",DITAR_MBYLLJE_AUTO!$F$17&gt;0),MBYLLJA_6_7_AUTO!$B$7,"")</f>
        <v/>
      </c>
      <c r="B515" s="128" t="str">
        <f aca="false">IF(AND(DITAR_MBYLLJE_AUTO!$M$2="PO",DITAR_MBYLLJE_AUTO!$G$17="PO",DITAR_MBYLLJE_AUTO!$F$17&gt;0),9014,"")</f>
        <v/>
      </c>
      <c r="C515" s="128" t="str">
        <f aca="false">IF(AND(DITAR_MBYLLJE_AUTO!$M$2="PO",DITAR_MBYLLJE_AUTO!$G$17="PO",DITAR_MBYLLJE_AUTO!$F$17&gt;0),"MB-REG-"&amp;TEXT(14,"00"),"")</f>
        <v/>
      </c>
      <c r="D515" s="128" t="str">
        <f aca="false">IF(AND(DITAR_MBYLLJE_AUTO!$M$2="PO",DITAR_MBYLLJE_AUTO!$G$17="PO",DITAR_MBYLLJE_AUTO!$F$17&gt;0),DITAR_MBYLLJE_AUTO!$D$17&amp;"","")</f>
        <v/>
      </c>
      <c r="E515" s="128" t="str">
        <f aca="false">IF($D515="","",IFERROR(VLOOKUP($D515,PLANI_LLOGARIVE!$A:$B,2,FALSE()),""))</f>
        <v/>
      </c>
      <c r="F515" s="128" t="str">
        <f aca="false">IF(AND(DITAR_MBYLLJE_AUTO!$M$2="PO",DITAR_MBYLLJE_AUTO!$G$17="PO",DITAR_MBYLLJE_AUTO!$F$17&gt;0),DITAR_MBYLLJE_AUTO!$F$17,"")</f>
        <v/>
      </c>
      <c r="G515" s="129"/>
      <c r="H515" s="128" t="str">
        <f aca="false">IF(AND(DITAR_MBYLLJE_AUTO!$M$2="PO",DITAR_MBYLLJE_AUTO!$G$17="PO",DITAR_MBYLLJE_AUTO!$F$17&gt;0),DITAR_MBYLLJE_AUTO!$B$17,"")</f>
        <v/>
      </c>
      <c r="I515" s="128" t="str">
        <f aca="false">IF(AND(DITAR_MBYLLJE_AUTO!$M$2="PO",DITAR_MBYLLJE_AUTO!$G$17="PO",DITAR_MBYLLJE_AUTO!$F$17&gt;0),DITAR_MBYLLJE_AUTO!$C$17,"")</f>
        <v/>
      </c>
      <c r="J515" s="128" t="str">
        <f aca="false">IF(TRIM($C515)="","",IF($M515&lt;&gt;"OK",$M515,IF(ABS(SUMIFS($F:$F,$C:$C,TRIM($C515))-SUMIFS($G:$G,$C:$C,TRIM($C515)))&lt;0.005,"OK","ERROR - veprimi nuk balancohet")))</f>
        <v/>
      </c>
      <c r="K515" s="128" t="str">
        <f aca="false">IF($D515="","",IFERROR(VLOOKUP($D515,PLANI_LLOGARIVE!$A:$J,10,FALSE()),FALSE()))</f>
        <v/>
      </c>
      <c r="L515" s="128" t="str">
        <f aca="false">IF($D515="","",IFERROR(VLOOKUP($D515,PLANI_LLOGARIVE!$A:$G,7,FALSE()),"NUK EKZISTON"))</f>
        <v/>
      </c>
      <c r="M515" s="128" t="str">
        <f aca="false">IF($D515="","",IF(COUNTIF(PLANI_LLOGARIVE!$A:$A,$D515)=0,"ERROR - llogaria nuk ekziston",IF($K515=TRUE(),"OK","ERROR - llogari jo-postuese/Header")))</f>
        <v/>
      </c>
      <c r="N515" s="130" t="str">
        <f aca="false">IF(TRIM($C515)="","",IF(ABS(SUMIFS($F:$F,$C:$C,TRIM($C515))-SUMIFS($G:$G,$C:$C,TRIM($C515)))&lt;0.005,"OK","ERROR - debi/kredi"))</f>
        <v/>
      </c>
      <c r="S515" s="116" t="str">
        <f aca="false">IF(D515="","",LEFT(D515&amp;"",2))</f>
        <v/>
      </c>
      <c r="T515" s="101" t="str">
        <f aca="false">IF(D515="","",LEFT(D515&amp;"",3))</f>
        <v/>
      </c>
    </row>
    <row r="516" customFormat="false" ht="15" hidden="false" customHeight="true" outlineLevel="0" collapsed="false">
      <c r="A516" s="127" t="str">
        <f aca="false">IF(AND(DITAR_MBYLLJE_AUTO!$M$2="PO",DITAR_MBYLLJE_AUTO!$G$17="PO",DITAR_MBYLLJE_AUTO!$F$17&gt;0),MBYLLJA_6_7_AUTO!$B$7,"")</f>
        <v/>
      </c>
      <c r="B516" s="128" t="str">
        <f aca="false">IF(AND(DITAR_MBYLLJE_AUTO!$M$2="PO",DITAR_MBYLLJE_AUTO!$G$17="PO",DITAR_MBYLLJE_AUTO!$F$17&gt;0),9014,"")</f>
        <v/>
      </c>
      <c r="C516" s="128" t="str">
        <f aca="false">IF(AND(DITAR_MBYLLJE_AUTO!$M$2="PO",DITAR_MBYLLJE_AUTO!$G$17="PO",DITAR_MBYLLJE_AUTO!$F$17&gt;0),"MB-REG-"&amp;TEXT(14,"00"),"")</f>
        <v/>
      </c>
      <c r="D516" s="128" t="str">
        <f aca="false">IF(AND(DITAR_MBYLLJE_AUTO!$M$2="PO",DITAR_MBYLLJE_AUTO!$G$17="PO",DITAR_MBYLLJE_AUTO!$F$17&gt;0),DITAR_MBYLLJE_AUTO!$E$17&amp;"","")</f>
        <v/>
      </c>
      <c r="E516" s="128" t="str">
        <f aca="false">IF($D516="","",IFERROR(VLOOKUP($D516,PLANI_LLOGARIVE!$A:$B,2,FALSE()),""))</f>
        <v/>
      </c>
      <c r="F516" s="129"/>
      <c r="G516" s="128" t="str">
        <f aca="false">IF(AND(DITAR_MBYLLJE_AUTO!$M$2="PO",DITAR_MBYLLJE_AUTO!$G$17="PO",DITAR_MBYLLJE_AUTO!$F$17&gt;0),DITAR_MBYLLJE_AUTO!$F$17,"")</f>
        <v/>
      </c>
      <c r="H516" s="128" t="str">
        <f aca="false">IF(AND(DITAR_MBYLLJE_AUTO!$M$2="PO",DITAR_MBYLLJE_AUTO!$G$17="PO",DITAR_MBYLLJE_AUTO!$F$17&gt;0),DITAR_MBYLLJE_AUTO!$B$17,"")</f>
        <v/>
      </c>
      <c r="I516" s="128" t="str">
        <f aca="false">IF(AND(DITAR_MBYLLJE_AUTO!$M$2="PO",DITAR_MBYLLJE_AUTO!$G$17="PO",DITAR_MBYLLJE_AUTO!$F$17&gt;0),DITAR_MBYLLJE_AUTO!$C$17,"")</f>
        <v/>
      </c>
      <c r="J516" s="128" t="str">
        <f aca="false">IF(TRIM($C516)="","",IF($M516&lt;&gt;"OK",$M516,IF(ABS(SUMIFS($F:$F,$C:$C,TRIM($C516))-SUMIFS($G:$G,$C:$C,TRIM($C516)))&lt;0.005,"OK","ERROR - veprimi nuk balancohet")))</f>
        <v/>
      </c>
      <c r="K516" s="128" t="str">
        <f aca="false">IF($D516="","",IFERROR(VLOOKUP($D516,PLANI_LLOGARIVE!$A:$J,10,FALSE()),FALSE()))</f>
        <v/>
      </c>
      <c r="L516" s="128" t="str">
        <f aca="false">IF($D516="","",IFERROR(VLOOKUP($D516,PLANI_LLOGARIVE!$A:$G,7,FALSE()),"NUK EKZISTON"))</f>
        <v/>
      </c>
      <c r="M516" s="128" t="str">
        <f aca="false">IF($D516="","",IF(COUNTIF(PLANI_LLOGARIVE!$A:$A,$D516)=0,"ERROR - llogaria nuk ekziston",IF($K516=TRUE(),"OK","ERROR - llogari jo-postuese/Header")))</f>
        <v/>
      </c>
      <c r="N516" s="130" t="str">
        <f aca="false">IF(TRIM($C516)="","",IF(ABS(SUMIFS($F:$F,$C:$C,TRIM($C516))-SUMIFS($G:$G,$C:$C,TRIM($C516)))&lt;0.005,"OK","ERROR - debi/kredi"))</f>
        <v/>
      </c>
      <c r="S516" s="116" t="str">
        <f aca="false">IF(D516="","",LEFT(D516&amp;"",2))</f>
        <v/>
      </c>
      <c r="T516" s="101" t="str">
        <f aca="false">IF(D516="","",LEFT(D516&amp;"",3))</f>
        <v/>
      </c>
    </row>
    <row r="517" customFormat="false" ht="15" hidden="false" customHeight="true" outlineLevel="0" collapsed="false">
      <c r="A517" s="127" t="str">
        <f aca="false">IF(AND(DITAR_MBYLLJE_AUTO!$M$2="PO",DITAR_MBYLLJE_AUTO!$G$18="PO",DITAR_MBYLLJE_AUTO!$F$18&gt;0),MBYLLJA_6_7_AUTO!$B$7,"")</f>
        <v/>
      </c>
      <c r="B517" s="128" t="str">
        <f aca="false">IF(AND(DITAR_MBYLLJE_AUTO!$M$2="PO",DITAR_MBYLLJE_AUTO!$G$18="PO",DITAR_MBYLLJE_AUTO!$F$18&gt;0),9015,"")</f>
        <v/>
      </c>
      <c r="C517" s="128" t="str">
        <f aca="false">IF(AND(DITAR_MBYLLJE_AUTO!$M$2="PO",DITAR_MBYLLJE_AUTO!$G$18="PO",DITAR_MBYLLJE_AUTO!$F$18&gt;0),"MB-REG-"&amp;TEXT(15,"00"),"")</f>
        <v/>
      </c>
      <c r="D517" s="128" t="str">
        <f aca="false">IF(AND(DITAR_MBYLLJE_AUTO!$M$2="PO",DITAR_MBYLLJE_AUTO!$G$18="PO",DITAR_MBYLLJE_AUTO!$F$18&gt;0),DITAR_MBYLLJE_AUTO!$D$18&amp;"","")</f>
        <v/>
      </c>
      <c r="E517" s="128" t="str">
        <f aca="false">IF($D517="","",IFERROR(VLOOKUP($D517,PLANI_LLOGARIVE!$A:$B,2,FALSE()),""))</f>
        <v/>
      </c>
      <c r="F517" s="128" t="str">
        <f aca="false">IF(AND(DITAR_MBYLLJE_AUTO!$M$2="PO",DITAR_MBYLLJE_AUTO!$G$18="PO",DITAR_MBYLLJE_AUTO!$F$18&gt;0),DITAR_MBYLLJE_AUTO!$F$18,"")</f>
        <v/>
      </c>
      <c r="G517" s="129"/>
      <c r="H517" s="128" t="str">
        <f aca="false">IF(AND(DITAR_MBYLLJE_AUTO!$M$2="PO",DITAR_MBYLLJE_AUTO!$G$18="PO",DITAR_MBYLLJE_AUTO!$F$18&gt;0),DITAR_MBYLLJE_AUTO!$B$18,"")</f>
        <v/>
      </c>
      <c r="I517" s="128" t="str">
        <f aca="false">IF(AND(DITAR_MBYLLJE_AUTO!$M$2="PO",DITAR_MBYLLJE_AUTO!$G$18="PO",DITAR_MBYLLJE_AUTO!$F$18&gt;0),DITAR_MBYLLJE_AUTO!$C$18,"")</f>
        <v/>
      </c>
      <c r="J517" s="128" t="str">
        <f aca="false">IF(TRIM($C517)="","",IF($M517&lt;&gt;"OK",$M517,IF(ABS(SUMIFS($F:$F,$C:$C,TRIM($C517))-SUMIFS($G:$G,$C:$C,TRIM($C517)))&lt;0.005,"OK","ERROR - veprimi nuk balancohet")))</f>
        <v/>
      </c>
      <c r="K517" s="128" t="str">
        <f aca="false">IF($D517="","",IFERROR(VLOOKUP($D517,PLANI_LLOGARIVE!$A:$J,10,FALSE()),FALSE()))</f>
        <v/>
      </c>
      <c r="L517" s="128" t="str">
        <f aca="false">IF($D517="","",IFERROR(VLOOKUP($D517,PLANI_LLOGARIVE!$A:$G,7,FALSE()),"NUK EKZISTON"))</f>
        <v/>
      </c>
      <c r="M517" s="128" t="str">
        <f aca="false">IF($D517="","",IF(COUNTIF(PLANI_LLOGARIVE!$A:$A,$D517)=0,"ERROR - llogaria nuk ekziston",IF($K517=TRUE(),"OK","ERROR - llogari jo-postuese/Header")))</f>
        <v/>
      </c>
      <c r="N517" s="130" t="str">
        <f aca="false">IF(TRIM($C517)="","",IF(ABS(SUMIFS($F:$F,$C:$C,TRIM($C517))-SUMIFS($G:$G,$C:$C,TRIM($C517)))&lt;0.005,"OK","ERROR - debi/kredi"))</f>
        <v/>
      </c>
      <c r="S517" s="116" t="str">
        <f aca="false">IF(D517="","",LEFT(D517&amp;"",2))</f>
        <v/>
      </c>
      <c r="T517" s="101" t="str">
        <f aca="false">IF(D517="","",LEFT(D517&amp;"",3))</f>
        <v/>
      </c>
    </row>
    <row r="518" customFormat="false" ht="15" hidden="false" customHeight="true" outlineLevel="0" collapsed="false">
      <c r="A518" s="127" t="str">
        <f aca="false">IF(AND(DITAR_MBYLLJE_AUTO!$M$2="PO",DITAR_MBYLLJE_AUTO!$G$18="PO",DITAR_MBYLLJE_AUTO!$F$18&gt;0),MBYLLJA_6_7_AUTO!$B$7,"")</f>
        <v/>
      </c>
      <c r="B518" s="128" t="str">
        <f aca="false">IF(AND(DITAR_MBYLLJE_AUTO!$M$2="PO",DITAR_MBYLLJE_AUTO!$G$18="PO",DITAR_MBYLLJE_AUTO!$F$18&gt;0),9015,"")</f>
        <v/>
      </c>
      <c r="C518" s="128" t="str">
        <f aca="false">IF(AND(DITAR_MBYLLJE_AUTO!$M$2="PO",DITAR_MBYLLJE_AUTO!$G$18="PO",DITAR_MBYLLJE_AUTO!$F$18&gt;0),"MB-REG-"&amp;TEXT(15,"00"),"")</f>
        <v/>
      </c>
      <c r="D518" s="128" t="str">
        <f aca="false">IF(AND(DITAR_MBYLLJE_AUTO!$M$2="PO",DITAR_MBYLLJE_AUTO!$G$18="PO",DITAR_MBYLLJE_AUTO!$F$18&gt;0),DITAR_MBYLLJE_AUTO!$E$18&amp;"","")</f>
        <v/>
      </c>
      <c r="E518" s="128" t="str">
        <f aca="false">IF($D518="","",IFERROR(VLOOKUP($D518,PLANI_LLOGARIVE!$A:$B,2,FALSE()),""))</f>
        <v/>
      </c>
      <c r="F518" s="129"/>
      <c r="G518" s="128" t="str">
        <f aca="false">IF(AND(DITAR_MBYLLJE_AUTO!$M$2="PO",DITAR_MBYLLJE_AUTO!$G$18="PO",DITAR_MBYLLJE_AUTO!$F$18&gt;0),DITAR_MBYLLJE_AUTO!$F$18,"")</f>
        <v/>
      </c>
      <c r="H518" s="128" t="str">
        <f aca="false">IF(AND(DITAR_MBYLLJE_AUTO!$M$2="PO",DITAR_MBYLLJE_AUTO!$G$18="PO",DITAR_MBYLLJE_AUTO!$F$18&gt;0),DITAR_MBYLLJE_AUTO!$B$18,"")</f>
        <v/>
      </c>
      <c r="I518" s="128" t="str">
        <f aca="false">IF(AND(DITAR_MBYLLJE_AUTO!$M$2="PO",DITAR_MBYLLJE_AUTO!$G$18="PO",DITAR_MBYLLJE_AUTO!$F$18&gt;0),DITAR_MBYLLJE_AUTO!$C$18,"")</f>
        <v/>
      </c>
      <c r="J518" s="128" t="str">
        <f aca="false">IF(TRIM($C518)="","",IF($M518&lt;&gt;"OK",$M518,IF(ABS(SUMIFS($F:$F,$C:$C,TRIM($C518))-SUMIFS($G:$G,$C:$C,TRIM($C518)))&lt;0.005,"OK","ERROR - veprimi nuk balancohet")))</f>
        <v/>
      </c>
      <c r="K518" s="128" t="str">
        <f aca="false">IF($D518="","",IFERROR(VLOOKUP($D518,PLANI_LLOGARIVE!$A:$J,10,FALSE()),FALSE()))</f>
        <v/>
      </c>
      <c r="L518" s="128" t="str">
        <f aca="false">IF($D518="","",IFERROR(VLOOKUP($D518,PLANI_LLOGARIVE!$A:$G,7,FALSE()),"NUK EKZISTON"))</f>
        <v/>
      </c>
      <c r="M518" s="128" t="str">
        <f aca="false">IF($D518="","",IF(COUNTIF(PLANI_LLOGARIVE!$A:$A,$D518)=0,"ERROR - llogaria nuk ekziston",IF($K518=TRUE(),"OK","ERROR - llogari jo-postuese/Header")))</f>
        <v/>
      </c>
      <c r="N518" s="130" t="str">
        <f aca="false">IF(TRIM($C518)="","",IF(ABS(SUMIFS($F:$F,$C:$C,TRIM($C518))-SUMIFS($G:$G,$C:$C,TRIM($C518)))&lt;0.005,"OK","ERROR - debi/kredi"))</f>
        <v/>
      </c>
      <c r="S518" s="116" t="str">
        <f aca="false">IF(D518="","",LEFT(D518&amp;"",2))</f>
        <v/>
      </c>
      <c r="T518" s="101" t="str">
        <f aca="false">IF(D518="","",LEFT(D518&amp;"",3))</f>
        <v/>
      </c>
    </row>
    <row r="519" customFormat="false" ht="15" hidden="false" customHeight="true" outlineLevel="0" collapsed="false">
      <c r="A519" s="127" t="str">
        <f aca="false">IF(AND(DITAR_MBYLLJE_AUTO!$M$2="PO",DITAR_MBYLLJE_AUTO!$G$19="PO",DITAR_MBYLLJE_AUTO!$F$19&gt;0),MBYLLJA_6_7_AUTO!$B$7,"")</f>
        <v/>
      </c>
      <c r="B519" s="128" t="str">
        <f aca="false">IF(AND(DITAR_MBYLLJE_AUTO!$M$2="PO",DITAR_MBYLLJE_AUTO!$G$19="PO",DITAR_MBYLLJE_AUTO!$F$19&gt;0),9016,"")</f>
        <v/>
      </c>
      <c r="C519" s="128" t="str">
        <f aca="false">IF(AND(DITAR_MBYLLJE_AUTO!$M$2="PO",DITAR_MBYLLJE_AUTO!$G$19="PO",DITAR_MBYLLJE_AUTO!$F$19&gt;0),"MB-REG-"&amp;TEXT(16,"00"),"")</f>
        <v/>
      </c>
      <c r="D519" s="128" t="str">
        <f aca="false">IF(AND(DITAR_MBYLLJE_AUTO!$M$2="PO",DITAR_MBYLLJE_AUTO!$G$19="PO",DITAR_MBYLLJE_AUTO!$F$19&gt;0),DITAR_MBYLLJE_AUTO!$D$19&amp;"","")</f>
        <v/>
      </c>
      <c r="E519" s="128" t="str">
        <f aca="false">IF($D519="","",IFERROR(VLOOKUP($D519,PLANI_LLOGARIVE!$A:$B,2,FALSE()),""))</f>
        <v/>
      </c>
      <c r="F519" s="128" t="str">
        <f aca="false">IF(AND(DITAR_MBYLLJE_AUTO!$M$2="PO",DITAR_MBYLLJE_AUTO!$G$19="PO",DITAR_MBYLLJE_AUTO!$F$19&gt;0),DITAR_MBYLLJE_AUTO!$F$19,"")</f>
        <v/>
      </c>
      <c r="G519" s="129"/>
      <c r="H519" s="128" t="str">
        <f aca="false">IF(AND(DITAR_MBYLLJE_AUTO!$M$2="PO",DITAR_MBYLLJE_AUTO!$G$19="PO",DITAR_MBYLLJE_AUTO!$F$19&gt;0),DITAR_MBYLLJE_AUTO!$B$19,"")</f>
        <v/>
      </c>
      <c r="I519" s="128" t="str">
        <f aca="false">IF(AND(DITAR_MBYLLJE_AUTO!$M$2="PO",DITAR_MBYLLJE_AUTO!$G$19="PO",DITAR_MBYLLJE_AUTO!$F$19&gt;0),DITAR_MBYLLJE_AUTO!$C$19,"")</f>
        <v/>
      </c>
      <c r="J519" s="128" t="str">
        <f aca="false">IF(TRIM($C519)="","",IF($M519&lt;&gt;"OK",$M519,IF(ABS(SUMIFS($F:$F,$C:$C,TRIM($C519))-SUMIFS($G:$G,$C:$C,TRIM($C519)))&lt;0.005,"OK","ERROR - veprimi nuk balancohet")))</f>
        <v/>
      </c>
      <c r="K519" s="128" t="str">
        <f aca="false">IF($D519="","",IFERROR(VLOOKUP($D519,PLANI_LLOGARIVE!$A:$J,10,FALSE()),FALSE()))</f>
        <v/>
      </c>
      <c r="L519" s="128" t="str">
        <f aca="false">IF($D519="","",IFERROR(VLOOKUP($D519,PLANI_LLOGARIVE!$A:$G,7,FALSE()),"NUK EKZISTON"))</f>
        <v/>
      </c>
      <c r="M519" s="128" t="str">
        <f aca="false">IF($D519="","",IF(COUNTIF(PLANI_LLOGARIVE!$A:$A,$D519)=0,"ERROR - llogaria nuk ekziston",IF($K519=TRUE(),"OK","ERROR - llogari jo-postuese/Header")))</f>
        <v/>
      </c>
      <c r="N519" s="130" t="str">
        <f aca="false">IF(TRIM($C519)="","",IF(ABS(SUMIFS($F:$F,$C:$C,TRIM($C519))-SUMIFS($G:$G,$C:$C,TRIM($C519)))&lt;0.005,"OK","ERROR - debi/kredi"))</f>
        <v/>
      </c>
      <c r="S519" s="116" t="str">
        <f aca="false">IF(D519="","",LEFT(D519&amp;"",2))</f>
        <v/>
      </c>
      <c r="T519" s="101" t="str">
        <f aca="false">IF(D519="","",LEFT(D519&amp;"",3))</f>
        <v/>
      </c>
    </row>
    <row r="520" customFormat="false" ht="15" hidden="false" customHeight="true" outlineLevel="0" collapsed="false">
      <c r="A520" s="127" t="str">
        <f aca="false">IF(AND(DITAR_MBYLLJE_AUTO!$M$2="PO",DITAR_MBYLLJE_AUTO!$G$19="PO",DITAR_MBYLLJE_AUTO!$F$19&gt;0),MBYLLJA_6_7_AUTO!$B$7,"")</f>
        <v/>
      </c>
      <c r="B520" s="128" t="str">
        <f aca="false">IF(AND(DITAR_MBYLLJE_AUTO!$M$2="PO",DITAR_MBYLLJE_AUTO!$G$19="PO",DITAR_MBYLLJE_AUTO!$F$19&gt;0),9016,"")</f>
        <v/>
      </c>
      <c r="C520" s="128" t="str">
        <f aca="false">IF(AND(DITAR_MBYLLJE_AUTO!$M$2="PO",DITAR_MBYLLJE_AUTO!$G$19="PO",DITAR_MBYLLJE_AUTO!$F$19&gt;0),"MB-REG-"&amp;TEXT(16,"00"),"")</f>
        <v/>
      </c>
      <c r="D520" s="128" t="str">
        <f aca="false">IF(AND(DITAR_MBYLLJE_AUTO!$M$2="PO",DITAR_MBYLLJE_AUTO!$G$19="PO",DITAR_MBYLLJE_AUTO!$F$19&gt;0),DITAR_MBYLLJE_AUTO!$E$19&amp;"","")</f>
        <v/>
      </c>
      <c r="E520" s="128" t="str">
        <f aca="false">IF($D520="","",IFERROR(VLOOKUP($D520,PLANI_LLOGARIVE!$A:$B,2,FALSE()),""))</f>
        <v/>
      </c>
      <c r="F520" s="129"/>
      <c r="G520" s="128" t="str">
        <f aca="false">IF(AND(DITAR_MBYLLJE_AUTO!$M$2="PO",DITAR_MBYLLJE_AUTO!$G$19="PO",DITAR_MBYLLJE_AUTO!$F$19&gt;0),DITAR_MBYLLJE_AUTO!$F$19,"")</f>
        <v/>
      </c>
      <c r="H520" s="128" t="str">
        <f aca="false">IF(AND(DITAR_MBYLLJE_AUTO!$M$2="PO",DITAR_MBYLLJE_AUTO!$G$19="PO",DITAR_MBYLLJE_AUTO!$F$19&gt;0),DITAR_MBYLLJE_AUTO!$B$19,"")</f>
        <v/>
      </c>
      <c r="I520" s="128" t="str">
        <f aca="false">IF(AND(DITAR_MBYLLJE_AUTO!$M$2="PO",DITAR_MBYLLJE_AUTO!$G$19="PO",DITAR_MBYLLJE_AUTO!$F$19&gt;0),DITAR_MBYLLJE_AUTO!$C$19,"")</f>
        <v/>
      </c>
      <c r="J520" s="128" t="str">
        <f aca="false">IF(TRIM($C520)="","",IF($M520&lt;&gt;"OK",$M520,IF(ABS(SUMIFS($F:$F,$C:$C,TRIM($C520))-SUMIFS($G:$G,$C:$C,TRIM($C520)))&lt;0.005,"OK","ERROR - veprimi nuk balancohet")))</f>
        <v/>
      </c>
      <c r="K520" s="128" t="str">
        <f aca="false">IF($D520="","",IFERROR(VLOOKUP($D520,PLANI_LLOGARIVE!$A:$J,10,FALSE()),FALSE()))</f>
        <v/>
      </c>
      <c r="L520" s="128" t="str">
        <f aca="false">IF($D520="","",IFERROR(VLOOKUP($D520,PLANI_LLOGARIVE!$A:$G,7,FALSE()),"NUK EKZISTON"))</f>
        <v/>
      </c>
      <c r="M520" s="128" t="str">
        <f aca="false">IF($D520="","",IF(COUNTIF(PLANI_LLOGARIVE!$A:$A,$D520)=0,"ERROR - llogaria nuk ekziston",IF($K520=TRUE(),"OK","ERROR - llogari jo-postuese/Header")))</f>
        <v/>
      </c>
      <c r="N520" s="130" t="str">
        <f aca="false">IF(TRIM($C520)="","",IF(ABS(SUMIFS($F:$F,$C:$C,TRIM($C520))-SUMIFS($G:$G,$C:$C,TRIM($C520)))&lt;0.005,"OK","ERROR - debi/kredi"))</f>
        <v/>
      </c>
      <c r="S520" s="116" t="str">
        <f aca="false">IF(D520="","",LEFT(D520&amp;"",2))</f>
        <v/>
      </c>
      <c r="T520" s="101" t="str">
        <f aca="false">IF(D520="","",LEFT(D520&amp;"",3))</f>
        <v/>
      </c>
    </row>
    <row r="521" customFormat="false" ht="15" hidden="false" customHeight="true" outlineLevel="0" collapsed="false">
      <c r="A521" s="127" t="str">
        <f aca="false">IF(AND(DITAR_MBYLLJE_AUTO!$M$2="PO",DITAR_MBYLLJE_AUTO!$G$20="PO",DITAR_MBYLLJE_AUTO!$F$20&gt;0),MBYLLJA_6_7_AUTO!$B$7,"")</f>
        <v/>
      </c>
      <c r="B521" s="128" t="str">
        <f aca="false">IF(AND(DITAR_MBYLLJE_AUTO!$M$2="PO",DITAR_MBYLLJE_AUTO!$G$20="PO",DITAR_MBYLLJE_AUTO!$F$20&gt;0),9017,"")</f>
        <v/>
      </c>
      <c r="C521" s="128" t="str">
        <f aca="false">IF(AND(DITAR_MBYLLJE_AUTO!$M$2="PO",DITAR_MBYLLJE_AUTO!$G$20="PO",DITAR_MBYLLJE_AUTO!$F$20&gt;0),"MB-REG-"&amp;TEXT(17,"00"),"")</f>
        <v/>
      </c>
      <c r="D521" s="128" t="str">
        <f aca="false">IF(AND(DITAR_MBYLLJE_AUTO!$M$2="PO",DITAR_MBYLLJE_AUTO!$G$20="PO",DITAR_MBYLLJE_AUTO!$F$20&gt;0),DITAR_MBYLLJE_AUTO!$D$20&amp;"","")</f>
        <v/>
      </c>
      <c r="E521" s="128" t="str">
        <f aca="false">IF($D521="","",IFERROR(VLOOKUP($D521,PLANI_LLOGARIVE!$A:$B,2,FALSE()),""))</f>
        <v/>
      </c>
      <c r="F521" s="128" t="str">
        <f aca="false">IF(AND(DITAR_MBYLLJE_AUTO!$M$2="PO",DITAR_MBYLLJE_AUTO!$G$20="PO",DITAR_MBYLLJE_AUTO!$F$20&gt;0),DITAR_MBYLLJE_AUTO!$F$20,"")</f>
        <v/>
      </c>
      <c r="G521" s="129"/>
      <c r="H521" s="128" t="str">
        <f aca="false">IF(AND(DITAR_MBYLLJE_AUTO!$M$2="PO",DITAR_MBYLLJE_AUTO!$G$20="PO",DITAR_MBYLLJE_AUTO!$F$20&gt;0),DITAR_MBYLLJE_AUTO!$B$20,"")</f>
        <v/>
      </c>
      <c r="I521" s="128" t="str">
        <f aca="false">IF(AND(DITAR_MBYLLJE_AUTO!$M$2="PO",DITAR_MBYLLJE_AUTO!$G$20="PO",DITAR_MBYLLJE_AUTO!$F$20&gt;0),DITAR_MBYLLJE_AUTO!$C$20,"")</f>
        <v/>
      </c>
      <c r="J521" s="128" t="str">
        <f aca="false">IF(TRIM($C521)="","",IF($M521&lt;&gt;"OK",$M521,IF(ABS(SUMIFS($F:$F,$C:$C,TRIM($C521))-SUMIFS($G:$G,$C:$C,TRIM($C521)))&lt;0.005,"OK","ERROR - veprimi nuk balancohet")))</f>
        <v/>
      </c>
      <c r="K521" s="128" t="str">
        <f aca="false">IF($D521="","",IFERROR(VLOOKUP($D521,PLANI_LLOGARIVE!$A:$J,10,FALSE()),FALSE()))</f>
        <v/>
      </c>
      <c r="L521" s="128" t="str">
        <f aca="false">IF($D521="","",IFERROR(VLOOKUP($D521,PLANI_LLOGARIVE!$A:$G,7,FALSE()),"NUK EKZISTON"))</f>
        <v/>
      </c>
      <c r="M521" s="128" t="str">
        <f aca="false">IF($D521="","",IF(COUNTIF(PLANI_LLOGARIVE!$A:$A,$D521)=0,"ERROR - llogaria nuk ekziston",IF($K521=TRUE(),"OK","ERROR - llogari jo-postuese/Header")))</f>
        <v/>
      </c>
      <c r="N521" s="130" t="str">
        <f aca="false">IF(TRIM($C521)="","",IF(ABS(SUMIFS($F:$F,$C:$C,TRIM($C521))-SUMIFS($G:$G,$C:$C,TRIM($C521)))&lt;0.005,"OK","ERROR - debi/kredi"))</f>
        <v/>
      </c>
      <c r="S521" s="116" t="str">
        <f aca="false">IF(D521="","",LEFT(D521&amp;"",2))</f>
        <v/>
      </c>
      <c r="T521" s="101" t="str">
        <f aca="false">IF(D521="","",LEFT(D521&amp;"",3))</f>
        <v/>
      </c>
    </row>
    <row r="522" customFormat="false" ht="15" hidden="false" customHeight="true" outlineLevel="0" collapsed="false">
      <c r="A522" s="127" t="str">
        <f aca="false">IF(AND(DITAR_MBYLLJE_AUTO!$M$2="PO",DITAR_MBYLLJE_AUTO!$G$20="PO",DITAR_MBYLLJE_AUTO!$F$20&gt;0),MBYLLJA_6_7_AUTO!$B$7,"")</f>
        <v/>
      </c>
      <c r="B522" s="128" t="str">
        <f aca="false">IF(AND(DITAR_MBYLLJE_AUTO!$M$2="PO",DITAR_MBYLLJE_AUTO!$G$20="PO",DITAR_MBYLLJE_AUTO!$F$20&gt;0),9017,"")</f>
        <v/>
      </c>
      <c r="C522" s="128" t="str">
        <f aca="false">IF(AND(DITAR_MBYLLJE_AUTO!$M$2="PO",DITAR_MBYLLJE_AUTO!$G$20="PO",DITAR_MBYLLJE_AUTO!$F$20&gt;0),"MB-REG-"&amp;TEXT(17,"00"),"")</f>
        <v/>
      </c>
      <c r="D522" s="128" t="str">
        <f aca="false">IF(AND(DITAR_MBYLLJE_AUTO!$M$2="PO",DITAR_MBYLLJE_AUTO!$G$20="PO",DITAR_MBYLLJE_AUTO!$F$20&gt;0),DITAR_MBYLLJE_AUTO!$E$20&amp;"","")</f>
        <v/>
      </c>
      <c r="E522" s="128" t="str">
        <f aca="false">IF($D522="","",IFERROR(VLOOKUP($D522,PLANI_LLOGARIVE!$A:$B,2,FALSE()),""))</f>
        <v/>
      </c>
      <c r="F522" s="129"/>
      <c r="G522" s="128" t="str">
        <f aca="false">IF(AND(DITAR_MBYLLJE_AUTO!$M$2="PO",DITAR_MBYLLJE_AUTO!$G$20="PO",DITAR_MBYLLJE_AUTO!$F$20&gt;0),DITAR_MBYLLJE_AUTO!$F$20,"")</f>
        <v/>
      </c>
      <c r="H522" s="128" t="str">
        <f aca="false">IF(AND(DITAR_MBYLLJE_AUTO!$M$2="PO",DITAR_MBYLLJE_AUTO!$G$20="PO",DITAR_MBYLLJE_AUTO!$F$20&gt;0),DITAR_MBYLLJE_AUTO!$B$20,"")</f>
        <v/>
      </c>
      <c r="I522" s="128" t="str">
        <f aca="false">IF(AND(DITAR_MBYLLJE_AUTO!$M$2="PO",DITAR_MBYLLJE_AUTO!$G$20="PO",DITAR_MBYLLJE_AUTO!$F$20&gt;0),DITAR_MBYLLJE_AUTO!$C$20,"")</f>
        <v/>
      </c>
      <c r="J522" s="128" t="str">
        <f aca="false">IF(TRIM($C522)="","",IF($M522&lt;&gt;"OK",$M522,IF(ABS(SUMIFS($F:$F,$C:$C,TRIM($C522))-SUMIFS($G:$G,$C:$C,TRIM($C522)))&lt;0.005,"OK","ERROR - veprimi nuk balancohet")))</f>
        <v/>
      </c>
      <c r="K522" s="128" t="str">
        <f aca="false">IF($D522="","",IFERROR(VLOOKUP($D522,PLANI_LLOGARIVE!$A:$J,10,FALSE()),FALSE()))</f>
        <v/>
      </c>
      <c r="L522" s="128" t="str">
        <f aca="false">IF($D522="","",IFERROR(VLOOKUP($D522,PLANI_LLOGARIVE!$A:$G,7,FALSE()),"NUK EKZISTON"))</f>
        <v/>
      </c>
      <c r="M522" s="128" t="str">
        <f aca="false">IF($D522="","",IF(COUNTIF(PLANI_LLOGARIVE!$A:$A,$D522)=0,"ERROR - llogaria nuk ekziston",IF($K522=TRUE(),"OK","ERROR - llogari jo-postuese/Header")))</f>
        <v/>
      </c>
      <c r="N522" s="130" t="str">
        <f aca="false">IF(TRIM($C522)="","",IF(ABS(SUMIFS($F:$F,$C:$C,TRIM($C522))-SUMIFS($G:$G,$C:$C,TRIM($C522)))&lt;0.005,"OK","ERROR - debi/kredi"))</f>
        <v/>
      </c>
      <c r="S522" s="116" t="str">
        <f aca="false">IF(D522="","",LEFT(D522&amp;"",2))</f>
        <v/>
      </c>
      <c r="T522" s="101" t="str">
        <f aca="false">IF(D522="","",LEFT(D522&amp;"",3))</f>
        <v/>
      </c>
    </row>
    <row r="523" customFormat="false" ht="15" hidden="false" customHeight="true" outlineLevel="0" collapsed="false">
      <c r="A523" s="127" t="str">
        <f aca="false">IF(AND(DITAR_MBYLLJE_AUTO!$M$2="PO",DITAR_MBYLLJE_AUTO!$G$21="PO",DITAR_MBYLLJE_AUTO!$F$21&gt;0),MBYLLJA_6_7_AUTO!$B$7,"")</f>
        <v/>
      </c>
      <c r="B523" s="128" t="str">
        <f aca="false">IF(AND(DITAR_MBYLLJE_AUTO!$M$2="PO",DITAR_MBYLLJE_AUTO!$G$21="PO",DITAR_MBYLLJE_AUTO!$F$21&gt;0),9018,"")</f>
        <v/>
      </c>
      <c r="C523" s="128" t="str">
        <f aca="false">IF(AND(DITAR_MBYLLJE_AUTO!$M$2="PO",DITAR_MBYLLJE_AUTO!$G$21="PO",DITAR_MBYLLJE_AUTO!$F$21&gt;0),"MB-REG-"&amp;TEXT(18,"00"),"")</f>
        <v/>
      </c>
      <c r="D523" s="128" t="str">
        <f aca="false">IF(AND(DITAR_MBYLLJE_AUTO!$M$2="PO",DITAR_MBYLLJE_AUTO!$G$21="PO",DITAR_MBYLLJE_AUTO!$F$21&gt;0),DITAR_MBYLLJE_AUTO!$D$21&amp;"","")</f>
        <v/>
      </c>
      <c r="E523" s="128" t="str">
        <f aca="false">IF($D523="","",IFERROR(VLOOKUP($D523,PLANI_LLOGARIVE!$A:$B,2,FALSE()),""))</f>
        <v/>
      </c>
      <c r="F523" s="128" t="str">
        <f aca="false">IF(AND(DITAR_MBYLLJE_AUTO!$M$2="PO",DITAR_MBYLLJE_AUTO!$G$21="PO",DITAR_MBYLLJE_AUTO!$F$21&gt;0),DITAR_MBYLLJE_AUTO!$F$21,"")</f>
        <v/>
      </c>
      <c r="G523" s="129"/>
      <c r="H523" s="128" t="str">
        <f aca="false">IF(AND(DITAR_MBYLLJE_AUTO!$M$2="PO",DITAR_MBYLLJE_AUTO!$G$21="PO",DITAR_MBYLLJE_AUTO!$F$21&gt;0),DITAR_MBYLLJE_AUTO!$B$21,"")</f>
        <v/>
      </c>
      <c r="I523" s="128" t="str">
        <f aca="false">IF(AND(DITAR_MBYLLJE_AUTO!$M$2="PO",DITAR_MBYLLJE_AUTO!$G$21="PO",DITAR_MBYLLJE_AUTO!$F$21&gt;0),DITAR_MBYLLJE_AUTO!$C$21,"")</f>
        <v/>
      </c>
      <c r="J523" s="128" t="str">
        <f aca="false">IF(TRIM($C523)="","",IF($M523&lt;&gt;"OK",$M523,IF(ABS(SUMIFS($F:$F,$C:$C,TRIM($C523))-SUMIFS($G:$G,$C:$C,TRIM($C523)))&lt;0.005,"OK","ERROR - veprimi nuk balancohet")))</f>
        <v/>
      </c>
      <c r="K523" s="128" t="str">
        <f aca="false">IF($D523="","",IFERROR(VLOOKUP($D523,PLANI_LLOGARIVE!$A:$J,10,FALSE()),FALSE()))</f>
        <v/>
      </c>
      <c r="L523" s="128" t="str">
        <f aca="false">IF($D523="","",IFERROR(VLOOKUP($D523,PLANI_LLOGARIVE!$A:$G,7,FALSE()),"NUK EKZISTON"))</f>
        <v/>
      </c>
      <c r="M523" s="128" t="str">
        <f aca="false">IF($D523="","",IF(COUNTIF(PLANI_LLOGARIVE!$A:$A,$D523)=0,"ERROR - llogaria nuk ekziston",IF($K523=TRUE(),"OK","ERROR - llogari jo-postuese/Header")))</f>
        <v/>
      </c>
      <c r="N523" s="130" t="str">
        <f aca="false">IF(TRIM($C523)="","",IF(ABS(SUMIFS($F:$F,$C:$C,TRIM($C523))-SUMIFS($G:$G,$C:$C,TRIM($C523)))&lt;0.005,"OK","ERROR - debi/kredi"))</f>
        <v/>
      </c>
      <c r="S523" s="116" t="str">
        <f aca="false">IF(D523="","",LEFT(D523&amp;"",2))</f>
        <v/>
      </c>
      <c r="T523" s="101" t="str">
        <f aca="false">IF(D523="","",LEFT(D523&amp;"",3))</f>
        <v/>
      </c>
    </row>
    <row r="524" customFormat="false" ht="15" hidden="false" customHeight="true" outlineLevel="0" collapsed="false">
      <c r="A524" s="127" t="str">
        <f aca="false">IF(AND(DITAR_MBYLLJE_AUTO!$M$2="PO",DITAR_MBYLLJE_AUTO!$G$21="PO",DITAR_MBYLLJE_AUTO!$F$21&gt;0),MBYLLJA_6_7_AUTO!$B$7,"")</f>
        <v/>
      </c>
      <c r="B524" s="128" t="str">
        <f aca="false">IF(AND(DITAR_MBYLLJE_AUTO!$M$2="PO",DITAR_MBYLLJE_AUTO!$G$21="PO",DITAR_MBYLLJE_AUTO!$F$21&gt;0),9018,"")</f>
        <v/>
      </c>
      <c r="C524" s="128" t="str">
        <f aca="false">IF(AND(DITAR_MBYLLJE_AUTO!$M$2="PO",DITAR_MBYLLJE_AUTO!$G$21="PO",DITAR_MBYLLJE_AUTO!$F$21&gt;0),"MB-REG-"&amp;TEXT(18,"00"),"")</f>
        <v/>
      </c>
      <c r="D524" s="128" t="str">
        <f aca="false">IF(AND(DITAR_MBYLLJE_AUTO!$M$2="PO",DITAR_MBYLLJE_AUTO!$G$21="PO",DITAR_MBYLLJE_AUTO!$F$21&gt;0),DITAR_MBYLLJE_AUTO!$E$21&amp;"","")</f>
        <v/>
      </c>
      <c r="E524" s="128" t="str">
        <f aca="false">IF($D524="","",IFERROR(VLOOKUP($D524,PLANI_LLOGARIVE!$A:$B,2,FALSE()),""))</f>
        <v/>
      </c>
      <c r="F524" s="129"/>
      <c r="G524" s="128" t="str">
        <f aca="false">IF(AND(DITAR_MBYLLJE_AUTO!$M$2="PO",DITAR_MBYLLJE_AUTO!$G$21="PO",DITAR_MBYLLJE_AUTO!$F$21&gt;0),DITAR_MBYLLJE_AUTO!$F$21,"")</f>
        <v/>
      </c>
      <c r="H524" s="128" t="str">
        <f aca="false">IF(AND(DITAR_MBYLLJE_AUTO!$M$2="PO",DITAR_MBYLLJE_AUTO!$G$21="PO",DITAR_MBYLLJE_AUTO!$F$21&gt;0),DITAR_MBYLLJE_AUTO!$B$21,"")</f>
        <v/>
      </c>
      <c r="I524" s="128" t="str">
        <f aca="false">IF(AND(DITAR_MBYLLJE_AUTO!$M$2="PO",DITAR_MBYLLJE_AUTO!$G$21="PO",DITAR_MBYLLJE_AUTO!$F$21&gt;0),DITAR_MBYLLJE_AUTO!$C$21,"")</f>
        <v/>
      </c>
      <c r="J524" s="128" t="str">
        <f aca="false">IF(TRIM($C524)="","",IF($M524&lt;&gt;"OK",$M524,IF(ABS(SUMIFS($F:$F,$C:$C,TRIM($C524))-SUMIFS($G:$G,$C:$C,TRIM($C524)))&lt;0.005,"OK","ERROR - veprimi nuk balancohet")))</f>
        <v/>
      </c>
      <c r="K524" s="128" t="str">
        <f aca="false">IF($D524="","",IFERROR(VLOOKUP($D524,PLANI_LLOGARIVE!$A:$J,10,FALSE()),FALSE()))</f>
        <v/>
      </c>
      <c r="L524" s="128" t="str">
        <f aca="false">IF($D524="","",IFERROR(VLOOKUP($D524,PLANI_LLOGARIVE!$A:$G,7,FALSE()),"NUK EKZISTON"))</f>
        <v/>
      </c>
      <c r="M524" s="128" t="str">
        <f aca="false">IF($D524="","",IF(COUNTIF(PLANI_LLOGARIVE!$A:$A,$D524)=0,"ERROR - llogaria nuk ekziston",IF($K524=TRUE(),"OK","ERROR - llogari jo-postuese/Header")))</f>
        <v/>
      </c>
      <c r="N524" s="130" t="str">
        <f aca="false">IF(TRIM($C524)="","",IF(ABS(SUMIFS($F:$F,$C:$C,TRIM($C524))-SUMIFS($G:$G,$C:$C,TRIM($C524)))&lt;0.005,"OK","ERROR - debi/kredi"))</f>
        <v/>
      </c>
      <c r="S524" s="116" t="str">
        <f aca="false">IF(D524="","",LEFT(D524&amp;"",2))</f>
        <v/>
      </c>
      <c r="T524" s="101" t="str">
        <f aca="false">IF(D524="","",LEFT(D524&amp;"",3))</f>
        <v/>
      </c>
    </row>
    <row r="525" customFormat="false" ht="15" hidden="false" customHeight="true" outlineLevel="0" collapsed="false">
      <c r="A525" s="127" t="str">
        <f aca="false">IF(AND(DITAR_MBYLLJE_AUTO!$M$2="PO",DITAR_MBYLLJE_AUTO!$G$22="PO",DITAR_MBYLLJE_AUTO!$F$22&gt;0),MBYLLJA_6_7_AUTO!$B$7,"")</f>
        <v/>
      </c>
      <c r="B525" s="128" t="str">
        <f aca="false">IF(AND(DITAR_MBYLLJE_AUTO!$M$2="PO",DITAR_MBYLLJE_AUTO!$G$22="PO",DITAR_MBYLLJE_AUTO!$F$22&gt;0),9019,"")</f>
        <v/>
      </c>
      <c r="C525" s="128" t="str">
        <f aca="false">IF(AND(DITAR_MBYLLJE_AUTO!$M$2="PO",DITAR_MBYLLJE_AUTO!$G$22="PO",DITAR_MBYLLJE_AUTO!$F$22&gt;0),"MB-REG-"&amp;TEXT(19,"00"),"")</f>
        <v/>
      </c>
      <c r="D525" s="128" t="str">
        <f aca="false">IF(AND(DITAR_MBYLLJE_AUTO!$M$2="PO",DITAR_MBYLLJE_AUTO!$G$22="PO",DITAR_MBYLLJE_AUTO!$F$22&gt;0),DITAR_MBYLLJE_AUTO!$D$22&amp;"","")</f>
        <v/>
      </c>
      <c r="E525" s="128" t="str">
        <f aca="false">IF($D525="","",IFERROR(VLOOKUP($D525,PLANI_LLOGARIVE!$A:$B,2,FALSE()),""))</f>
        <v/>
      </c>
      <c r="F525" s="128" t="str">
        <f aca="false">IF(AND(DITAR_MBYLLJE_AUTO!$M$2="PO",DITAR_MBYLLJE_AUTO!$G$22="PO",DITAR_MBYLLJE_AUTO!$F$22&gt;0),DITAR_MBYLLJE_AUTO!$F$22,"")</f>
        <v/>
      </c>
      <c r="G525" s="129"/>
      <c r="H525" s="128" t="str">
        <f aca="false">IF(AND(DITAR_MBYLLJE_AUTO!$M$2="PO",DITAR_MBYLLJE_AUTO!$G$22="PO",DITAR_MBYLLJE_AUTO!$F$22&gt;0),DITAR_MBYLLJE_AUTO!$B$22,"")</f>
        <v/>
      </c>
      <c r="I525" s="128" t="str">
        <f aca="false">IF(AND(DITAR_MBYLLJE_AUTO!$M$2="PO",DITAR_MBYLLJE_AUTO!$G$22="PO",DITAR_MBYLLJE_AUTO!$F$22&gt;0),DITAR_MBYLLJE_AUTO!$C$22,"")</f>
        <v/>
      </c>
      <c r="J525" s="128" t="str">
        <f aca="false">IF(TRIM($C525)="","",IF($M525&lt;&gt;"OK",$M525,IF(ABS(SUMIFS($F:$F,$C:$C,TRIM($C525))-SUMIFS($G:$G,$C:$C,TRIM($C525)))&lt;0.005,"OK","ERROR - veprimi nuk balancohet")))</f>
        <v/>
      </c>
      <c r="K525" s="128" t="str">
        <f aca="false">IF($D525="","",IFERROR(VLOOKUP($D525,PLANI_LLOGARIVE!$A:$J,10,FALSE()),FALSE()))</f>
        <v/>
      </c>
      <c r="L525" s="128" t="str">
        <f aca="false">IF($D525="","",IFERROR(VLOOKUP($D525,PLANI_LLOGARIVE!$A:$G,7,FALSE()),"NUK EKZISTON"))</f>
        <v/>
      </c>
      <c r="M525" s="128" t="str">
        <f aca="false">IF($D525="","",IF(COUNTIF(PLANI_LLOGARIVE!$A:$A,$D525)=0,"ERROR - llogaria nuk ekziston",IF($K525=TRUE(),"OK","ERROR - llogari jo-postuese/Header")))</f>
        <v/>
      </c>
      <c r="N525" s="130" t="str">
        <f aca="false">IF(TRIM($C525)="","",IF(ABS(SUMIFS($F:$F,$C:$C,TRIM($C525))-SUMIFS($G:$G,$C:$C,TRIM($C525)))&lt;0.005,"OK","ERROR - debi/kredi"))</f>
        <v/>
      </c>
      <c r="S525" s="116" t="str">
        <f aca="false">IF(D525="","",LEFT(D525&amp;"",2))</f>
        <v/>
      </c>
      <c r="T525" s="101" t="str">
        <f aca="false">IF(D525="","",LEFT(D525&amp;"",3))</f>
        <v/>
      </c>
    </row>
    <row r="526" customFormat="false" ht="15" hidden="false" customHeight="true" outlineLevel="0" collapsed="false">
      <c r="A526" s="127" t="str">
        <f aca="false">IF(AND(DITAR_MBYLLJE_AUTO!$M$2="PO",DITAR_MBYLLJE_AUTO!$G$22="PO",DITAR_MBYLLJE_AUTO!$F$22&gt;0),MBYLLJA_6_7_AUTO!$B$7,"")</f>
        <v/>
      </c>
      <c r="B526" s="128" t="str">
        <f aca="false">IF(AND(DITAR_MBYLLJE_AUTO!$M$2="PO",DITAR_MBYLLJE_AUTO!$G$22="PO",DITAR_MBYLLJE_AUTO!$F$22&gt;0),9019,"")</f>
        <v/>
      </c>
      <c r="C526" s="128" t="str">
        <f aca="false">IF(AND(DITAR_MBYLLJE_AUTO!$M$2="PO",DITAR_MBYLLJE_AUTO!$G$22="PO",DITAR_MBYLLJE_AUTO!$F$22&gt;0),"MB-REG-"&amp;TEXT(19,"00"),"")</f>
        <v/>
      </c>
      <c r="D526" s="128" t="str">
        <f aca="false">IF(AND(DITAR_MBYLLJE_AUTO!$M$2="PO",DITAR_MBYLLJE_AUTO!$G$22="PO",DITAR_MBYLLJE_AUTO!$F$22&gt;0),DITAR_MBYLLJE_AUTO!$E$22&amp;"","")</f>
        <v/>
      </c>
      <c r="E526" s="128" t="str">
        <f aca="false">IF($D526="","",IFERROR(VLOOKUP($D526,PLANI_LLOGARIVE!$A:$B,2,FALSE()),""))</f>
        <v/>
      </c>
      <c r="F526" s="129"/>
      <c r="G526" s="128" t="str">
        <f aca="false">IF(AND(DITAR_MBYLLJE_AUTO!$M$2="PO",DITAR_MBYLLJE_AUTO!$G$22="PO",DITAR_MBYLLJE_AUTO!$F$22&gt;0),DITAR_MBYLLJE_AUTO!$F$22,"")</f>
        <v/>
      </c>
      <c r="H526" s="128" t="str">
        <f aca="false">IF(AND(DITAR_MBYLLJE_AUTO!$M$2="PO",DITAR_MBYLLJE_AUTO!$G$22="PO",DITAR_MBYLLJE_AUTO!$F$22&gt;0),DITAR_MBYLLJE_AUTO!$B$22,"")</f>
        <v/>
      </c>
      <c r="I526" s="128" t="str">
        <f aca="false">IF(AND(DITAR_MBYLLJE_AUTO!$M$2="PO",DITAR_MBYLLJE_AUTO!$G$22="PO",DITAR_MBYLLJE_AUTO!$F$22&gt;0),DITAR_MBYLLJE_AUTO!$C$22,"")</f>
        <v/>
      </c>
      <c r="J526" s="128" t="str">
        <f aca="false">IF(TRIM($C526)="","",IF($M526&lt;&gt;"OK",$M526,IF(ABS(SUMIFS($F:$F,$C:$C,TRIM($C526))-SUMIFS($G:$G,$C:$C,TRIM($C526)))&lt;0.005,"OK","ERROR - veprimi nuk balancohet")))</f>
        <v/>
      </c>
      <c r="K526" s="128" t="str">
        <f aca="false">IF($D526="","",IFERROR(VLOOKUP($D526,PLANI_LLOGARIVE!$A:$J,10,FALSE()),FALSE()))</f>
        <v/>
      </c>
      <c r="L526" s="128" t="str">
        <f aca="false">IF($D526="","",IFERROR(VLOOKUP($D526,PLANI_LLOGARIVE!$A:$G,7,FALSE()),"NUK EKZISTON"))</f>
        <v/>
      </c>
      <c r="M526" s="128" t="str">
        <f aca="false">IF($D526="","",IF(COUNTIF(PLANI_LLOGARIVE!$A:$A,$D526)=0,"ERROR - llogaria nuk ekziston",IF($K526=TRUE(),"OK","ERROR - llogari jo-postuese/Header")))</f>
        <v/>
      </c>
      <c r="N526" s="130" t="str">
        <f aca="false">IF(TRIM($C526)="","",IF(ABS(SUMIFS($F:$F,$C:$C,TRIM($C526))-SUMIFS($G:$G,$C:$C,TRIM($C526)))&lt;0.005,"OK","ERROR - debi/kredi"))</f>
        <v/>
      </c>
      <c r="S526" s="116" t="str">
        <f aca="false">IF(D526="","",LEFT(D526&amp;"",2))</f>
        <v/>
      </c>
      <c r="T526" s="101" t="str">
        <f aca="false">IF(D526="","",LEFT(D526&amp;"",3))</f>
        <v/>
      </c>
    </row>
    <row r="527" customFormat="false" ht="15" hidden="false" customHeight="true" outlineLevel="0" collapsed="false">
      <c r="A527" s="127" t="str">
        <f aca="false">IF(AND(DITAR_MBYLLJE_AUTO!$M$2="PO",DITAR_MBYLLJE_AUTO!$G$23="PO",DITAR_MBYLLJE_AUTO!$F$23&gt;0),MBYLLJA_6_7_AUTO!$B$7,"")</f>
        <v/>
      </c>
      <c r="B527" s="128" t="str">
        <f aca="false">IF(AND(DITAR_MBYLLJE_AUTO!$M$2="PO",DITAR_MBYLLJE_AUTO!$G$23="PO",DITAR_MBYLLJE_AUTO!$F$23&gt;0),9020,"")</f>
        <v/>
      </c>
      <c r="C527" s="128" t="str">
        <f aca="false">IF(AND(DITAR_MBYLLJE_AUTO!$M$2="PO",DITAR_MBYLLJE_AUTO!$G$23="PO",DITAR_MBYLLJE_AUTO!$F$23&gt;0),"MB-REG-"&amp;TEXT(20,"00"),"")</f>
        <v/>
      </c>
      <c r="D527" s="128" t="str">
        <f aca="false">IF(AND(DITAR_MBYLLJE_AUTO!$M$2="PO",DITAR_MBYLLJE_AUTO!$G$23="PO",DITAR_MBYLLJE_AUTO!$F$23&gt;0),DITAR_MBYLLJE_AUTO!$D$23&amp;"","")</f>
        <v/>
      </c>
      <c r="E527" s="128" t="str">
        <f aca="false">IF($D527="","",IFERROR(VLOOKUP($D527,PLANI_LLOGARIVE!$A:$B,2,FALSE()),""))</f>
        <v/>
      </c>
      <c r="F527" s="128" t="str">
        <f aca="false">IF(AND(DITAR_MBYLLJE_AUTO!$M$2="PO",DITAR_MBYLLJE_AUTO!$G$23="PO",DITAR_MBYLLJE_AUTO!$F$23&gt;0),DITAR_MBYLLJE_AUTO!$F$23,"")</f>
        <v/>
      </c>
      <c r="G527" s="129"/>
      <c r="H527" s="128" t="str">
        <f aca="false">IF(AND(DITAR_MBYLLJE_AUTO!$M$2="PO",DITAR_MBYLLJE_AUTO!$G$23="PO",DITAR_MBYLLJE_AUTO!$F$23&gt;0),DITAR_MBYLLJE_AUTO!$B$23,"")</f>
        <v/>
      </c>
      <c r="I527" s="128" t="str">
        <f aca="false">IF(AND(DITAR_MBYLLJE_AUTO!$M$2="PO",DITAR_MBYLLJE_AUTO!$G$23="PO",DITAR_MBYLLJE_AUTO!$F$23&gt;0),DITAR_MBYLLJE_AUTO!$C$23,"")</f>
        <v/>
      </c>
      <c r="J527" s="128" t="str">
        <f aca="false">IF(TRIM($C527)="","",IF($M527&lt;&gt;"OK",$M527,IF(ABS(SUMIFS($F:$F,$C:$C,TRIM($C527))-SUMIFS($G:$G,$C:$C,TRIM($C527)))&lt;0.005,"OK","ERROR - veprimi nuk balancohet")))</f>
        <v/>
      </c>
      <c r="K527" s="128" t="str">
        <f aca="false">IF($D527="","",IFERROR(VLOOKUP($D527,PLANI_LLOGARIVE!$A:$J,10,FALSE()),FALSE()))</f>
        <v/>
      </c>
      <c r="L527" s="128" t="str">
        <f aca="false">IF($D527="","",IFERROR(VLOOKUP($D527,PLANI_LLOGARIVE!$A:$G,7,FALSE()),"NUK EKZISTON"))</f>
        <v/>
      </c>
      <c r="M527" s="128" t="str">
        <f aca="false">IF($D527="","",IF(COUNTIF(PLANI_LLOGARIVE!$A:$A,$D527)=0,"ERROR - llogaria nuk ekziston",IF($K527=TRUE(),"OK","ERROR - llogari jo-postuese/Header")))</f>
        <v/>
      </c>
      <c r="N527" s="130" t="str">
        <f aca="false">IF(TRIM($C527)="","",IF(ABS(SUMIFS($F:$F,$C:$C,TRIM($C527))-SUMIFS($G:$G,$C:$C,TRIM($C527)))&lt;0.005,"OK","ERROR - debi/kredi"))</f>
        <v/>
      </c>
      <c r="S527" s="116" t="str">
        <f aca="false">IF(D527="","",LEFT(D527&amp;"",2))</f>
        <v/>
      </c>
      <c r="T527" s="101" t="str">
        <f aca="false">IF(D527="","",LEFT(D527&amp;"",3))</f>
        <v/>
      </c>
    </row>
    <row r="528" customFormat="false" ht="15" hidden="false" customHeight="true" outlineLevel="0" collapsed="false">
      <c r="A528" s="127" t="str">
        <f aca="false">IF(AND(DITAR_MBYLLJE_AUTO!$M$2="PO",DITAR_MBYLLJE_AUTO!$G$23="PO",DITAR_MBYLLJE_AUTO!$F$23&gt;0),MBYLLJA_6_7_AUTO!$B$7,"")</f>
        <v/>
      </c>
      <c r="B528" s="128" t="str">
        <f aca="false">IF(AND(DITAR_MBYLLJE_AUTO!$M$2="PO",DITAR_MBYLLJE_AUTO!$G$23="PO",DITAR_MBYLLJE_AUTO!$F$23&gt;0),9020,"")</f>
        <v/>
      </c>
      <c r="C528" s="128" t="str">
        <f aca="false">IF(AND(DITAR_MBYLLJE_AUTO!$M$2="PO",DITAR_MBYLLJE_AUTO!$G$23="PO",DITAR_MBYLLJE_AUTO!$F$23&gt;0),"MB-REG-"&amp;TEXT(20,"00"),"")</f>
        <v/>
      </c>
      <c r="D528" s="128" t="str">
        <f aca="false">IF(AND(DITAR_MBYLLJE_AUTO!$M$2="PO",DITAR_MBYLLJE_AUTO!$G$23="PO",DITAR_MBYLLJE_AUTO!$F$23&gt;0),DITAR_MBYLLJE_AUTO!$E$23&amp;"","")</f>
        <v/>
      </c>
      <c r="E528" s="128" t="str">
        <f aca="false">IF($D528="","",IFERROR(VLOOKUP($D528,PLANI_LLOGARIVE!$A:$B,2,FALSE()),""))</f>
        <v/>
      </c>
      <c r="F528" s="129"/>
      <c r="G528" s="128" t="str">
        <f aca="false">IF(AND(DITAR_MBYLLJE_AUTO!$M$2="PO",DITAR_MBYLLJE_AUTO!$G$23="PO",DITAR_MBYLLJE_AUTO!$F$23&gt;0),DITAR_MBYLLJE_AUTO!$F$23,"")</f>
        <v/>
      </c>
      <c r="H528" s="128" t="str">
        <f aca="false">IF(AND(DITAR_MBYLLJE_AUTO!$M$2="PO",DITAR_MBYLLJE_AUTO!$G$23="PO",DITAR_MBYLLJE_AUTO!$F$23&gt;0),DITAR_MBYLLJE_AUTO!$B$23,"")</f>
        <v/>
      </c>
      <c r="I528" s="128" t="str">
        <f aca="false">IF(AND(DITAR_MBYLLJE_AUTO!$M$2="PO",DITAR_MBYLLJE_AUTO!$G$23="PO",DITAR_MBYLLJE_AUTO!$F$23&gt;0),DITAR_MBYLLJE_AUTO!$C$23,"")</f>
        <v/>
      </c>
      <c r="J528" s="128" t="str">
        <f aca="false">IF(TRIM($C528)="","",IF($M528&lt;&gt;"OK",$M528,IF(ABS(SUMIFS($F:$F,$C:$C,TRIM($C528))-SUMIFS($G:$G,$C:$C,TRIM($C528)))&lt;0.005,"OK","ERROR - veprimi nuk balancohet")))</f>
        <v/>
      </c>
      <c r="K528" s="128" t="str">
        <f aca="false">IF($D528="","",IFERROR(VLOOKUP($D528,PLANI_LLOGARIVE!$A:$J,10,FALSE()),FALSE()))</f>
        <v/>
      </c>
      <c r="L528" s="128" t="str">
        <f aca="false">IF($D528="","",IFERROR(VLOOKUP($D528,PLANI_LLOGARIVE!$A:$G,7,FALSE()),"NUK EKZISTON"))</f>
        <v/>
      </c>
      <c r="M528" s="128" t="str">
        <f aca="false">IF($D528="","",IF(COUNTIF(PLANI_LLOGARIVE!$A:$A,$D528)=0,"ERROR - llogaria nuk ekziston",IF($K528=TRUE(),"OK","ERROR - llogari jo-postuese/Header")))</f>
        <v/>
      </c>
      <c r="N528" s="130" t="str">
        <f aca="false">IF(TRIM($C528)="","",IF(ABS(SUMIFS($F:$F,$C:$C,TRIM($C528))-SUMIFS($G:$G,$C:$C,TRIM($C528)))&lt;0.005,"OK","ERROR - debi/kredi"))</f>
        <v/>
      </c>
      <c r="S528" s="116" t="str">
        <f aca="false">IF(D528="","",LEFT(D528&amp;"",2))</f>
        <v/>
      </c>
      <c r="T528" s="101" t="str">
        <f aca="false">IF(D528="","",LEFT(D528&amp;"",3))</f>
        <v/>
      </c>
    </row>
    <row r="529" customFormat="false" ht="15" hidden="false" customHeight="true" outlineLevel="0" collapsed="false">
      <c r="A529" s="127" t="str">
        <f aca="false">IF(AND(DITAR_MBYLLJE_AUTO!$M$2="PO",DITAR_MBYLLJE_AUTO!$G$24="PO",DITAR_MBYLLJE_AUTO!$F$24&gt;0),MBYLLJA_6_7_AUTO!$B$7,"")</f>
        <v/>
      </c>
      <c r="B529" s="128" t="str">
        <f aca="false">IF(AND(DITAR_MBYLLJE_AUTO!$M$2="PO",DITAR_MBYLLJE_AUTO!$G$24="PO",DITAR_MBYLLJE_AUTO!$F$24&gt;0),9021,"")</f>
        <v/>
      </c>
      <c r="C529" s="128" t="str">
        <f aca="false">IF(AND(DITAR_MBYLLJE_AUTO!$M$2="PO",DITAR_MBYLLJE_AUTO!$G$24="PO",DITAR_MBYLLJE_AUTO!$F$24&gt;0),"MB-REG-"&amp;TEXT(21,"00"),"")</f>
        <v/>
      </c>
      <c r="D529" s="128" t="str">
        <f aca="false">IF(AND(DITAR_MBYLLJE_AUTO!$M$2="PO",DITAR_MBYLLJE_AUTO!$G$24="PO",DITAR_MBYLLJE_AUTO!$F$24&gt;0),DITAR_MBYLLJE_AUTO!$D$24&amp;"","")</f>
        <v/>
      </c>
      <c r="E529" s="128" t="str">
        <f aca="false">IF($D529="","",IFERROR(VLOOKUP($D529,PLANI_LLOGARIVE!$A:$B,2,FALSE()),""))</f>
        <v/>
      </c>
      <c r="F529" s="128" t="str">
        <f aca="false">IF(AND(DITAR_MBYLLJE_AUTO!$M$2="PO",DITAR_MBYLLJE_AUTO!$G$24="PO",DITAR_MBYLLJE_AUTO!$F$24&gt;0),DITAR_MBYLLJE_AUTO!$F$24,"")</f>
        <v/>
      </c>
      <c r="G529" s="129"/>
      <c r="H529" s="128" t="str">
        <f aca="false">IF(AND(DITAR_MBYLLJE_AUTO!$M$2="PO",DITAR_MBYLLJE_AUTO!$G$24="PO",DITAR_MBYLLJE_AUTO!$F$24&gt;0),DITAR_MBYLLJE_AUTO!$B$24,"")</f>
        <v/>
      </c>
      <c r="I529" s="128" t="str">
        <f aca="false">IF(AND(DITAR_MBYLLJE_AUTO!$M$2="PO",DITAR_MBYLLJE_AUTO!$G$24="PO",DITAR_MBYLLJE_AUTO!$F$24&gt;0),DITAR_MBYLLJE_AUTO!$C$24,"")</f>
        <v/>
      </c>
      <c r="J529" s="128" t="str">
        <f aca="false">IF(TRIM($C529)="","",IF($M529&lt;&gt;"OK",$M529,IF(ABS(SUMIFS($F:$F,$C:$C,TRIM($C529))-SUMIFS($G:$G,$C:$C,TRIM($C529)))&lt;0.005,"OK","ERROR - veprimi nuk balancohet")))</f>
        <v/>
      </c>
      <c r="K529" s="128" t="str">
        <f aca="false">IF($D529="","",IFERROR(VLOOKUP($D529,PLANI_LLOGARIVE!$A:$J,10,FALSE()),FALSE()))</f>
        <v/>
      </c>
      <c r="L529" s="128" t="str">
        <f aca="false">IF($D529="","",IFERROR(VLOOKUP($D529,PLANI_LLOGARIVE!$A:$G,7,FALSE()),"NUK EKZISTON"))</f>
        <v/>
      </c>
      <c r="M529" s="128" t="str">
        <f aca="false">IF($D529="","",IF(COUNTIF(PLANI_LLOGARIVE!$A:$A,$D529)=0,"ERROR - llogaria nuk ekziston",IF($K529=TRUE(),"OK","ERROR - llogari jo-postuese/Header")))</f>
        <v/>
      </c>
      <c r="N529" s="130" t="str">
        <f aca="false">IF(TRIM($C529)="","",IF(ABS(SUMIFS($F:$F,$C:$C,TRIM($C529))-SUMIFS($G:$G,$C:$C,TRIM($C529)))&lt;0.005,"OK","ERROR - debi/kredi"))</f>
        <v/>
      </c>
      <c r="S529" s="116" t="str">
        <f aca="false">IF(D529="","",LEFT(D529&amp;"",2))</f>
        <v/>
      </c>
      <c r="T529" s="101" t="str">
        <f aca="false">IF(D529="","",LEFT(D529&amp;"",3))</f>
        <v/>
      </c>
    </row>
    <row r="530" customFormat="false" ht="15" hidden="false" customHeight="true" outlineLevel="0" collapsed="false">
      <c r="A530" s="127" t="str">
        <f aca="false">IF(AND(DITAR_MBYLLJE_AUTO!$M$2="PO",DITAR_MBYLLJE_AUTO!$G$24="PO",DITAR_MBYLLJE_AUTO!$F$24&gt;0),MBYLLJA_6_7_AUTO!$B$7,"")</f>
        <v/>
      </c>
      <c r="B530" s="128" t="str">
        <f aca="false">IF(AND(DITAR_MBYLLJE_AUTO!$M$2="PO",DITAR_MBYLLJE_AUTO!$G$24="PO",DITAR_MBYLLJE_AUTO!$F$24&gt;0),9021,"")</f>
        <v/>
      </c>
      <c r="C530" s="128" t="str">
        <f aca="false">IF(AND(DITAR_MBYLLJE_AUTO!$M$2="PO",DITAR_MBYLLJE_AUTO!$G$24="PO",DITAR_MBYLLJE_AUTO!$F$24&gt;0),"MB-REG-"&amp;TEXT(21,"00"),"")</f>
        <v/>
      </c>
      <c r="D530" s="128" t="str">
        <f aca="false">IF(AND(DITAR_MBYLLJE_AUTO!$M$2="PO",DITAR_MBYLLJE_AUTO!$G$24="PO",DITAR_MBYLLJE_AUTO!$F$24&gt;0),DITAR_MBYLLJE_AUTO!$E$24&amp;"","")</f>
        <v/>
      </c>
      <c r="E530" s="128" t="str">
        <f aca="false">IF($D530="","",IFERROR(VLOOKUP($D530,PLANI_LLOGARIVE!$A:$B,2,FALSE()),""))</f>
        <v/>
      </c>
      <c r="F530" s="129"/>
      <c r="G530" s="128" t="str">
        <f aca="false">IF(AND(DITAR_MBYLLJE_AUTO!$M$2="PO",DITAR_MBYLLJE_AUTO!$G$24="PO",DITAR_MBYLLJE_AUTO!$F$24&gt;0),DITAR_MBYLLJE_AUTO!$F$24,"")</f>
        <v/>
      </c>
      <c r="H530" s="128" t="str">
        <f aca="false">IF(AND(DITAR_MBYLLJE_AUTO!$M$2="PO",DITAR_MBYLLJE_AUTO!$G$24="PO",DITAR_MBYLLJE_AUTO!$F$24&gt;0),DITAR_MBYLLJE_AUTO!$B$24,"")</f>
        <v/>
      </c>
      <c r="I530" s="128" t="str">
        <f aca="false">IF(AND(DITAR_MBYLLJE_AUTO!$M$2="PO",DITAR_MBYLLJE_AUTO!$G$24="PO",DITAR_MBYLLJE_AUTO!$F$24&gt;0),DITAR_MBYLLJE_AUTO!$C$24,"")</f>
        <v/>
      </c>
      <c r="J530" s="128" t="str">
        <f aca="false">IF(TRIM($C530)="","",IF($M530&lt;&gt;"OK",$M530,IF(ABS(SUMIFS($F:$F,$C:$C,TRIM($C530))-SUMIFS($G:$G,$C:$C,TRIM($C530)))&lt;0.005,"OK","ERROR - veprimi nuk balancohet")))</f>
        <v/>
      </c>
      <c r="K530" s="128" t="str">
        <f aca="false">IF($D530="","",IFERROR(VLOOKUP($D530,PLANI_LLOGARIVE!$A:$J,10,FALSE()),FALSE()))</f>
        <v/>
      </c>
      <c r="L530" s="128" t="str">
        <f aca="false">IF($D530="","",IFERROR(VLOOKUP($D530,PLANI_LLOGARIVE!$A:$G,7,FALSE()),"NUK EKZISTON"))</f>
        <v/>
      </c>
      <c r="M530" s="128" t="str">
        <f aca="false">IF($D530="","",IF(COUNTIF(PLANI_LLOGARIVE!$A:$A,$D530)=0,"ERROR - llogaria nuk ekziston",IF($K530=TRUE(),"OK","ERROR - llogari jo-postuese/Header")))</f>
        <v/>
      </c>
      <c r="N530" s="130" t="str">
        <f aca="false">IF(TRIM($C530)="","",IF(ABS(SUMIFS($F:$F,$C:$C,TRIM($C530))-SUMIFS($G:$G,$C:$C,TRIM($C530)))&lt;0.005,"OK","ERROR - debi/kredi"))</f>
        <v/>
      </c>
      <c r="S530" s="116" t="str">
        <f aca="false">IF(D530="","",LEFT(D530&amp;"",2))</f>
        <v/>
      </c>
      <c r="T530" s="101" t="str">
        <f aca="false">IF(D530="","",LEFT(D530&amp;"",3))</f>
        <v/>
      </c>
    </row>
    <row r="531" customFormat="false" ht="15" hidden="false" customHeight="true" outlineLevel="0" collapsed="false">
      <c r="A531" s="131"/>
      <c r="B531" s="132"/>
      <c r="C531" s="132"/>
      <c r="D531" s="132"/>
      <c r="E531" s="132"/>
      <c r="F531" s="132"/>
      <c r="G531" s="132"/>
      <c r="H531" s="132"/>
      <c r="I531" s="132"/>
      <c r="J531" s="133" t="str">
        <f aca="false">IF(TRIM($C531)="","",IF($M531&lt;&gt;"OK",$M531,IF(ABS(SUMIFS($F:$F,$C:$C,TRIM($C531))-SUMIFS($G:$G,$C:$C,TRIM($C531)))&lt;0.005,"OK","ERROR - veprimi nuk balancohet")))</f>
        <v/>
      </c>
      <c r="K531" s="133" t="str">
        <f aca="false">IF($D531="","",IFERROR(VLOOKUP($D531,PLANI_LLOGARIVE!$A:$J,10,FALSE()),FALSE()))</f>
        <v/>
      </c>
      <c r="L531" s="133" t="str">
        <f aca="false">IF($D531="","",IFERROR(VLOOKUP($D531,PLANI_LLOGARIVE!$A:$G,7,FALSE()),"NUK EKZISTON"))</f>
        <v/>
      </c>
      <c r="M531" s="133" t="str">
        <f aca="false">IF($D531="","",IF(COUNTIF(PLANI_LLOGARIVE!$A:$A,$D531)=0,"ERROR - llogaria nuk ekziston",IF($K531=TRUE(),"OK","ERROR - llogari jo-postuese/Header")))</f>
        <v/>
      </c>
      <c r="N531" s="134" t="str">
        <f aca="false">IF(TRIM($C531)="","",IF(ABS(SUMIFS($F:$F,$C:$C,TRIM($C531))-SUMIFS($G:$G,$C:$C,TRIM($C531)))&lt;0.005,"OK","ERROR - debi/kredi"))</f>
        <v/>
      </c>
      <c r="S531" s="116" t="str">
        <f aca="false">IF(D531="","",LEFT(D531&amp;"",2))</f>
        <v/>
      </c>
      <c r="T531" s="101" t="str">
        <f aca="false">IF(D531="","",LEFT(D531&amp;"",3))</f>
        <v/>
      </c>
    </row>
    <row r="532" customFormat="false" ht="15" hidden="false" customHeight="true" outlineLevel="0" collapsed="false">
      <c r="A532" s="131"/>
      <c r="B532" s="132"/>
      <c r="C532" s="132"/>
      <c r="D532" s="132"/>
      <c r="E532" s="132"/>
      <c r="F532" s="132"/>
      <c r="G532" s="132"/>
      <c r="H532" s="132"/>
      <c r="I532" s="132"/>
      <c r="J532" s="133" t="str">
        <f aca="false">IF(TRIM($C532)="","",IF($M532&lt;&gt;"OK",$M532,IF(ABS(SUMIFS($F:$F,$C:$C,TRIM($C532))-SUMIFS($G:$G,$C:$C,TRIM($C532)))&lt;0.005,"OK","ERROR - veprimi nuk balancohet")))</f>
        <v/>
      </c>
      <c r="K532" s="133" t="str">
        <f aca="false">IF($D532="","",IFERROR(VLOOKUP($D532,PLANI_LLOGARIVE!$A:$J,10,FALSE()),FALSE()))</f>
        <v/>
      </c>
      <c r="L532" s="133" t="str">
        <f aca="false">IF($D532="","",IFERROR(VLOOKUP($D532,PLANI_LLOGARIVE!$A:$G,7,FALSE()),"NUK EKZISTON"))</f>
        <v/>
      </c>
      <c r="M532" s="133" t="str">
        <f aca="false">IF($D532="","",IF(COUNTIF(PLANI_LLOGARIVE!$A:$A,$D532)=0,"ERROR - llogaria nuk ekziston",IF($K532=TRUE(),"OK","ERROR - llogari jo-postuese/Header")))</f>
        <v/>
      </c>
      <c r="N532" s="134" t="str">
        <f aca="false">IF(TRIM($C532)="","",IF(ABS(SUMIFS($F:$F,$C:$C,TRIM($C532))-SUMIFS($G:$G,$C:$C,TRIM($C532)))&lt;0.005,"OK","ERROR - debi/kredi"))</f>
        <v/>
      </c>
      <c r="S532" s="116" t="str">
        <f aca="false">IF(D532="","",LEFT(D532&amp;"",2))</f>
        <v/>
      </c>
      <c r="T532" s="101" t="str">
        <f aca="false">IF(D532="","",LEFT(D532&amp;"",3))</f>
        <v/>
      </c>
    </row>
    <row r="533" customFormat="false" ht="15" hidden="false" customHeight="true" outlineLevel="0" collapsed="false">
      <c r="A533" s="131"/>
      <c r="B533" s="132"/>
      <c r="C533" s="132"/>
      <c r="D533" s="132"/>
      <c r="E533" s="132"/>
      <c r="F533" s="132"/>
      <c r="G533" s="132"/>
      <c r="H533" s="132"/>
      <c r="I533" s="132"/>
      <c r="J533" s="133" t="str">
        <f aca="false">IF(TRIM($C533)="","",IF($M533&lt;&gt;"OK",$M533,IF(ABS(SUMIFS($F:$F,$C:$C,TRIM($C533))-SUMIFS($G:$G,$C:$C,TRIM($C533)))&lt;0.005,"OK","ERROR - veprimi nuk balancohet")))</f>
        <v/>
      </c>
      <c r="K533" s="133" t="str">
        <f aca="false">IF($D533="","",IFERROR(VLOOKUP($D533,PLANI_LLOGARIVE!$A:$J,10,FALSE()),FALSE()))</f>
        <v/>
      </c>
      <c r="L533" s="133" t="str">
        <f aca="false">IF($D533="","",IFERROR(VLOOKUP($D533,PLANI_LLOGARIVE!$A:$G,7,FALSE()),"NUK EKZISTON"))</f>
        <v/>
      </c>
      <c r="M533" s="133" t="str">
        <f aca="false">IF($D533="","",IF(COUNTIF(PLANI_LLOGARIVE!$A:$A,$D533)=0,"ERROR - llogaria nuk ekziston",IF($K533=TRUE(),"OK","ERROR - llogari jo-postuese/Header")))</f>
        <v/>
      </c>
      <c r="N533" s="134" t="str">
        <f aca="false">IF(TRIM($C533)="","",IF(ABS(SUMIFS($F:$F,$C:$C,TRIM($C533))-SUMIFS($G:$G,$C:$C,TRIM($C533)))&lt;0.005,"OK","ERROR - debi/kredi"))</f>
        <v/>
      </c>
      <c r="S533" s="116" t="str">
        <f aca="false">IF(D533="","",LEFT(D533&amp;"",2))</f>
        <v/>
      </c>
      <c r="T533" s="101" t="str">
        <f aca="false">IF(D533="","",LEFT(D533&amp;"",3))</f>
        <v/>
      </c>
    </row>
    <row r="534" customFormat="false" ht="15" hidden="false" customHeight="true" outlineLevel="0" collapsed="false">
      <c r="A534" s="131"/>
      <c r="B534" s="132"/>
      <c r="C534" s="132"/>
      <c r="D534" s="132"/>
      <c r="E534" s="132"/>
      <c r="F534" s="132"/>
      <c r="G534" s="132"/>
      <c r="H534" s="132"/>
      <c r="I534" s="132"/>
      <c r="J534" s="133" t="str">
        <f aca="false">IF(TRIM($C534)="","",IF($M534&lt;&gt;"OK",$M534,IF(ABS(SUMIFS($F:$F,$C:$C,TRIM($C534))-SUMIFS($G:$G,$C:$C,TRIM($C534)))&lt;0.005,"OK","ERROR - veprimi nuk balancohet")))</f>
        <v/>
      </c>
      <c r="K534" s="133" t="str">
        <f aca="false">IF($D534="","",IFERROR(VLOOKUP($D534,PLANI_LLOGARIVE!$A:$J,10,FALSE()),FALSE()))</f>
        <v/>
      </c>
      <c r="L534" s="133" t="str">
        <f aca="false">IF($D534="","",IFERROR(VLOOKUP($D534,PLANI_LLOGARIVE!$A:$G,7,FALSE()),"NUK EKZISTON"))</f>
        <v/>
      </c>
      <c r="M534" s="133" t="str">
        <f aca="false">IF($D534="","",IF(COUNTIF(PLANI_LLOGARIVE!$A:$A,$D534)=0,"ERROR - llogaria nuk ekziston",IF($K534=TRUE(),"OK","ERROR - llogari jo-postuese/Header")))</f>
        <v/>
      </c>
      <c r="N534" s="134" t="str">
        <f aca="false">IF(TRIM($C534)="","",IF(ABS(SUMIFS($F:$F,$C:$C,TRIM($C534))-SUMIFS($G:$G,$C:$C,TRIM($C534)))&lt;0.005,"OK","ERROR - debi/kredi"))</f>
        <v/>
      </c>
      <c r="S534" s="116" t="str">
        <f aca="false">IF(D534="","",LEFT(D534&amp;"",2))</f>
        <v/>
      </c>
      <c r="T534" s="101" t="str">
        <f aca="false">IF(D534="","",LEFT(D534&amp;"",3))</f>
        <v/>
      </c>
    </row>
    <row r="535" customFormat="false" ht="15" hidden="false" customHeight="true" outlineLevel="0" collapsed="false">
      <c r="A535" s="131"/>
      <c r="B535" s="132"/>
      <c r="C535" s="132"/>
      <c r="D535" s="132"/>
      <c r="E535" s="132"/>
      <c r="F535" s="132"/>
      <c r="G535" s="132"/>
      <c r="H535" s="132"/>
      <c r="I535" s="132"/>
      <c r="J535" s="133" t="str">
        <f aca="false">IF(TRIM($C535)="","",IF($M535&lt;&gt;"OK",$M535,IF(ABS(SUMIFS($F:$F,$C:$C,TRIM($C535))-SUMIFS($G:$G,$C:$C,TRIM($C535)))&lt;0.005,"OK","ERROR - veprimi nuk balancohet")))</f>
        <v/>
      </c>
      <c r="K535" s="133" t="str">
        <f aca="false">IF($D535="","",IFERROR(VLOOKUP($D535,PLANI_LLOGARIVE!$A:$J,10,FALSE()),FALSE()))</f>
        <v/>
      </c>
      <c r="L535" s="133" t="str">
        <f aca="false">IF($D535="","",IFERROR(VLOOKUP($D535,PLANI_LLOGARIVE!$A:$G,7,FALSE()),"NUK EKZISTON"))</f>
        <v/>
      </c>
      <c r="M535" s="133" t="str">
        <f aca="false">IF($D535="","",IF(COUNTIF(PLANI_LLOGARIVE!$A:$A,$D535)=0,"ERROR - llogaria nuk ekziston",IF($K535=TRUE(),"OK","ERROR - llogari jo-postuese/Header")))</f>
        <v/>
      </c>
      <c r="N535" s="134" t="str">
        <f aca="false">IF(TRIM($C535)="","",IF(ABS(SUMIFS($F:$F,$C:$C,TRIM($C535))-SUMIFS($G:$G,$C:$C,TRIM($C535)))&lt;0.005,"OK","ERROR - debi/kredi"))</f>
        <v/>
      </c>
      <c r="S535" s="116" t="str">
        <f aca="false">IF(D535="","",LEFT(D535&amp;"",2))</f>
        <v/>
      </c>
      <c r="T535" s="101" t="str">
        <f aca="false">IF(D535="","",LEFT(D535&amp;"",3))</f>
        <v/>
      </c>
    </row>
    <row r="536" customFormat="false" ht="15" hidden="false" customHeight="true" outlineLevel="0" collapsed="false">
      <c r="A536" s="131"/>
      <c r="B536" s="132"/>
      <c r="C536" s="132"/>
      <c r="D536" s="132"/>
      <c r="E536" s="132"/>
      <c r="F536" s="132"/>
      <c r="G536" s="132"/>
      <c r="H536" s="132"/>
      <c r="I536" s="132"/>
      <c r="J536" s="133" t="str">
        <f aca="false">IF(TRIM($C536)="","",IF($M536&lt;&gt;"OK",$M536,IF(ABS(SUMIFS($F:$F,$C:$C,TRIM($C536))-SUMIFS($G:$G,$C:$C,TRIM($C536)))&lt;0.005,"OK","ERROR - veprimi nuk balancohet")))</f>
        <v/>
      </c>
      <c r="K536" s="133" t="str">
        <f aca="false">IF($D536="","",IFERROR(VLOOKUP($D536,PLANI_LLOGARIVE!$A:$J,10,FALSE()),FALSE()))</f>
        <v/>
      </c>
      <c r="L536" s="133" t="str">
        <f aca="false">IF($D536="","",IFERROR(VLOOKUP($D536,PLANI_LLOGARIVE!$A:$G,7,FALSE()),"NUK EKZISTON"))</f>
        <v/>
      </c>
      <c r="M536" s="133" t="str">
        <f aca="false">IF($D536="","",IF(COUNTIF(PLANI_LLOGARIVE!$A:$A,$D536)=0,"ERROR - llogaria nuk ekziston",IF($K536=TRUE(),"OK","ERROR - llogari jo-postuese/Header")))</f>
        <v/>
      </c>
      <c r="N536" s="134" t="str">
        <f aca="false">IF(TRIM($C536)="","",IF(ABS(SUMIFS($F:$F,$C:$C,TRIM($C536))-SUMIFS($G:$G,$C:$C,TRIM($C536)))&lt;0.005,"OK","ERROR - debi/kredi"))</f>
        <v/>
      </c>
      <c r="S536" s="116" t="str">
        <f aca="false">IF(D536="","",LEFT(D536&amp;"",2))</f>
        <v/>
      </c>
      <c r="T536" s="101" t="str">
        <f aca="false">IF(D536="","",LEFT(D536&amp;"",3))</f>
        <v/>
      </c>
    </row>
    <row r="537" customFormat="false" ht="15" hidden="false" customHeight="true" outlineLevel="0" collapsed="false">
      <c r="A537" s="131"/>
      <c r="B537" s="132"/>
      <c r="C537" s="132"/>
      <c r="D537" s="132"/>
      <c r="E537" s="132"/>
      <c r="F537" s="132"/>
      <c r="G537" s="132"/>
      <c r="H537" s="132"/>
      <c r="I537" s="132"/>
      <c r="J537" s="133" t="str">
        <f aca="false">IF(TRIM($C537)="","",IF($M537&lt;&gt;"OK",$M537,IF(ABS(SUMIFS($F:$F,$C:$C,TRIM($C537))-SUMIFS($G:$G,$C:$C,TRIM($C537)))&lt;0.005,"OK","ERROR - veprimi nuk balancohet")))</f>
        <v/>
      </c>
      <c r="K537" s="133" t="str">
        <f aca="false">IF($D537="","",IFERROR(VLOOKUP($D537,PLANI_LLOGARIVE!$A:$J,10,FALSE()),FALSE()))</f>
        <v/>
      </c>
      <c r="L537" s="133" t="str">
        <f aca="false">IF($D537="","",IFERROR(VLOOKUP($D537,PLANI_LLOGARIVE!$A:$G,7,FALSE()),"NUK EKZISTON"))</f>
        <v/>
      </c>
      <c r="M537" s="133" t="str">
        <f aca="false">IF($D537="","",IF(COUNTIF(PLANI_LLOGARIVE!$A:$A,$D537)=0,"ERROR - llogaria nuk ekziston",IF($K537=TRUE(),"OK","ERROR - llogari jo-postuese/Header")))</f>
        <v/>
      </c>
      <c r="N537" s="134" t="str">
        <f aca="false">IF(TRIM($C537)="","",IF(ABS(SUMIFS($F:$F,$C:$C,TRIM($C537))-SUMIFS($G:$G,$C:$C,TRIM($C537)))&lt;0.005,"OK","ERROR - debi/kredi"))</f>
        <v/>
      </c>
      <c r="S537" s="116" t="str">
        <f aca="false">IF(D537="","",LEFT(D537&amp;"",2))</f>
        <v/>
      </c>
      <c r="T537" s="101" t="str">
        <f aca="false">IF(D537="","",LEFT(D537&amp;"",3))</f>
        <v/>
      </c>
    </row>
    <row r="538" customFormat="false" ht="15" hidden="false" customHeight="true" outlineLevel="0" collapsed="false">
      <c r="A538" s="131"/>
      <c r="B538" s="132"/>
      <c r="C538" s="132"/>
      <c r="D538" s="132"/>
      <c r="E538" s="132"/>
      <c r="F538" s="132"/>
      <c r="G538" s="132"/>
      <c r="H538" s="132"/>
      <c r="I538" s="132"/>
      <c r="J538" s="133" t="str">
        <f aca="false">IF(TRIM($C538)="","",IF($M538&lt;&gt;"OK",$M538,IF(ABS(SUMIFS($F:$F,$C:$C,TRIM($C538))-SUMIFS($G:$G,$C:$C,TRIM($C538)))&lt;0.005,"OK","ERROR - veprimi nuk balancohet")))</f>
        <v/>
      </c>
      <c r="K538" s="133" t="str">
        <f aca="false">IF($D538="","",IFERROR(VLOOKUP($D538,PLANI_LLOGARIVE!$A:$J,10,FALSE()),FALSE()))</f>
        <v/>
      </c>
      <c r="L538" s="133" t="str">
        <f aca="false">IF($D538="","",IFERROR(VLOOKUP($D538,PLANI_LLOGARIVE!$A:$G,7,FALSE()),"NUK EKZISTON"))</f>
        <v/>
      </c>
      <c r="M538" s="133" t="str">
        <f aca="false">IF($D538="","",IF(COUNTIF(PLANI_LLOGARIVE!$A:$A,$D538)=0,"ERROR - llogaria nuk ekziston",IF($K538=TRUE(),"OK","ERROR - llogari jo-postuese/Header")))</f>
        <v/>
      </c>
      <c r="N538" s="134" t="str">
        <f aca="false">IF(TRIM($C538)="","",IF(ABS(SUMIFS($F:$F,$C:$C,TRIM($C538))-SUMIFS($G:$G,$C:$C,TRIM($C538)))&lt;0.005,"OK","ERROR - debi/kredi"))</f>
        <v/>
      </c>
      <c r="S538" s="116" t="str">
        <f aca="false">IF(D538="","",LEFT(D538&amp;"",2))</f>
        <v/>
      </c>
      <c r="T538" s="101" t="str">
        <f aca="false">IF(D538="","",LEFT(D538&amp;"",3))</f>
        <v/>
      </c>
    </row>
    <row r="539" customFormat="false" ht="15" hidden="false" customHeight="true" outlineLevel="0" collapsed="false">
      <c r="A539" s="131"/>
      <c r="B539" s="132"/>
      <c r="C539" s="132"/>
      <c r="D539" s="132"/>
      <c r="E539" s="132"/>
      <c r="F539" s="132"/>
      <c r="G539" s="132"/>
      <c r="H539" s="132"/>
      <c r="I539" s="132"/>
      <c r="J539" s="133" t="str">
        <f aca="false">IF(TRIM($C539)="","",IF($M539&lt;&gt;"OK",$M539,IF(ABS(SUMIFS($F:$F,$C:$C,TRIM($C539))-SUMIFS($G:$G,$C:$C,TRIM($C539)))&lt;0.005,"OK","ERROR - veprimi nuk balancohet")))</f>
        <v/>
      </c>
      <c r="K539" s="133" t="str">
        <f aca="false">IF($D539="","",IFERROR(VLOOKUP($D539,PLANI_LLOGARIVE!$A:$J,10,FALSE()),FALSE()))</f>
        <v/>
      </c>
      <c r="L539" s="133" t="str">
        <f aca="false">IF($D539="","",IFERROR(VLOOKUP($D539,PLANI_LLOGARIVE!$A:$G,7,FALSE()),"NUK EKZISTON"))</f>
        <v/>
      </c>
      <c r="M539" s="133" t="str">
        <f aca="false">IF($D539="","",IF(COUNTIF(PLANI_LLOGARIVE!$A:$A,$D539)=0,"ERROR - llogaria nuk ekziston",IF($K539=TRUE(),"OK","ERROR - llogari jo-postuese/Header")))</f>
        <v/>
      </c>
      <c r="N539" s="134" t="str">
        <f aca="false">IF(TRIM($C539)="","",IF(ABS(SUMIFS($F:$F,$C:$C,TRIM($C539))-SUMIFS($G:$G,$C:$C,TRIM($C539)))&lt;0.005,"OK","ERROR - debi/kredi"))</f>
        <v/>
      </c>
      <c r="S539" s="116" t="str">
        <f aca="false">IF(D539="","",LEFT(D539&amp;"",2))</f>
        <v/>
      </c>
      <c r="T539" s="101" t="str">
        <f aca="false">IF(D539="","",LEFT(D539&amp;"",3))</f>
        <v/>
      </c>
    </row>
    <row r="540" customFormat="false" ht="15" hidden="false" customHeight="true" outlineLevel="0" collapsed="false">
      <c r="A540" s="131"/>
      <c r="B540" s="132"/>
      <c r="C540" s="132"/>
      <c r="D540" s="132"/>
      <c r="E540" s="132"/>
      <c r="F540" s="132"/>
      <c r="G540" s="132"/>
      <c r="H540" s="132"/>
      <c r="I540" s="132"/>
      <c r="J540" s="133" t="str">
        <f aca="false">IF(TRIM($C540)="","",IF($M540&lt;&gt;"OK",$M540,IF(ABS(SUMIFS($F:$F,$C:$C,TRIM($C540))-SUMIFS($G:$G,$C:$C,TRIM($C540)))&lt;0.005,"OK","ERROR - veprimi nuk balancohet")))</f>
        <v/>
      </c>
      <c r="K540" s="133" t="str">
        <f aca="false">IF($D540="","",IFERROR(VLOOKUP($D540,PLANI_LLOGARIVE!$A:$J,10,FALSE()),FALSE()))</f>
        <v/>
      </c>
      <c r="L540" s="133" t="str">
        <f aca="false">IF($D540="","",IFERROR(VLOOKUP($D540,PLANI_LLOGARIVE!$A:$G,7,FALSE()),"NUK EKZISTON"))</f>
        <v/>
      </c>
      <c r="M540" s="133" t="str">
        <f aca="false">IF($D540="","",IF(COUNTIF(PLANI_LLOGARIVE!$A:$A,$D540)=0,"ERROR - llogaria nuk ekziston",IF($K540=TRUE(),"OK","ERROR - llogari jo-postuese/Header")))</f>
        <v/>
      </c>
      <c r="N540" s="134" t="str">
        <f aca="false">IF(TRIM($C540)="","",IF(ABS(SUMIFS($F:$F,$C:$C,TRIM($C540))-SUMIFS($G:$G,$C:$C,TRIM($C540)))&lt;0.005,"OK","ERROR - debi/kredi"))</f>
        <v/>
      </c>
      <c r="S540" s="116" t="str">
        <f aca="false">IF(D540="","",LEFT(D540&amp;"",2))</f>
        <v/>
      </c>
      <c r="T540" s="101" t="str">
        <f aca="false">IF(D540="","",LEFT(D540&amp;"",3))</f>
        <v/>
      </c>
    </row>
    <row r="541" customFormat="false" ht="15" hidden="false" customHeight="true" outlineLevel="0" collapsed="false">
      <c r="A541" s="131"/>
      <c r="B541" s="132"/>
      <c r="C541" s="132"/>
      <c r="D541" s="132"/>
      <c r="E541" s="132"/>
      <c r="F541" s="132"/>
      <c r="G541" s="132"/>
      <c r="H541" s="132"/>
      <c r="I541" s="132"/>
      <c r="J541" s="133" t="str">
        <f aca="false">IF(TRIM($C541)="","",IF($M541&lt;&gt;"OK",$M541,IF(ABS(SUMIFS($F:$F,$C:$C,TRIM($C541))-SUMIFS($G:$G,$C:$C,TRIM($C541)))&lt;0.005,"OK","ERROR - veprimi nuk balancohet")))</f>
        <v/>
      </c>
      <c r="K541" s="133" t="str">
        <f aca="false">IF($D541="","",IFERROR(VLOOKUP($D541,PLANI_LLOGARIVE!$A:$J,10,FALSE()),FALSE()))</f>
        <v/>
      </c>
      <c r="L541" s="133" t="str">
        <f aca="false">IF($D541="","",IFERROR(VLOOKUP($D541,PLANI_LLOGARIVE!$A:$G,7,FALSE()),"NUK EKZISTON"))</f>
        <v/>
      </c>
      <c r="M541" s="133" t="str">
        <f aca="false">IF($D541="","",IF(COUNTIF(PLANI_LLOGARIVE!$A:$A,$D541)=0,"ERROR - llogaria nuk ekziston",IF($K541=TRUE(),"OK","ERROR - llogari jo-postuese/Header")))</f>
        <v/>
      </c>
      <c r="N541" s="134" t="str">
        <f aca="false">IF(TRIM($C541)="","",IF(ABS(SUMIFS($F:$F,$C:$C,TRIM($C541))-SUMIFS($G:$G,$C:$C,TRIM($C541)))&lt;0.005,"OK","ERROR - debi/kredi"))</f>
        <v/>
      </c>
      <c r="S541" s="116" t="str">
        <f aca="false">IF(D541="","",LEFT(D541&amp;"",2))</f>
        <v/>
      </c>
      <c r="T541" s="101" t="str">
        <f aca="false">IF(D541="","",LEFT(D541&amp;"",3))</f>
        <v/>
      </c>
    </row>
    <row r="542" customFormat="false" ht="15" hidden="false" customHeight="true" outlineLevel="0" collapsed="false">
      <c r="A542" s="131"/>
      <c r="B542" s="132"/>
      <c r="C542" s="132"/>
      <c r="D542" s="132"/>
      <c r="E542" s="132"/>
      <c r="F542" s="132"/>
      <c r="G542" s="132"/>
      <c r="H542" s="132"/>
      <c r="I542" s="132"/>
      <c r="J542" s="133" t="str">
        <f aca="false">IF(TRIM($C542)="","",IF($M542&lt;&gt;"OK",$M542,IF(ABS(SUMIFS($F:$F,$C:$C,TRIM($C542))-SUMIFS($G:$G,$C:$C,TRIM($C542)))&lt;0.005,"OK","ERROR - veprimi nuk balancohet")))</f>
        <v/>
      </c>
      <c r="K542" s="133" t="str">
        <f aca="false">IF($D542="","",IFERROR(VLOOKUP($D542,PLANI_LLOGARIVE!$A:$J,10,FALSE()),FALSE()))</f>
        <v/>
      </c>
      <c r="L542" s="133" t="str">
        <f aca="false">IF($D542="","",IFERROR(VLOOKUP($D542,PLANI_LLOGARIVE!$A:$G,7,FALSE()),"NUK EKZISTON"))</f>
        <v/>
      </c>
      <c r="M542" s="133" t="str">
        <f aca="false">IF($D542="","",IF(COUNTIF(PLANI_LLOGARIVE!$A:$A,$D542)=0,"ERROR - llogaria nuk ekziston",IF($K542=TRUE(),"OK","ERROR - llogari jo-postuese/Header")))</f>
        <v/>
      </c>
      <c r="N542" s="134" t="str">
        <f aca="false">IF(TRIM($C542)="","",IF(ABS(SUMIFS($F:$F,$C:$C,TRIM($C542))-SUMIFS($G:$G,$C:$C,TRIM($C542)))&lt;0.005,"OK","ERROR - debi/kredi"))</f>
        <v/>
      </c>
      <c r="S542" s="116" t="str">
        <f aca="false">IF(D542="","",LEFT(D542&amp;"",2))</f>
        <v/>
      </c>
      <c r="T542" s="101" t="str">
        <f aca="false">IF(D542="","",LEFT(D542&amp;"",3))</f>
        <v/>
      </c>
    </row>
    <row r="543" customFormat="false" ht="15" hidden="false" customHeight="true" outlineLevel="0" collapsed="false">
      <c r="A543" s="131"/>
      <c r="B543" s="132"/>
      <c r="C543" s="132"/>
      <c r="D543" s="132"/>
      <c r="E543" s="132"/>
      <c r="F543" s="132"/>
      <c r="G543" s="132"/>
      <c r="H543" s="132"/>
      <c r="I543" s="132"/>
      <c r="J543" s="133" t="str">
        <f aca="false">IF(TRIM($C543)="","",IF($M543&lt;&gt;"OK",$M543,IF(ABS(SUMIFS($F:$F,$C:$C,TRIM($C543))-SUMIFS($G:$G,$C:$C,TRIM($C543)))&lt;0.005,"OK","ERROR - veprimi nuk balancohet")))</f>
        <v/>
      </c>
      <c r="K543" s="133" t="str">
        <f aca="false">IF($D543="","",IFERROR(VLOOKUP($D543,PLANI_LLOGARIVE!$A:$J,10,FALSE()),FALSE()))</f>
        <v/>
      </c>
      <c r="L543" s="133" t="str">
        <f aca="false">IF($D543="","",IFERROR(VLOOKUP($D543,PLANI_LLOGARIVE!$A:$G,7,FALSE()),"NUK EKZISTON"))</f>
        <v/>
      </c>
      <c r="M543" s="133" t="str">
        <f aca="false">IF($D543="","",IF(COUNTIF(PLANI_LLOGARIVE!$A:$A,$D543)=0,"ERROR - llogaria nuk ekziston",IF($K543=TRUE(),"OK","ERROR - llogari jo-postuese/Header")))</f>
        <v/>
      </c>
      <c r="N543" s="134" t="str">
        <f aca="false">IF(TRIM($C543)="","",IF(ABS(SUMIFS($F:$F,$C:$C,TRIM($C543))-SUMIFS($G:$G,$C:$C,TRIM($C543)))&lt;0.005,"OK","ERROR - debi/kredi"))</f>
        <v/>
      </c>
      <c r="S543" s="116" t="str">
        <f aca="false">IF(D543="","",LEFT(D543&amp;"",2))</f>
        <v/>
      </c>
      <c r="T543" s="101" t="str">
        <f aca="false">IF(D543="","",LEFT(D543&amp;"",3))</f>
        <v/>
      </c>
    </row>
    <row r="544" customFormat="false" ht="15" hidden="false" customHeight="true" outlineLevel="0" collapsed="false">
      <c r="A544" s="131"/>
      <c r="B544" s="132"/>
      <c r="C544" s="132"/>
      <c r="D544" s="132"/>
      <c r="E544" s="132"/>
      <c r="F544" s="132"/>
      <c r="G544" s="132"/>
      <c r="H544" s="132"/>
      <c r="I544" s="132"/>
      <c r="J544" s="133" t="str">
        <f aca="false">IF(TRIM($C544)="","",IF($M544&lt;&gt;"OK",$M544,IF(ABS(SUMIFS($F:$F,$C:$C,TRIM($C544))-SUMIFS($G:$G,$C:$C,TRIM($C544)))&lt;0.005,"OK","ERROR - veprimi nuk balancohet")))</f>
        <v/>
      </c>
      <c r="K544" s="133" t="str">
        <f aca="false">IF($D544="","",IFERROR(VLOOKUP($D544,PLANI_LLOGARIVE!$A:$J,10,FALSE()),FALSE()))</f>
        <v/>
      </c>
      <c r="L544" s="133" t="str">
        <f aca="false">IF($D544="","",IFERROR(VLOOKUP($D544,PLANI_LLOGARIVE!$A:$G,7,FALSE()),"NUK EKZISTON"))</f>
        <v/>
      </c>
      <c r="M544" s="133" t="str">
        <f aca="false">IF($D544="","",IF(COUNTIF(PLANI_LLOGARIVE!$A:$A,$D544)=0,"ERROR - llogaria nuk ekziston",IF($K544=TRUE(),"OK","ERROR - llogari jo-postuese/Header")))</f>
        <v/>
      </c>
      <c r="N544" s="134" t="str">
        <f aca="false">IF(TRIM($C544)="","",IF(ABS(SUMIFS($F:$F,$C:$C,TRIM($C544))-SUMIFS($G:$G,$C:$C,TRIM($C544)))&lt;0.005,"OK","ERROR - debi/kredi"))</f>
        <v/>
      </c>
      <c r="S544" s="116" t="str">
        <f aca="false">IF(D544="","",LEFT(D544&amp;"",2))</f>
        <v/>
      </c>
      <c r="T544" s="101" t="str">
        <f aca="false">IF(D544="","",LEFT(D544&amp;"",3))</f>
        <v/>
      </c>
    </row>
    <row r="545" customFormat="false" ht="15" hidden="false" customHeight="true" outlineLevel="0" collapsed="false">
      <c r="A545" s="131"/>
      <c r="B545" s="132"/>
      <c r="C545" s="132"/>
      <c r="D545" s="132"/>
      <c r="E545" s="132"/>
      <c r="F545" s="132"/>
      <c r="G545" s="132"/>
      <c r="H545" s="132"/>
      <c r="I545" s="132"/>
      <c r="J545" s="133" t="str">
        <f aca="false">IF(TRIM($C545)="","",IF($M545&lt;&gt;"OK",$M545,IF(ABS(SUMIFS($F:$F,$C:$C,TRIM($C545))-SUMIFS($G:$G,$C:$C,TRIM($C545)))&lt;0.005,"OK","ERROR - veprimi nuk balancohet")))</f>
        <v/>
      </c>
      <c r="K545" s="133" t="str">
        <f aca="false">IF($D545="","",IFERROR(VLOOKUP($D545,PLANI_LLOGARIVE!$A:$J,10,FALSE()),FALSE()))</f>
        <v/>
      </c>
      <c r="L545" s="133" t="str">
        <f aca="false">IF($D545="","",IFERROR(VLOOKUP($D545,PLANI_LLOGARIVE!$A:$G,7,FALSE()),"NUK EKZISTON"))</f>
        <v/>
      </c>
      <c r="M545" s="133" t="str">
        <f aca="false">IF($D545="","",IF(COUNTIF(PLANI_LLOGARIVE!$A:$A,$D545)=0,"ERROR - llogaria nuk ekziston",IF($K545=TRUE(),"OK","ERROR - llogari jo-postuese/Header")))</f>
        <v/>
      </c>
      <c r="N545" s="134" t="str">
        <f aca="false">IF(TRIM($C545)="","",IF(ABS(SUMIFS($F:$F,$C:$C,TRIM($C545))-SUMIFS($G:$G,$C:$C,TRIM($C545)))&lt;0.005,"OK","ERROR - debi/kredi"))</f>
        <v/>
      </c>
      <c r="S545" s="116" t="str">
        <f aca="false">IF(D545="","",LEFT(D545&amp;"",2))</f>
        <v/>
      </c>
      <c r="T545" s="101" t="str">
        <f aca="false">IF(D545="","",LEFT(D545&amp;"",3))</f>
        <v/>
      </c>
    </row>
    <row r="546" customFormat="false" ht="15" hidden="false" customHeight="true" outlineLevel="0" collapsed="false">
      <c r="A546" s="131"/>
      <c r="B546" s="132"/>
      <c r="C546" s="132"/>
      <c r="D546" s="132"/>
      <c r="E546" s="132"/>
      <c r="F546" s="132"/>
      <c r="G546" s="132"/>
      <c r="H546" s="132"/>
      <c r="I546" s="132"/>
      <c r="J546" s="133" t="str">
        <f aca="false">IF(TRIM($C546)="","",IF($M546&lt;&gt;"OK",$M546,IF(ABS(SUMIFS($F:$F,$C:$C,TRIM($C546))-SUMIFS($G:$G,$C:$C,TRIM($C546)))&lt;0.005,"OK","ERROR - veprimi nuk balancohet")))</f>
        <v/>
      </c>
      <c r="K546" s="133" t="str">
        <f aca="false">IF($D546="","",IFERROR(VLOOKUP($D546,PLANI_LLOGARIVE!$A:$J,10,FALSE()),FALSE()))</f>
        <v/>
      </c>
      <c r="L546" s="133" t="str">
        <f aca="false">IF($D546="","",IFERROR(VLOOKUP($D546,PLANI_LLOGARIVE!$A:$G,7,FALSE()),"NUK EKZISTON"))</f>
        <v/>
      </c>
      <c r="M546" s="133" t="str">
        <f aca="false">IF($D546="","",IF(COUNTIF(PLANI_LLOGARIVE!$A:$A,$D546)=0,"ERROR - llogaria nuk ekziston",IF($K546=TRUE(),"OK","ERROR - llogari jo-postuese/Header")))</f>
        <v/>
      </c>
      <c r="N546" s="134" t="str">
        <f aca="false">IF(TRIM($C546)="","",IF(ABS(SUMIFS($F:$F,$C:$C,TRIM($C546))-SUMIFS($G:$G,$C:$C,TRIM($C546)))&lt;0.005,"OK","ERROR - debi/kredi"))</f>
        <v/>
      </c>
      <c r="S546" s="116" t="str">
        <f aca="false">IF(D546="","",LEFT(D546&amp;"",2))</f>
        <v/>
      </c>
      <c r="T546" s="101" t="str">
        <f aca="false">IF(D546="","",LEFT(D546&amp;"",3))</f>
        <v/>
      </c>
    </row>
    <row r="547" customFormat="false" ht="15" hidden="false" customHeight="true" outlineLevel="0" collapsed="false">
      <c r="A547" s="131"/>
      <c r="B547" s="132"/>
      <c r="C547" s="132"/>
      <c r="D547" s="132"/>
      <c r="E547" s="132"/>
      <c r="F547" s="132"/>
      <c r="G547" s="132"/>
      <c r="H547" s="132"/>
      <c r="I547" s="132"/>
      <c r="J547" s="133" t="str">
        <f aca="false">IF(TRIM($C547)="","",IF($M547&lt;&gt;"OK",$M547,IF(ABS(SUMIFS($F:$F,$C:$C,TRIM($C547))-SUMIFS($G:$G,$C:$C,TRIM($C547)))&lt;0.005,"OK","ERROR - veprimi nuk balancohet")))</f>
        <v/>
      </c>
      <c r="K547" s="133" t="str">
        <f aca="false">IF($D547="","",IFERROR(VLOOKUP($D547,PLANI_LLOGARIVE!$A:$J,10,FALSE()),FALSE()))</f>
        <v/>
      </c>
      <c r="L547" s="133" t="str">
        <f aca="false">IF($D547="","",IFERROR(VLOOKUP($D547,PLANI_LLOGARIVE!$A:$G,7,FALSE()),"NUK EKZISTON"))</f>
        <v/>
      </c>
      <c r="M547" s="133" t="str">
        <f aca="false">IF($D547="","",IF(COUNTIF(PLANI_LLOGARIVE!$A:$A,$D547)=0,"ERROR - llogaria nuk ekziston",IF($K547=TRUE(),"OK","ERROR - llogari jo-postuese/Header")))</f>
        <v/>
      </c>
      <c r="N547" s="134" t="str">
        <f aca="false">IF(TRIM($C547)="","",IF(ABS(SUMIFS($F:$F,$C:$C,TRIM($C547))-SUMIFS($G:$G,$C:$C,TRIM($C547)))&lt;0.005,"OK","ERROR - debi/kredi"))</f>
        <v/>
      </c>
      <c r="S547" s="116" t="str">
        <f aca="false">IF(D547="","",LEFT(D547&amp;"",2))</f>
        <v/>
      </c>
      <c r="T547" s="101" t="str">
        <f aca="false">IF(D547="","",LEFT(D547&amp;"",3))</f>
        <v/>
      </c>
    </row>
    <row r="548" customFormat="false" ht="15" hidden="false" customHeight="true" outlineLevel="0" collapsed="false">
      <c r="A548" s="131"/>
      <c r="B548" s="132"/>
      <c r="C548" s="132"/>
      <c r="D548" s="132"/>
      <c r="E548" s="132"/>
      <c r="F548" s="132"/>
      <c r="G548" s="132"/>
      <c r="H548" s="132"/>
      <c r="I548" s="132"/>
      <c r="J548" s="133" t="str">
        <f aca="false">IF(TRIM($C548)="","",IF($M548&lt;&gt;"OK",$M548,IF(ABS(SUMIFS($F:$F,$C:$C,TRIM($C548))-SUMIFS($G:$G,$C:$C,TRIM($C548)))&lt;0.005,"OK","ERROR - veprimi nuk balancohet")))</f>
        <v/>
      </c>
      <c r="K548" s="133" t="str">
        <f aca="false">IF($D548="","",IFERROR(VLOOKUP($D548,PLANI_LLOGARIVE!$A:$J,10,FALSE()),FALSE()))</f>
        <v/>
      </c>
      <c r="L548" s="133" t="str">
        <f aca="false">IF($D548="","",IFERROR(VLOOKUP($D548,PLANI_LLOGARIVE!$A:$G,7,FALSE()),"NUK EKZISTON"))</f>
        <v/>
      </c>
      <c r="M548" s="133" t="str">
        <f aca="false">IF($D548="","",IF(COUNTIF(PLANI_LLOGARIVE!$A:$A,$D548)=0,"ERROR - llogaria nuk ekziston",IF($K548=TRUE(),"OK","ERROR - llogari jo-postuese/Header")))</f>
        <v/>
      </c>
      <c r="N548" s="134" t="str">
        <f aca="false">IF(TRIM($C548)="","",IF(ABS(SUMIFS($F:$F,$C:$C,TRIM($C548))-SUMIFS($G:$G,$C:$C,TRIM($C548)))&lt;0.005,"OK","ERROR - debi/kredi"))</f>
        <v/>
      </c>
      <c r="S548" s="116" t="str">
        <f aca="false">IF(D548="","",LEFT(D548&amp;"",2))</f>
        <v/>
      </c>
      <c r="T548" s="101" t="str">
        <f aca="false">IF(D548="","",LEFT(D548&amp;"",3))</f>
        <v/>
      </c>
    </row>
    <row r="549" customFormat="false" ht="15" hidden="false" customHeight="true" outlineLevel="0" collapsed="false">
      <c r="A549" s="131"/>
      <c r="B549" s="132"/>
      <c r="C549" s="132"/>
      <c r="D549" s="132"/>
      <c r="E549" s="132"/>
      <c r="F549" s="132"/>
      <c r="G549" s="132"/>
      <c r="H549" s="132"/>
      <c r="I549" s="132"/>
      <c r="J549" s="133" t="str">
        <f aca="false">IF(TRIM($C549)="","",IF($M549&lt;&gt;"OK",$M549,IF(ABS(SUMIFS($F:$F,$C:$C,TRIM($C549))-SUMIFS($G:$G,$C:$C,TRIM($C549)))&lt;0.005,"OK","ERROR - veprimi nuk balancohet")))</f>
        <v/>
      </c>
      <c r="K549" s="133" t="str">
        <f aca="false">IF($D549="","",IFERROR(VLOOKUP($D549,PLANI_LLOGARIVE!$A:$J,10,FALSE()),FALSE()))</f>
        <v/>
      </c>
      <c r="L549" s="133" t="str">
        <f aca="false">IF($D549="","",IFERROR(VLOOKUP($D549,PLANI_LLOGARIVE!$A:$G,7,FALSE()),"NUK EKZISTON"))</f>
        <v/>
      </c>
      <c r="M549" s="133" t="str">
        <f aca="false">IF($D549="","",IF(COUNTIF(PLANI_LLOGARIVE!$A:$A,$D549)=0,"ERROR - llogaria nuk ekziston",IF($K549=TRUE(),"OK","ERROR - llogari jo-postuese/Header")))</f>
        <v/>
      </c>
      <c r="N549" s="134" t="str">
        <f aca="false">IF(TRIM($C549)="","",IF(ABS(SUMIFS($F:$F,$C:$C,TRIM($C549))-SUMIFS($G:$G,$C:$C,TRIM($C549)))&lt;0.005,"OK","ERROR - debi/kredi"))</f>
        <v/>
      </c>
      <c r="S549" s="116" t="str">
        <f aca="false">IF(D549="","",LEFT(D549&amp;"",2))</f>
        <v/>
      </c>
      <c r="T549" s="101" t="str">
        <f aca="false">IF(D549="","",LEFT(D549&amp;"",3))</f>
        <v/>
      </c>
    </row>
    <row r="550" customFormat="false" ht="15" hidden="false" customHeight="true" outlineLevel="0" collapsed="false">
      <c r="A550" s="135"/>
      <c r="B550" s="136"/>
      <c r="C550" s="136"/>
      <c r="D550" s="136"/>
      <c r="E550" s="136"/>
      <c r="F550" s="136"/>
      <c r="G550" s="136"/>
      <c r="H550" s="136"/>
      <c r="I550" s="136"/>
      <c r="J550" s="137" t="str">
        <f aca="false">IF(TRIM($C550)="","",IF($M550&lt;&gt;"OK",$M550,IF(ABS(SUMIFS($F:$F,$C:$C,TRIM($C550))-SUMIFS($G:$G,$C:$C,TRIM($C550)))&lt;0.005,"OK","ERROR - veprimi nuk balancohet")))</f>
        <v/>
      </c>
      <c r="K550" s="137" t="str">
        <f aca="false">IF($D550="","",IFERROR(VLOOKUP($D550,PLANI_LLOGARIVE!$A:$J,10,FALSE()),FALSE()))</f>
        <v/>
      </c>
      <c r="L550" s="137" t="str">
        <f aca="false">IF($D550="","",IFERROR(VLOOKUP($D550,PLANI_LLOGARIVE!$A:$G,7,FALSE()),"NUK EKZISTON"))</f>
        <v/>
      </c>
      <c r="M550" s="137" t="str">
        <f aca="false">IF($D550="","",IF(COUNTIF(PLANI_LLOGARIVE!$A:$A,$D550)=0,"ERROR - llogaria nuk ekziston",IF($K550=TRUE(),"OK","ERROR - llogari jo-postuese/Header")))</f>
        <v/>
      </c>
      <c r="N550" s="138" t="str">
        <f aca="false">IF(TRIM($C550)="","",IF(ABS(SUMIFS($F:$F,$C:$C,TRIM($C550))-SUMIFS($G:$G,$C:$C,TRIM($C550)))&lt;0.005,"OK","ERROR - debi/kredi"))</f>
        <v/>
      </c>
      <c r="S550" s="116" t="str">
        <f aca="false">IF(D550="","",LEFT(D550&amp;"",2))</f>
        <v/>
      </c>
      <c r="T550" s="101" t="str">
        <f aca="false">IF(D550="","",LEFT(D550&amp;"",3))</f>
        <v/>
      </c>
    </row>
  </sheetData>
  <sheetProtection sheet="true" password="91db" formatCells="false" formatColumns="false" formatRows="false" sort="false" autoFilter="false"/>
  <mergeCells count="6">
    <mergeCell ref="A1:R1"/>
    <mergeCell ref="K2:M2"/>
    <mergeCell ref="N2:P3"/>
    <mergeCell ref="Q2:T3"/>
    <mergeCell ref="K3:M3"/>
    <mergeCell ref="A4:I4"/>
  </mergeCells>
  <conditionalFormatting sqref="R5:R404">
    <cfRule type="expression" priority="2" aboveAverage="0" equalAverage="0" bottom="0" percent="0" rank="0" text="" dxfId="4">
      <formula>R5="OK"</formula>
    </cfRule>
    <cfRule type="expression" priority="3" aboveAverage="0" equalAverage="0" bottom="0" percent="0" rank="0" text="" dxfId="5">
      <formula>R5="ERROR"</formula>
    </cfRule>
  </conditionalFormatting>
  <conditionalFormatting sqref="D3">
    <cfRule type="expression" priority="4" aboveAverage="0" equalAverage="0" bottom="0" percent="0" rank="0" text="" dxfId="6">
      <formula>D3="OK"</formula>
    </cfRule>
    <cfRule type="expression" priority="5" aboveAverage="0" equalAverage="0" bottom="0" percent="0" rank="0" text="" dxfId="7">
      <formula>D3="ERROR"</formula>
    </cfRule>
  </conditionalFormatting>
  <conditionalFormatting sqref="J6:J500">
    <cfRule type="expression" priority="6" aboveAverage="0" equalAverage="0" bottom="0" percent="0" rank="0" text="" dxfId="8">
      <formula>J6="OK"</formula>
    </cfRule>
    <cfRule type="expression" priority="7" aboveAverage="0" equalAverage="0" bottom="0" percent="0" rank="0" text="" dxfId="9">
      <formula>J6="ERROR"</formula>
    </cfRule>
  </conditionalFormatting>
  <conditionalFormatting sqref="D6:D500">
    <cfRule type="expression" priority="8" aboveAverage="0" equalAverage="0" bottom="0" percent="0" rank="0" text="" dxfId="10">
      <formula>AND($D6&lt;&gt;"",$M6&lt;&gt;"OK")</formula>
    </cfRule>
  </conditionalFormatting>
  <conditionalFormatting sqref="J6:N500">
    <cfRule type="expression" priority="9" aboveAverage="0" equalAverage="0" bottom="0" percent="0" rank="0" text="" dxfId="10">
      <formula>AND($J6&lt;&gt;"",LEFT($J6,5)="ERROR")</formula>
    </cfRule>
    <cfRule type="expression" priority="10" aboveAverage="0" equalAverage="0" bottom="0" percent="0" rank="0" text="" dxfId="11">
      <formula>$J6="OK"</formula>
    </cfRule>
  </conditionalFormatting>
  <conditionalFormatting sqref="N2:P3">
    <cfRule type="expression" priority="11" aboveAverage="0" equalAverage="0" bottom="0" percent="0" rank="0" text="" dxfId="12">
      <formula>DEMO_ID_COUNT&gt;=20</formula>
    </cfRule>
    <cfRule type="expression" priority="12" aboveAverage="0" equalAverage="0" bottom="0" percent="0" rank="0" text="" dxfId="13">
      <formula>AND(DEMO_ID_COUNT&gt;=16,DEMO_ID_COUNT&lt;20)</formula>
    </cfRule>
    <cfRule type="expression" priority="13" aboveAverage="0" equalAverage="0" bottom="0" percent="0" rank="0" text="" dxfId="14">
      <formula>DEMO_ID_COUNT&lt;16</formula>
    </cfRule>
  </conditionalFormatting>
  <dataValidations count="4">
    <dataValidation allowBlank="true" errorStyle="stop" operator="between" showDropDown="false" showErrorMessage="false" showInputMessage="false" sqref="N5:N404" type="list">
      <formula1>"Po,Jo"</formula1>
      <formula2>0</formula2>
    </dataValidation>
    <dataValidation allowBlank="true" error="Vetëm njëra kolonë (Debit ose Kredit) duhet plotësuar, jo të dyja dhe jo asnjëra." errorStyle="stop" errorTitle="Debit/Kredit" operator="between" prompt="Përdor vetëm njërën kolonë: Debit ose Kredit." promptTitle="Kontrolli i rreshtit" showDropDown="false" showErrorMessage="true" showInputMessage="false" sqref="F5:G404" type="custom">
      <formula1>OR(AND($F5&gt;0,$G5=0),AND($G5&gt;0,$F5=0),AND($F5="",$G5=""))</formula1>
      <formula2>0</formula2>
    </dataValidation>
    <dataValidation allowBlank="true" error="Ky kod nuk gjendet në Planin e Llogarive. Klikoni Yes vetëm nëse jeni i sigurt (p.sh. gjatë ngjitjes së veprimeve të mbylljes)." errorStyle="warning" errorTitle="Kodi jo në listë" operator="between" prompt="Zgjidh kod llogarie postuese. Header/Grup nuk lejohen." promptTitle="Kodi Llogarie" showDropDown="false" showErrorMessage="true" showInputMessage="true" sqref="D6:D500" type="list">
      <formula1>DFINITY_POSTING_CODES</formula1>
      <formula2>0</formula2>
    </dataValidation>
    <dataValidation allowBlank="false" error="Keni përdorur 20 veprimet e versionit Demo. Për të vazhduar punën, kërkoni versionin e plotë të D‑Finity Accounting Pro.&#10;Email: info.dfinity@gmail.com&#10;Instagram: @dfinity.accounting" errorStyle="stop" errorTitle="D‑FINITY DEMO – KUFIRI U ARRIT" operator="between" showDropDown="false" showErrorMessage="true" showInputMessage="false" sqref="C6:C400" type="custom">
      <formula1>OR($C6="",DEMO_ID_COUNT&lt;=20)</formula1>
      <formula2>0</formula2>
    </dataValidation>
  </dataValidations>
  <hyperlinks>
    <hyperlink ref="T1" location="'DASHBOARD'!A1" display="Paneli Kryesor"/>
    <hyperlink ref="Q2" r:id="rId1" display="KËRKO VERSIONIN E PLOTË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4"/>
    <col collapsed="false" customWidth="true" hidden="false" outlineLevel="0" max="3" min="3" style="1" width="32"/>
    <col collapsed="false" customWidth="true" hidden="false" outlineLevel="0" max="4" min="4" style="1" width="20"/>
    <col collapsed="false" customWidth="true" hidden="false" outlineLevel="0" max="5" min="5" style="1" width="14"/>
    <col collapsed="false" customWidth="true" hidden="false" outlineLevel="0" max="6" min="6" style="1" width="4"/>
    <col collapsed="false" customWidth="true" hidden="false" outlineLevel="0" max="7" min="7" style="1" width="12"/>
    <col collapsed="false" customWidth="true" hidden="false" outlineLevel="0" max="8" min="8" style="1" width="14"/>
    <col collapsed="false" customWidth="true" hidden="false" outlineLevel="0" max="9" min="9" style="1" width="32"/>
    <col collapsed="false" customWidth="true" hidden="false" outlineLevel="0" max="10" min="10" style="1" width="20"/>
    <col collapsed="false" customWidth="true" hidden="false" outlineLevel="0" max="11" min="11" style="1" width="14"/>
    <col collapsed="false" customWidth="true" hidden="true" outlineLevel="0" max="14" min="13" style="1" width="16"/>
  </cols>
  <sheetData>
    <row r="1" customFormat="false" ht="24" hidden="false" customHeight="true" outlineLevel="0" collapsed="false">
      <c r="A1" s="139" t="s">
        <v>755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M1" s="29" t="s">
        <v>19</v>
      </c>
    </row>
    <row r="2" customFormat="false" ht="24" hidden="false" customHeight="true" outlineLevel="0" collapsed="false">
      <c r="A2" s="140" t="s">
        <v>756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4" customFormat="false" ht="15" hidden="false" customHeight="true" outlineLevel="0" collapsed="false">
      <c r="A4" s="141" t="s">
        <v>757</v>
      </c>
      <c r="B4" s="142" t="s">
        <v>204</v>
      </c>
      <c r="D4" s="141" t="s">
        <v>758</v>
      </c>
      <c r="E4" s="143" t="str">
        <f aca="false">IF($B$4="","",IFERROR(VLOOKUP($B$4,PLANI_LLOGARIVE!$A:$I,2,FALSE()),"⚠ Nuk gjendet te Plani"))</f>
        <v>Kapitali i paguar / themeltar</v>
      </c>
      <c r="G4" s="141" t="s">
        <v>759</v>
      </c>
      <c r="H4" s="143" t="str">
        <f aca="false">IF($B$4="","",IFERROR(VLOOKUP($B$4,PLANI_LLOGARIVE!$A:$I,9,FALSE()),""))</f>
        <v>Credit</v>
      </c>
    </row>
    <row r="5" customFormat="false" ht="15" hidden="false" customHeight="true" outlineLevel="0" collapsed="false">
      <c r="A5" s="141" t="s">
        <v>760</v>
      </c>
      <c r="B5" s="144"/>
      <c r="D5" s="141" t="s">
        <v>761</v>
      </c>
      <c r="E5" s="144"/>
      <c r="G5" s="141" t="s">
        <v>748</v>
      </c>
      <c r="H5" s="143" t="str">
        <f aca="false">IF($B$4="","Zgjidh llogari",IF(COUNTIF(LEDGER_ENGINE!$O:$O,$B$4&amp;"")=0,"Pa veprime","OK"))</f>
        <v>Pa veprime</v>
      </c>
    </row>
    <row r="7" customFormat="false" ht="24" hidden="false" customHeight="true" outlineLevel="0" collapsed="false">
      <c r="A7" s="145" t="s">
        <v>762</v>
      </c>
      <c r="B7" s="145"/>
      <c r="C7" s="145"/>
      <c r="D7" s="145"/>
      <c r="E7" s="145"/>
      <c r="G7" s="146" t="s">
        <v>763</v>
      </c>
      <c r="H7" s="146"/>
      <c r="I7" s="146"/>
      <c r="J7" s="146"/>
      <c r="K7" s="146"/>
    </row>
    <row r="8" customFormat="false" ht="24" hidden="false" customHeight="true" outlineLevel="0" collapsed="false">
      <c r="A8" s="147" t="s">
        <v>740</v>
      </c>
      <c r="B8" s="147" t="s">
        <v>741</v>
      </c>
      <c r="C8" s="147" t="s">
        <v>747</v>
      </c>
      <c r="D8" s="147" t="s">
        <v>746</v>
      </c>
      <c r="E8" s="147" t="s">
        <v>764</v>
      </c>
      <c r="G8" s="147" t="s">
        <v>740</v>
      </c>
      <c r="H8" s="147" t="s">
        <v>741</v>
      </c>
      <c r="I8" s="147" t="s">
        <v>747</v>
      </c>
      <c r="J8" s="147" t="s">
        <v>746</v>
      </c>
      <c r="K8" s="147" t="s">
        <v>764</v>
      </c>
      <c r="M8" s="1" t="s">
        <v>765</v>
      </c>
      <c r="N8" s="1" t="s">
        <v>766</v>
      </c>
    </row>
    <row r="9" customFormat="false" ht="15" hidden="false" customHeight="true" outlineLevel="0" collapsed="false">
      <c r="A9" s="148" t="str">
        <f aca="false">IF($M9="","",INDEX(LEDGER_ENGINE!$B$2:$B$546,$M9))</f>
        <v/>
      </c>
      <c r="B9" s="149" t="str">
        <f aca="false">IF($M9="","",INDEX(LEDGER_ENGINE!$C$2:$C$546,$M9))</f>
        <v/>
      </c>
      <c r="C9" s="149" t="str">
        <f aca="false">IF($M9="","",INDEX(LEDGER_ENGINE!$G$2:$G$546,$M9))</f>
        <v/>
      </c>
      <c r="D9" s="149" t="str">
        <f aca="false">IF($M9="","",INDEX(LEDGER_ENGINE!$H$2:$H$546,$M9))</f>
        <v/>
      </c>
      <c r="E9" s="150" t="str">
        <f aca="false">IF($M9="","",INDEX(LEDGER_ENGINE!$I$2:$I$546,$M9))</f>
        <v/>
      </c>
      <c r="G9" s="148" t="str">
        <f aca="false">IF($N9="","",INDEX(LEDGER_ENGINE!$B$2:$B$546,$N9))</f>
        <v/>
      </c>
      <c r="H9" s="149" t="str">
        <f aca="false">IF($N9="","",INDEX(LEDGER_ENGINE!$C$2:$C$546,$N9))</f>
        <v/>
      </c>
      <c r="I9" s="149" t="str">
        <f aca="false">IF($N9="","",INDEX(LEDGER_ENGINE!$G$2:$G$546,$N9))</f>
        <v/>
      </c>
      <c r="J9" s="151" t="str">
        <f aca="false">IFERROR(IF($N9="","",INDEX(LEDGER_ENGINE!$H$2:$H$546,$N9)),"")</f>
        <v/>
      </c>
      <c r="K9" s="150" t="str">
        <f aca="false">IF($N9="","",INDEX(LEDGER_ENGINE!$J$2:$J$546,$N9))</f>
        <v/>
      </c>
      <c r="M9" s="101" t="str">
        <f aca="false">IF(SUMIFS(LEDGER_ENGINE!$A$2:$A$546,LEDGER_ENGINE!$R$2:$R$546,$B$4&amp;"|"&amp;(ROW()-8))=0,"",SUMIFS(LEDGER_ENGINE!$A$2:$A$546,LEDGER_ENGINE!$R$2:$R$546,$B$4&amp;"|"&amp;(ROW()-8)))</f>
        <v/>
      </c>
      <c r="N9" s="101" t="str">
        <f aca="false">IF(SUMIFS(LEDGER_ENGINE!$A$2:$A$546,LEDGER_ENGINE!$S$2:$S$546,$B$4&amp;"|"&amp;(ROW()-8))=0,"",SUMIFS(LEDGER_ENGINE!$A$2:$A$546,LEDGER_ENGINE!$S$2:$S$546,$B$4&amp;"|"&amp;(ROW()-8)))</f>
        <v/>
      </c>
    </row>
    <row r="10" customFormat="false" ht="15" hidden="false" customHeight="true" outlineLevel="0" collapsed="false">
      <c r="A10" s="148" t="str">
        <f aca="false">IF($M10="","",INDEX(LEDGER_ENGINE!$B$2:$B$546,$M10))</f>
        <v/>
      </c>
      <c r="B10" s="149" t="str">
        <f aca="false">IF($M10="","",INDEX(LEDGER_ENGINE!$C$2:$C$546,$M10))</f>
        <v/>
      </c>
      <c r="C10" s="149" t="str">
        <f aca="false">IF($M10="","",INDEX(LEDGER_ENGINE!$G$2:$G$546,$M10))</f>
        <v/>
      </c>
      <c r="D10" s="149" t="str">
        <f aca="false">IF($M10="","",INDEX(LEDGER_ENGINE!$H$2:$H$546,$M10))</f>
        <v/>
      </c>
      <c r="E10" s="150" t="str">
        <f aca="false">IF($M10="","",INDEX(LEDGER_ENGINE!$I$2:$I$546,$M10))</f>
        <v/>
      </c>
      <c r="G10" s="148" t="str">
        <f aca="false">IF($N10="","",INDEX(LEDGER_ENGINE!$B$2:$B$546,$N10))</f>
        <v/>
      </c>
      <c r="H10" s="149" t="str">
        <f aca="false">IF($N10="","",INDEX(LEDGER_ENGINE!$C$2:$C$546,$N10))</f>
        <v/>
      </c>
      <c r="I10" s="149" t="str">
        <f aca="false">IF($N10="","",INDEX(LEDGER_ENGINE!$G$2:$G$546,$N10))</f>
        <v/>
      </c>
      <c r="J10" s="151" t="str">
        <f aca="false">IFERROR(IF($N10="","",INDEX(LEDGER_ENGINE!$H$2:$H$546,$N10)),"")</f>
        <v/>
      </c>
      <c r="K10" s="150" t="str">
        <f aca="false">IF($N10="","",INDEX(LEDGER_ENGINE!$J$2:$J$546,$N10))</f>
        <v/>
      </c>
      <c r="M10" s="101" t="str">
        <f aca="false">IF(SUMIFS(LEDGER_ENGINE!$A$2:$A$546,LEDGER_ENGINE!$R$2:$R$546,$B$4&amp;"|"&amp;(ROW()-8))=0,"",SUMIFS(LEDGER_ENGINE!$A$2:$A$546,LEDGER_ENGINE!$R$2:$R$546,$B$4&amp;"|"&amp;(ROW()-8)))</f>
        <v/>
      </c>
      <c r="N10" s="101" t="str">
        <f aca="false">IF(SUMIFS(LEDGER_ENGINE!$A$2:$A$546,LEDGER_ENGINE!$S$2:$S$546,$B$4&amp;"|"&amp;(ROW()-8))=0,"",SUMIFS(LEDGER_ENGINE!$A$2:$A$546,LEDGER_ENGINE!$S$2:$S$546,$B$4&amp;"|"&amp;(ROW()-8)))</f>
        <v/>
      </c>
    </row>
    <row r="11" customFormat="false" ht="15" hidden="false" customHeight="true" outlineLevel="0" collapsed="false">
      <c r="A11" s="148" t="str">
        <f aca="false">IF($M11="","",INDEX(LEDGER_ENGINE!$B$2:$B$546,$M11))</f>
        <v/>
      </c>
      <c r="B11" s="149" t="str">
        <f aca="false">IF($M11="","",INDEX(LEDGER_ENGINE!$C$2:$C$546,$M11))</f>
        <v/>
      </c>
      <c r="C11" s="149" t="str">
        <f aca="false">IF($M11="","",INDEX(LEDGER_ENGINE!$G$2:$G$546,$M11))</f>
        <v/>
      </c>
      <c r="D11" s="149" t="str">
        <f aca="false">IF($M11="","",INDEX(LEDGER_ENGINE!$H$2:$H$546,$M11))</f>
        <v/>
      </c>
      <c r="E11" s="150" t="str">
        <f aca="false">IF($M11="","",INDEX(LEDGER_ENGINE!$I$2:$I$546,$M11))</f>
        <v/>
      </c>
      <c r="G11" s="148" t="str">
        <f aca="false">IF($N11="","",INDEX(LEDGER_ENGINE!$B$2:$B$546,$N11))</f>
        <v/>
      </c>
      <c r="H11" s="149" t="str">
        <f aca="false">IF($N11="","",INDEX(LEDGER_ENGINE!$C$2:$C$546,$N11))</f>
        <v/>
      </c>
      <c r="I11" s="149" t="str">
        <f aca="false">IF($N11="","",INDEX(LEDGER_ENGINE!$G$2:$G$546,$N11))</f>
        <v/>
      </c>
      <c r="J11" s="151" t="str">
        <f aca="false">IFERROR(IF($N11="","",INDEX(LEDGER_ENGINE!$H$2:$H$546,$N11)),"")</f>
        <v/>
      </c>
      <c r="K11" s="150" t="str">
        <f aca="false">IF($N11="","",INDEX(LEDGER_ENGINE!$J$2:$J$546,$N11))</f>
        <v/>
      </c>
      <c r="M11" s="101" t="str">
        <f aca="false">IF(SUMIFS(LEDGER_ENGINE!$A$2:$A$546,LEDGER_ENGINE!$R$2:$R$546,$B$4&amp;"|"&amp;(ROW()-8))=0,"",SUMIFS(LEDGER_ENGINE!$A$2:$A$546,LEDGER_ENGINE!$R$2:$R$546,$B$4&amp;"|"&amp;(ROW()-8)))</f>
        <v/>
      </c>
      <c r="N11" s="101" t="str">
        <f aca="false">IF(SUMIFS(LEDGER_ENGINE!$A$2:$A$546,LEDGER_ENGINE!$S$2:$S$546,$B$4&amp;"|"&amp;(ROW()-8))=0,"",SUMIFS(LEDGER_ENGINE!$A$2:$A$546,LEDGER_ENGINE!$S$2:$S$546,$B$4&amp;"|"&amp;(ROW()-8)))</f>
        <v/>
      </c>
    </row>
    <row r="12" customFormat="false" ht="15" hidden="false" customHeight="true" outlineLevel="0" collapsed="false">
      <c r="A12" s="148" t="str">
        <f aca="false">IF($M12="","",INDEX(LEDGER_ENGINE!$B$2:$B$546,$M12))</f>
        <v/>
      </c>
      <c r="B12" s="149" t="str">
        <f aca="false">IF($M12="","",INDEX(LEDGER_ENGINE!$C$2:$C$546,$M12))</f>
        <v/>
      </c>
      <c r="C12" s="149" t="str">
        <f aca="false">IF($M12="","",INDEX(LEDGER_ENGINE!$G$2:$G$546,$M12))</f>
        <v/>
      </c>
      <c r="D12" s="149" t="str">
        <f aca="false">IF($M12="","",INDEX(LEDGER_ENGINE!$H$2:$H$546,$M12))</f>
        <v/>
      </c>
      <c r="E12" s="150" t="str">
        <f aca="false">IF($M12="","",INDEX(LEDGER_ENGINE!$I$2:$I$546,$M12))</f>
        <v/>
      </c>
      <c r="G12" s="148" t="str">
        <f aca="false">IF($N12="","",INDEX(LEDGER_ENGINE!$B$2:$B$546,$N12))</f>
        <v/>
      </c>
      <c r="H12" s="149" t="str">
        <f aca="false">IF($N12="","",INDEX(LEDGER_ENGINE!$C$2:$C$546,$N12))</f>
        <v/>
      </c>
      <c r="I12" s="149" t="str">
        <f aca="false">IF($N12="","",INDEX(LEDGER_ENGINE!$G$2:$G$546,$N12))</f>
        <v/>
      </c>
      <c r="J12" s="151" t="str">
        <f aca="false">IFERROR(IF($N12="","",INDEX(LEDGER_ENGINE!$H$2:$H$546,$N12)),"")</f>
        <v/>
      </c>
      <c r="K12" s="150" t="str">
        <f aca="false">IF($N12="","",INDEX(LEDGER_ENGINE!$J$2:$J$546,$N12))</f>
        <v/>
      </c>
      <c r="M12" s="101" t="str">
        <f aca="false">IF(SUMIFS(LEDGER_ENGINE!$A$2:$A$546,LEDGER_ENGINE!$R$2:$R$546,$B$4&amp;"|"&amp;(ROW()-8))=0,"",SUMIFS(LEDGER_ENGINE!$A$2:$A$546,LEDGER_ENGINE!$R$2:$R$546,$B$4&amp;"|"&amp;(ROW()-8)))</f>
        <v/>
      </c>
      <c r="N12" s="101" t="str">
        <f aca="false">IF(SUMIFS(LEDGER_ENGINE!$A$2:$A$546,LEDGER_ENGINE!$S$2:$S$546,$B$4&amp;"|"&amp;(ROW()-8))=0,"",SUMIFS(LEDGER_ENGINE!$A$2:$A$546,LEDGER_ENGINE!$S$2:$S$546,$B$4&amp;"|"&amp;(ROW()-8)))</f>
        <v/>
      </c>
    </row>
    <row r="13" customFormat="false" ht="15" hidden="false" customHeight="true" outlineLevel="0" collapsed="false">
      <c r="A13" s="148" t="str">
        <f aca="false">IF($M13="","",INDEX(LEDGER_ENGINE!$B$2:$B$546,$M13))</f>
        <v/>
      </c>
      <c r="B13" s="149" t="str">
        <f aca="false">IF($M13="","",INDEX(LEDGER_ENGINE!$C$2:$C$546,$M13))</f>
        <v/>
      </c>
      <c r="C13" s="149" t="str">
        <f aca="false">IF($M13="","",INDEX(LEDGER_ENGINE!$G$2:$G$546,$M13))</f>
        <v/>
      </c>
      <c r="D13" s="149" t="str">
        <f aca="false">IF($M13="","",INDEX(LEDGER_ENGINE!$H$2:$H$546,$M13))</f>
        <v/>
      </c>
      <c r="E13" s="150" t="str">
        <f aca="false">IF($M13="","",INDEX(LEDGER_ENGINE!$I$2:$I$546,$M13))</f>
        <v/>
      </c>
      <c r="G13" s="148" t="str">
        <f aca="false">IF($N13="","",INDEX(LEDGER_ENGINE!$B$2:$B$546,$N13))</f>
        <v/>
      </c>
      <c r="H13" s="149" t="str">
        <f aca="false">IF($N13="","",INDEX(LEDGER_ENGINE!$C$2:$C$546,$N13))</f>
        <v/>
      </c>
      <c r="I13" s="149" t="str">
        <f aca="false">IF($N13="","",INDEX(LEDGER_ENGINE!$G$2:$G$546,$N13))</f>
        <v/>
      </c>
      <c r="J13" s="151" t="str">
        <f aca="false">IFERROR(IF($N13="","",INDEX(LEDGER_ENGINE!$H$2:$H$546,$N13)),"")</f>
        <v/>
      </c>
      <c r="K13" s="150" t="str">
        <f aca="false">IF($N13="","",INDEX(LEDGER_ENGINE!$J$2:$J$546,$N13))</f>
        <v/>
      </c>
      <c r="M13" s="101" t="str">
        <f aca="false">IF(SUMIFS(LEDGER_ENGINE!$A$2:$A$546,LEDGER_ENGINE!$R$2:$R$546,$B$4&amp;"|"&amp;(ROW()-8))=0,"",SUMIFS(LEDGER_ENGINE!$A$2:$A$546,LEDGER_ENGINE!$R$2:$R$546,$B$4&amp;"|"&amp;(ROW()-8)))</f>
        <v/>
      </c>
      <c r="N13" s="101" t="str">
        <f aca="false">IF(SUMIFS(LEDGER_ENGINE!$A$2:$A$546,LEDGER_ENGINE!$S$2:$S$546,$B$4&amp;"|"&amp;(ROW()-8))=0,"",SUMIFS(LEDGER_ENGINE!$A$2:$A$546,LEDGER_ENGINE!$S$2:$S$546,$B$4&amp;"|"&amp;(ROW()-8)))</f>
        <v/>
      </c>
    </row>
    <row r="14" customFormat="false" ht="15" hidden="false" customHeight="true" outlineLevel="0" collapsed="false">
      <c r="A14" s="148" t="str">
        <f aca="false">IF($M14="","",INDEX(LEDGER_ENGINE!$B$2:$B$546,$M14))</f>
        <v/>
      </c>
      <c r="B14" s="149" t="str">
        <f aca="false">IF($M14="","",INDEX(LEDGER_ENGINE!$C$2:$C$546,$M14))</f>
        <v/>
      </c>
      <c r="C14" s="149" t="str">
        <f aca="false">IF($M14="","",INDEX(LEDGER_ENGINE!$G$2:$G$546,$M14))</f>
        <v/>
      </c>
      <c r="D14" s="149" t="str">
        <f aca="false">IF($M14="","",INDEX(LEDGER_ENGINE!$H$2:$H$546,$M14))</f>
        <v/>
      </c>
      <c r="E14" s="150" t="str">
        <f aca="false">IF($M14="","",INDEX(LEDGER_ENGINE!$I$2:$I$546,$M14))</f>
        <v/>
      </c>
      <c r="G14" s="148" t="str">
        <f aca="false">IF($N14="","",INDEX(LEDGER_ENGINE!$B$2:$B$546,$N14))</f>
        <v/>
      </c>
      <c r="H14" s="149" t="str">
        <f aca="false">IF($N14="","",INDEX(LEDGER_ENGINE!$C$2:$C$546,$N14))</f>
        <v/>
      </c>
      <c r="I14" s="149" t="str">
        <f aca="false">IF($N14="","",INDEX(LEDGER_ENGINE!$G$2:$G$546,$N14))</f>
        <v/>
      </c>
      <c r="J14" s="151" t="str">
        <f aca="false">IFERROR(IF($N14="","",INDEX(LEDGER_ENGINE!$H$2:$H$546,$N14)),"")</f>
        <v/>
      </c>
      <c r="K14" s="150" t="str">
        <f aca="false">IF($N14="","",INDEX(LEDGER_ENGINE!$J$2:$J$546,$N14))</f>
        <v/>
      </c>
      <c r="M14" s="101" t="str">
        <f aca="false">IF(SUMIFS(LEDGER_ENGINE!$A$2:$A$546,LEDGER_ENGINE!$R$2:$R$546,$B$4&amp;"|"&amp;(ROW()-8))=0,"",SUMIFS(LEDGER_ENGINE!$A$2:$A$546,LEDGER_ENGINE!$R$2:$R$546,$B$4&amp;"|"&amp;(ROW()-8)))</f>
        <v/>
      </c>
      <c r="N14" s="101" t="str">
        <f aca="false">IF(SUMIFS(LEDGER_ENGINE!$A$2:$A$546,LEDGER_ENGINE!$S$2:$S$546,$B$4&amp;"|"&amp;(ROW()-8))=0,"",SUMIFS(LEDGER_ENGINE!$A$2:$A$546,LEDGER_ENGINE!$S$2:$S$546,$B$4&amp;"|"&amp;(ROW()-8)))</f>
        <v/>
      </c>
    </row>
    <row r="15" customFormat="false" ht="15" hidden="false" customHeight="true" outlineLevel="0" collapsed="false">
      <c r="A15" s="148" t="str">
        <f aca="false">IF($M15="","",INDEX(LEDGER_ENGINE!$B$2:$B$546,$M15))</f>
        <v/>
      </c>
      <c r="B15" s="149" t="str">
        <f aca="false">IF($M15="","",INDEX(LEDGER_ENGINE!$C$2:$C$546,$M15))</f>
        <v/>
      </c>
      <c r="C15" s="149" t="str">
        <f aca="false">IF($M15="","",INDEX(LEDGER_ENGINE!$G$2:$G$546,$M15))</f>
        <v/>
      </c>
      <c r="D15" s="149" t="str">
        <f aca="false">IF($M15="","",INDEX(LEDGER_ENGINE!$H$2:$H$546,$M15))</f>
        <v/>
      </c>
      <c r="E15" s="150" t="str">
        <f aca="false">IF($M15="","",INDEX(LEDGER_ENGINE!$I$2:$I$546,$M15))</f>
        <v/>
      </c>
      <c r="G15" s="148" t="str">
        <f aca="false">IF($N15="","",INDEX(LEDGER_ENGINE!$B$2:$B$546,$N15))</f>
        <v/>
      </c>
      <c r="H15" s="149" t="str">
        <f aca="false">IF($N15="","",INDEX(LEDGER_ENGINE!$C$2:$C$546,$N15))</f>
        <v/>
      </c>
      <c r="I15" s="149" t="str">
        <f aca="false">IF($N15="","",INDEX(LEDGER_ENGINE!$G$2:$G$546,$N15))</f>
        <v/>
      </c>
      <c r="J15" s="151" t="str">
        <f aca="false">IFERROR(IF($N15="","",INDEX(LEDGER_ENGINE!$H$2:$H$546,$N15)),"")</f>
        <v/>
      </c>
      <c r="K15" s="150" t="str">
        <f aca="false">IF($N15="","",INDEX(LEDGER_ENGINE!$J$2:$J$546,$N15))</f>
        <v/>
      </c>
      <c r="M15" s="101" t="str">
        <f aca="false">IF(SUMIFS(LEDGER_ENGINE!$A$2:$A$546,LEDGER_ENGINE!$R$2:$R$546,$B$4&amp;"|"&amp;(ROW()-8))=0,"",SUMIFS(LEDGER_ENGINE!$A$2:$A$546,LEDGER_ENGINE!$R$2:$R$546,$B$4&amp;"|"&amp;(ROW()-8)))</f>
        <v/>
      </c>
      <c r="N15" s="101" t="str">
        <f aca="false">IF(SUMIFS(LEDGER_ENGINE!$A$2:$A$546,LEDGER_ENGINE!$S$2:$S$546,$B$4&amp;"|"&amp;(ROW()-8))=0,"",SUMIFS(LEDGER_ENGINE!$A$2:$A$546,LEDGER_ENGINE!$S$2:$S$546,$B$4&amp;"|"&amp;(ROW()-8)))</f>
        <v/>
      </c>
    </row>
    <row r="16" customFormat="false" ht="15" hidden="false" customHeight="true" outlineLevel="0" collapsed="false">
      <c r="A16" s="148" t="str">
        <f aca="false">IF($M16="","",INDEX(LEDGER_ENGINE!$B$2:$B$546,$M16))</f>
        <v/>
      </c>
      <c r="B16" s="149" t="str">
        <f aca="false">IF($M16="","",INDEX(LEDGER_ENGINE!$C$2:$C$546,$M16))</f>
        <v/>
      </c>
      <c r="C16" s="149" t="str">
        <f aca="false">IF($M16="","",INDEX(LEDGER_ENGINE!$G$2:$G$546,$M16))</f>
        <v/>
      </c>
      <c r="D16" s="149" t="str">
        <f aca="false">IF($M16="","",INDEX(LEDGER_ENGINE!$H$2:$H$546,$M16))</f>
        <v/>
      </c>
      <c r="E16" s="150" t="str">
        <f aca="false">IF($M16="","",INDEX(LEDGER_ENGINE!$I$2:$I$546,$M16))</f>
        <v/>
      </c>
      <c r="G16" s="148" t="str">
        <f aca="false">IF($N16="","",INDEX(LEDGER_ENGINE!$B$2:$B$546,$N16))</f>
        <v/>
      </c>
      <c r="H16" s="149" t="str">
        <f aca="false">IF($N16="","",INDEX(LEDGER_ENGINE!$C$2:$C$546,$N16))</f>
        <v/>
      </c>
      <c r="I16" s="149" t="str">
        <f aca="false">IF($N16="","",INDEX(LEDGER_ENGINE!$G$2:$G$546,$N16))</f>
        <v/>
      </c>
      <c r="J16" s="151" t="str">
        <f aca="false">IFERROR(IF($N16="","",INDEX(LEDGER_ENGINE!$H$2:$H$546,$N16)),"")</f>
        <v/>
      </c>
      <c r="K16" s="150" t="str">
        <f aca="false">IF($N16="","",INDEX(LEDGER_ENGINE!$J$2:$J$546,$N16))</f>
        <v/>
      </c>
      <c r="M16" s="101" t="str">
        <f aca="false">IF(SUMIFS(LEDGER_ENGINE!$A$2:$A$546,LEDGER_ENGINE!$R$2:$R$546,$B$4&amp;"|"&amp;(ROW()-8))=0,"",SUMIFS(LEDGER_ENGINE!$A$2:$A$546,LEDGER_ENGINE!$R$2:$R$546,$B$4&amp;"|"&amp;(ROW()-8)))</f>
        <v/>
      </c>
      <c r="N16" s="101" t="str">
        <f aca="false">IF(SUMIFS(LEDGER_ENGINE!$A$2:$A$546,LEDGER_ENGINE!$S$2:$S$546,$B$4&amp;"|"&amp;(ROW()-8))=0,"",SUMIFS(LEDGER_ENGINE!$A$2:$A$546,LEDGER_ENGINE!$S$2:$S$546,$B$4&amp;"|"&amp;(ROW()-8)))</f>
        <v/>
      </c>
    </row>
    <row r="17" customFormat="false" ht="15" hidden="false" customHeight="true" outlineLevel="0" collapsed="false">
      <c r="A17" s="148" t="str">
        <f aca="false">IF($M17="","",INDEX(LEDGER_ENGINE!$B$2:$B$546,$M17))</f>
        <v/>
      </c>
      <c r="B17" s="149" t="str">
        <f aca="false">IF($M17="","",INDEX(LEDGER_ENGINE!$C$2:$C$546,$M17))</f>
        <v/>
      </c>
      <c r="C17" s="149" t="str">
        <f aca="false">IF($M17="","",INDEX(LEDGER_ENGINE!$G$2:$G$546,$M17))</f>
        <v/>
      </c>
      <c r="D17" s="149" t="str">
        <f aca="false">IF($M17="","",INDEX(LEDGER_ENGINE!$H$2:$H$546,$M17))</f>
        <v/>
      </c>
      <c r="E17" s="150" t="str">
        <f aca="false">IF($M17="","",INDEX(LEDGER_ENGINE!$I$2:$I$546,$M17))</f>
        <v/>
      </c>
      <c r="G17" s="148" t="str">
        <f aca="false">IF($N17="","",INDEX(LEDGER_ENGINE!$B$2:$B$546,$N17))</f>
        <v/>
      </c>
      <c r="H17" s="149" t="str">
        <f aca="false">IF($N17="","",INDEX(LEDGER_ENGINE!$C$2:$C$546,$N17))</f>
        <v/>
      </c>
      <c r="I17" s="149" t="str">
        <f aca="false">IF($N17="","",INDEX(LEDGER_ENGINE!$G$2:$G$546,$N17))</f>
        <v/>
      </c>
      <c r="J17" s="151" t="str">
        <f aca="false">IFERROR(IF($N17="","",INDEX(LEDGER_ENGINE!$H$2:$H$546,$N17)),"")</f>
        <v/>
      </c>
      <c r="K17" s="150" t="str">
        <f aca="false">IF($N17="","",INDEX(LEDGER_ENGINE!$J$2:$J$546,$N17))</f>
        <v/>
      </c>
      <c r="M17" s="101" t="str">
        <f aca="false">IF(SUMIFS(LEDGER_ENGINE!$A$2:$A$546,LEDGER_ENGINE!$R$2:$R$546,$B$4&amp;"|"&amp;(ROW()-8))=0,"",SUMIFS(LEDGER_ENGINE!$A$2:$A$546,LEDGER_ENGINE!$R$2:$R$546,$B$4&amp;"|"&amp;(ROW()-8)))</f>
        <v/>
      </c>
      <c r="N17" s="101" t="str">
        <f aca="false">IF(SUMIFS(LEDGER_ENGINE!$A$2:$A$546,LEDGER_ENGINE!$S$2:$S$546,$B$4&amp;"|"&amp;(ROW()-8))=0,"",SUMIFS(LEDGER_ENGINE!$A$2:$A$546,LEDGER_ENGINE!$S$2:$S$546,$B$4&amp;"|"&amp;(ROW()-8)))</f>
        <v/>
      </c>
    </row>
    <row r="18" customFormat="false" ht="15" hidden="false" customHeight="true" outlineLevel="0" collapsed="false">
      <c r="A18" s="148" t="str">
        <f aca="false">IF($M18="","",INDEX(LEDGER_ENGINE!$B$2:$B$546,$M18))</f>
        <v/>
      </c>
      <c r="B18" s="149" t="str">
        <f aca="false">IF($M18="","",INDEX(LEDGER_ENGINE!$C$2:$C$546,$M18))</f>
        <v/>
      </c>
      <c r="C18" s="149" t="str">
        <f aca="false">IF($M18="","",INDEX(LEDGER_ENGINE!$G$2:$G$546,$M18))</f>
        <v/>
      </c>
      <c r="D18" s="149" t="str">
        <f aca="false">IF($M18="","",INDEX(LEDGER_ENGINE!$H$2:$H$546,$M18))</f>
        <v/>
      </c>
      <c r="E18" s="150" t="str">
        <f aca="false">IF($M18="","",INDEX(LEDGER_ENGINE!$I$2:$I$546,$M18))</f>
        <v/>
      </c>
      <c r="G18" s="148" t="str">
        <f aca="false">IF($N18="","",INDEX(LEDGER_ENGINE!$B$2:$B$546,$N18))</f>
        <v/>
      </c>
      <c r="H18" s="149" t="str">
        <f aca="false">IF($N18="","",INDEX(LEDGER_ENGINE!$C$2:$C$546,$N18))</f>
        <v/>
      </c>
      <c r="I18" s="149" t="str">
        <f aca="false">IF($N18="","",INDEX(LEDGER_ENGINE!$G$2:$G$546,$N18))</f>
        <v/>
      </c>
      <c r="J18" s="151" t="str">
        <f aca="false">IFERROR(IF($N18="","",INDEX(LEDGER_ENGINE!$H$2:$H$546,$N18)),"")</f>
        <v/>
      </c>
      <c r="K18" s="150" t="str">
        <f aca="false">IF($N18="","",INDEX(LEDGER_ENGINE!$J$2:$J$546,$N18))</f>
        <v/>
      </c>
      <c r="M18" s="101" t="str">
        <f aca="false">IF(SUMIFS(LEDGER_ENGINE!$A$2:$A$546,LEDGER_ENGINE!$R$2:$R$546,$B$4&amp;"|"&amp;(ROW()-8))=0,"",SUMIFS(LEDGER_ENGINE!$A$2:$A$546,LEDGER_ENGINE!$R$2:$R$546,$B$4&amp;"|"&amp;(ROW()-8)))</f>
        <v/>
      </c>
      <c r="N18" s="101" t="str">
        <f aca="false">IF(SUMIFS(LEDGER_ENGINE!$A$2:$A$546,LEDGER_ENGINE!$S$2:$S$546,$B$4&amp;"|"&amp;(ROW()-8))=0,"",SUMIFS(LEDGER_ENGINE!$A$2:$A$546,LEDGER_ENGINE!$S$2:$S$546,$B$4&amp;"|"&amp;(ROW()-8)))</f>
        <v/>
      </c>
    </row>
    <row r="19" customFormat="false" ht="15" hidden="false" customHeight="true" outlineLevel="0" collapsed="false">
      <c r="A19" s="148" t="str">
        <f aca="false">IF($M19="","",INDEX(LEDGER_ENGINE!$B$2:$B$546,$M19))</f>
        <v/>
      </c>
      <c r="B19" s="149" t="str">
        <f aca="false">IF($M19="","",INDEX(LEDGER_ENGINE!$C$2:$C$546,$M19))</f>
        <v/>
      </c>
      <c r="C19" s="149" t="str">
        <f aca="false">IF($M19="","",INDEX(LEDGER_ENGINE!$G$2:$G$546,$M19))</f>
        <v/>
      </c>
      <c r="D19" s="149" t="str">
        <f aca="false">IF($M19="","",INDEX(LEDGER_ENGINE!$H$2:$H$546,$M19))</f>
        <v/>
      </c>
      <c r="E19" s="150" t="str">
        <f aca="false">IF($M19="","",INDEX(LEDGER_ENGINE!$I$2:$I$546,$M19))</f>
        <v/>
      </c>
      <c r="G19" s="148" t="str">
        <f aca="false">IF($N19="","",INDEX(LEDGER_ENGINE!$B$2:$B$546,$N19))</f>
        <v/>
      </c>
      <c r="H19" s="149" t="str">
        <f aca="false">IF($N19="","",INDEX(LEDGER_ENGINE!$C$2:$C$546,$N19))</f>
        <v/>
      </c>
      <c r="I19" s="149" t="str">
        <f aca="false">IF($N19="","",INDEX(LEDGER_ENGINE!$G$2:$G$546,$N19))</f>
        <v/>
      </c>
      <c r="J19" s="151" t="str">
        <f aca="false">IFERROR(IF($N19="","",INDEX(LEDGER_ENGINE!$H$2:$H$546,$N19)),"")</f>
        <v/>
      </c>
      <c r="K19" s="150" t="str">
        <f aca="false">IF($N19="","",INDEX(LEDGER_ENGINE!$J$2:$J$546,$N19))</f>
        <v/>
      </c>
      <c r="M19" s="101" t="str">
        <f aca="false">IF(SUMIFS(LEDGER_ENGINE!$A$2:$A$546,LEDGER_ENGINE!$R$2:$R$546,$B$4&amp;"|"&amp;(ROW()-8))=0,"",SUMIFS(LEDGER_ENGINE!$A$2:$A$546,LEDGER_ENGINE!$R$2:$R$546,$B$4&amp;"|"&amp;(ROW()-8)))</f>
        <v/>
      </c>
      <c r="N19" s="101" t="str">
        <f aca="false">IF(SUMIFS(LEDGER_ENGINE!$A$2:$A$546,LEDGER_ENGINE!$S$2:$S$546,$B$4&amp;"|"&amp;(ROW()-8))=0,"",SUMIFS(LEDGER_ENGINE!$A$2:$A$546,LEDGER_ENGINE!$S$2:$S$546,$B$4&amp;"|"&amp;(ROW()-8)))</f>
        <v/>
      </c>
    </row>
    <row r="20" customFormat="false" ht="15" hidden="false" customHeight="true" outlineLevel="0" collapsed="false">
      <c r="A20" s="148" t="str">
        <f aca="false">IF($M20="","",INDEX(LEDGER_ENGINE!$B$2:$B$546,$M20))</f>
        <v/>
      </c>
      <c r="B20" s="149" t="str">
        <f aca="false">IF($M20="","",INDEX(LEDGER_ENGINE!$C$2:$C$546,$M20))</f>
        <v/>
      </c>
      <c r="C20" s="149" t="str">
        <f aca="false">IF($M20="","",INDEX(LEDGER_ENGINE!$G$2:$G$546,$M20))</f>
        <v/>
      </c>
      <c r="D20" s="149" t="str">
        <f aca="false">IF($M20="","",INDEX(LEDGER_ENGINE!$H$2:$H$546,$M20))</f>
        <v/>
      </c>
      <c r="E20" s="150" t="str">
        <f aca="false">IF($M20="","",INDEX(LEDGER_ENGINE!$I$2:$I$546,$M20))</f>
        <v/>
      </c>
      <c r="G20" s="148" t="str">
        <f aca="false">IF($N20="","",INDEX(LEDGER_ENGINE!$B$2:$B$546,$N20))</f>
        <v/>
      </c>
      <c r="H20" s="149" t="str">
        <f aca="false">IF($N20="","",INDEX(LEDGER_ENGINE!$C$2:$C$546,$N20))</f>
        <v/>
      </c>
      <c r="I20" s="149" t="str">
        <f aca="false">IF($N20="","",INDEX(LEDGER_ENGINE!$G$2:$G$546,$N20))</f>
        <v/>
      </c>
      <c r="J20" s="151" t="str">
        <f aca="false">IFERROR(IF($N20="","",INDEX(LEDGER_ENGINE!$H$2:$H$546,$N20)),"")</f>
        <v/>
      </c>
      <c r="K20" s="150" t="str">
        <f aca="false">IF($N20="","",INDEX(LEDGER_ENGINE!$J$2:$J$546,$N20))</f>
        <v/>
      </c>
      <c r="M20" s="101" t="str">
        <f aca="false">IF(SUMIFS(LEDGER_ENGINE!$A$2:$A$546,LEDGER_ENGINE!$R$2:$R$546,$B$4&amp;"|"&amp;(ROW()-8))=0,"",SUMIFS(LEDGER_ENGINE!$A$2:$A$546,LEDGER_ENGINE!$R$2:$R$546,$B$4&amp;"|"&amp;(ROW()-8)))</f>
        <v/>
      </c>
      <c r="N20" s="101" t="str">
        <f aca="false">IF(SUMIFS(LEDGER_ENGINE!$A$2:$A$546,LEDGER_ENGINE!$S$2:$S$546,$B$4&amp;"|"&amp;(ROW()-8))=0,"",SUMIFS(LEDGER_ENGINE!$A$2:$A$546,LEDGER_ENGINE!$S$2:$S$546,$B$4&amp;"|"&amp;(ROW()-8)))</f>
        <v/>
      </c>
    </row>
    <row r="21" customFormat="false" ht="15" hidden="false" customHeight="true" outlineLevel="0" collapsed="false">
      <c r="A21" s="148" t="str">
        <f aca="false">IF($M21="","",INDEX(LEDGER_ENGINE!$B$2:$B$546,$M21))</f>
        <v/>
      </c>
      <c r="B21" s="149" t="str">
        <f aca="false">IF($M21="","",INDEX(LEDGER_ENGINE!$C$2:$C$546,$M21))</f>
        <v/>
      </c>
      <c r="C21" s="149" t="str">
        <f aca="false">IF($M21="","",INDEX(LEDGER_ENGINE!$G$2:$G$546,$M21))</f>
        <v/>
      </c>
      <c r="D21" s="149" t="str">
        <f aca="false">IF($M21="","",INDEX(LEDGER_ENGINE!$H$2:$H$546,$M21))</f>
        <v/>
      </c>
      <c r="E21" s="150" t="str">
        <f aca="false">IF($M21="","",INDEX(LEDGER_ENGINE!$I$2:$I$546,$M21))</f>
        <v/>
      </c>
      <c r="G21" s="148" t="str">
        <f aca="false">IF($N21="","",INDEX(LEDGER_ENGINE!$B$2:$B$546,$N21))</f>
        <v/>
      </c>
      <c r="H21" s="149" t="str">
        <f aca="false">IF($N21="","",INDEX(LEDGER_ENGINE!$C$2:$C$546,$N21))</f>
        <v/>
      </c>
      <c r="I21" s="149" t="str">
        <f aca="false">IF($N21="","",INDEX(LEDGER_ENGINE!$G$2:$G$546,$N21))</f>
        <v/>
      </c>
      <c r="J21" s="151" t="str">
        <f aca="false">IFERROR(IF($N21="","",INDEX(LEDGER_ENGINE!$H$2:$H$546,$N21)),"")</f>
        <v/>
      </c>
      <c r="K21" s="150" t="str">
        <f aca="false">IF($N21="","",INDEX(LEDGER_ENGINE!$J$2:$J$546,$N21))</f>
        <v/>
      </c>
      <c r="M21" s="101" t="str">
        <f aca="false">IF(SUMIFS(LEDGER_ENGINE!$A$2:$A$546,LEDGER_ENGINE!$R$2:$R$546,$B$4&amp;"|"&amp;(ROW()-8))=0,"",SUMIFS(LEDGER_ENGINE!$A$2:$A$546,LEDGER_ENGINE!$R$2:$R$546,$B$4&amp;"|"&amp;(ROW()-8)))</f>
        <v/>
      </c>
      <c r="N21" s="101" t="str">
        <f aca="false">IF(SUMIFS(LEDGER_ENGINE!$A$2:$A$546,LEDGER_ENGINE!$S$2:$S$546,$B$4&amp;"|"&amp;(ROW()-8))=0,"",SUMIFS(LEDGER_ENGINE!$A$2:$A$546,LEDGER_ENGINE!$S$2:$S$546,$B$4&amp;"|"&amp;(ROW()-8)))</f>
        <v/>
      </c>
    </row>
    <row r="22" customFormat="false" ht="15" hidden="false" customHeight="true" outlineLevel="0" collapsed="false">
      <c r="A22" s="148" t="str">
        <f aca="false">IF($M22="","",INDEX(LEDGER_ENGINE!$B$2:$B$546,$M22))</f>
        <v/>
      </c>
      <c r="B22" s="149" t="str">
        <f aca="false">IF($M22="","",INDEX(LEDGER_ENGINE!$C$2:$C$546,$M22))</f>
        <v/>
      </c>
      <c r="C22" s="149" t="str">
        <f aca="false">IF($M22="","",INDEX(LEDGER_ENGINE!$G$2:$G$546,$M22))</f>
        <v/>
      </c>
      <c r="D22" s="149" t="str">
        <f aca="false">IF($M22="","",INDEX(LEDGER_ENGINE!$H$2:$H$546,$M22))</f>
        <v/>
      </c>
      <c r="E22" s="150" t="str">
        <f aca="false">IF($M22="","",INDEX(LEDGER_ENGINE!$I$2:$I$546,$M22))</f>
        <v/>
      </c>
      <c r="G22" s="148" t="str">
        <f aca="false">IF($N22="","",INDEX(LEDGER_ENGINE!$B$2:$B$546,$N22))</f>
        <v/>
      </c>
      <c r="H22" s="149" t="str">
        <f aca="false">IF($N22="","",INDEX(LEDGER_ENGINE!$C$2:$C$546,$N22))</f>
        <v/>
      </c>
      <c r="I22" s="149" t="str">
        <f aca="false">IF($N22="","",INDEX(LEDGER_ENGINE!$G$2:$G$546,$N22))</f>
        <v/>
      </c>
      <c r="J22" s="151" t="str">
        <f aca="false">IFERROR(IF($N22="","",INDEX(LEDGER_ENGINE!$H$2:$H$546,$N22)),"")</f>
        <v/>
      </c>
      <c r="K22" s="150" t="str">
        <f aca="false">IF($N22="","",INDEX(LEDGER_ENGINE!$J$2:$J$546,$N22))</f>
        <v/>
      </c>
      <c r="M22" s="101" t="str">
        <f aca="false">IF(SUMIFS(LEDGER_ENGINE!$A$2:$A$546,LEDGER_ENGINE!$R$2:$R$546,$B$4&amp;"|"&amp;(ROW()-8))=0,"",SUMIFS(LEDGER_ENGINE!$A$2:$A$546,LEDGER_ENGINE!$R$2:$R$546,$B$4&amp;"|"&amp;(ROW()-8)))</f>
        <v/>
      </c>
      <c r="N22" s="101" t="str">
        <f aca="false">IF(SUMIFS(LEDGER_ENGINE!$A$2:$A$546,LEDGER_ENGINE!$S$2:$S$546,$B$4&amp;"|"&amp;(ROW()-8))=0,"",SUMIFS(LEDGER_ENGINE!$A$2:$A$546,LEDGER_ENGINE!$S$2:$S$546,$B$4&amp;"|"&amp;(ROW()-8)))</f>
        <v/>
      </c>
    </row>
    <row r="23" customFormat="false" ht="15" hidden="false" customHeight="true" outlineLevel="0" collapsed="false">
      <c r="A23" s="148" t="str">
        <f aca="false">IF($M23="","",INDEX(LEDGER_ENGINE!$B$2:$B$546,$M23))</f>
        <v/>
      </c>
      <c r="B23" s="149" t="str">
        <f aca="false">IF($M23="","",INDEX(LEDGER_ENGINE!$C$2:$C$546,$M23))</f>
        <v/>
      </c>
      <c r="C23" s="149" t="str">
        <f aca="false">IF($M23="","",INDEX(LEDGER_ENGINE!$G$2:$G$546,$M23))</f>
        <v/>
      </c>
      <c r="D23" s="149" t="str">
        <f aca="false">IF($M23="","",INDEX(LEDGER_ENGINE!$H$2:$H$546,$M23))</f>
        <v/>
      </c>
      <c r="E23" s="150" t="str">
        <f aca="false">IF($M23="","",INDEX(LEDGER_ENGINE!$I$2:$I$546,$M23))</f>
        <v/>
      </c>
      <c r="G23" s="148" t="str">
        <f aca="false">IF($N23="","",INDEX(LEDGER_ENGINE!$B$2:$B$546,$N23))</f>
        <v/>
      </c>
      <c r="H23" s="149" t="str">
        <f aca="false">IF($N23="","",INDEX(LEDGER_ENGINE!$C$2:$C$546,$N23))</f>
        <v/>
      </c>
      <c r="I23" s="149" t="str">
        <f aca="false">IF($N23="","",INDEX(LEDGER_ENGINE!$G$2:$G$546,$N23))</f>
        <v/>
      </c>
      <c r="J23" s="151" t="str">
        <f aca="false">IFERROR(IF($N23="","",INDEX(LEDGER_ENGINE!$H$2:$H$546,$N23)),"")</f>
        <v/>
      </c>
      <c r="K23" s="150" t="str">
        <f aca="false">IF($N23="","",INDEX(LEDGER_ENGINE!$J$2:$J$546,$N23))</f>
        <v/>
      </c>
      <c r="M23" s="101" t="str">
        <f aca="false">IF(SUMIFS(LEDGER_ENGINE!$A$2:$A$546,LEDGER_ENGINE!$R$2:$R$546,$B$4&amp;"|"&amp;(ROW()-8))=0,"",SUMIFS(LEDGER_ENGINE!$A$2:$A$546,LEDGER_ENGINE!$R$2:$R$546,$B$4&amp;"|"&amp;(ROW()-8)))</f>
        <v/>
      </c>
      <c r="N23" s="101" t="str">
        <f aca="false">IF(SUMIFS(LEDGER_ENGINE!$A$2:$A$546,LEDGER_ENGINE!$S$2:$S$546,$B$4&amp;"|"&amp;(ROW()-8))=0,"",SUMIFS(LEDGER_ENGINE!$A$2:$A$546,LEDGER_ENGINE!$S$2:$S$546,$B$4&amp;"|"&amp;(ROW()-8)))</f>
        <v/>
      </c>
    </row>
    <row r="24" customFormat="false" ht="15" hidden="false" customHeight="true" outlineLevel="0" collapsed="false">
      <c r="A24" s="148" t="str">
        <f aca="false">IF($M24="","",INDEX(LEDGER_ENGINE!$B$2:$B$546,$M24))</f>
        <v/>
      </c>
      <c r="B24" s="149" t="str">
        <f aca="false">IF($M24="","",INDEX(LEDGER_ENGINE!$C$2:$C$546,$M24))</f>
        <v/>
      </c>
      <c r="C24" s="149" t="str">
        <f aca="false">IF($M24="","",INDEX(LEDGER_ENGINE!$G$2:$G$546,$M24))</f>
        <v/>
      </c>
      <c r="D24" s="149" t="str">
        <f aca="false">IF($M24="","",INDEX(LEDGER_ENGINE!$H$2:$H$546,$M24))</f>
        <v/>
      </c>
      <c r="E24" s="150" t="str">
        <f aca="false">IF($M24="","",INDEX(LEDGER_ENGINE!$I$2:$I$546,$M24))</f>
        <v/>
      </c>
      <c r="G24" s="148" t="str">
        <f aca="false">IF($N24="","",INDEX(LEDGER_ENGINE!$B$2:$B$546,$N24))</f>
        <v/>
      </c>
      <c r="H24" s="149" t="str">
        <f aca="false">IF($N24="","",INDEX(LEDGER_ENGINE!$C$2:$C$546,$N24))</f>
        <v/>
      </c>
      <c r="I24" s="149" t="str">
        <f aca="false">IF($N24="","",INDEX(LEDGER_ENGINE!$G$2:$G$546,$N24))</f>
        <v/>
      </c>
      <c r="J24" s="151" t="str">
        <f aca="false">IFERROR(IF($N24="","",INDEX(LEDGER_ENGINE!$H$2:$H$546,$N24)),"")</f>
        <v/>
      </c>
      <c r="K24" s="150" t="str">
        <f aca="false">IF($N24="","",INDEX(LEDGER_ENGINE!$J$2:$J$546,$N24))</f>
        <v/>
      </c>
      <c r="M24" s="101" t="str">
        <f aca="false">IF(SUMIFS(LEDGER_ENGINE!$A$2:$A$546,LEDGER_ENGINE!$R$2:$R$546,$B$4&amp;"|"&amp;(ROW()-8))=0,"",SUMIFS(LEDGER_ENGINE!$A$2:$A$546,LEDGER_ENGINE!$R$2:$R$546,$B$4&amp;"|"&amp;(ROW()-8)))</f>
        <v/>
      </c>
      <c r="N24" s="101" t="str">
        <f aca="false">IF(SUMIFS(LEDGER_ENGINE!$A$2:$A$546,LEDGER_ENGINE!$S$2:$S$546,$B$4&amp;"|"&amp;(ROW()-8))=0,"",SUMIFS(LEDGER_ENGINE!$A$2:$A$546,LEDGER_ENGINE!$S$2:$S$546,$B$4&amp;"|"&amp;(ROW()-8)))</f>
        <v/>
      </c>
    </row>
    <row r="25" customFormat="false" ht="15" hidden="false" customHeight="true" outlineLevel="0" collapsed="false">
      <c r="A25" s="148" t="str">
        <f aca="false">IF($M25="","",INDEX(LEDGER_ENGINE!$B$2:$B$546,$M25))</f>
        <v/>
      </c>
      <c r="B25" s="149" t="str">
        <f aca="false">IF($M25="","",INDEX(LEDGER_ENGINE!$C$2:$C$546,$M25))</f>
        <v/>
      </c>
      <c r="C25" s="149" t="str">
        <f aca="false">IF($M25="","",INDEX(LEDGER_ENGINE!$G$2:$G$546,$M25))</f>
        <v/>
      </c>
      <c r="D25" s="149" t="str">
        <f aca="false">IF($M25="","",INDEX(LEDGER_ENGINE!$H$2:$H$546,$M25))</f>
        <v/>
      </c>
      <c r="E25" s="150" t="str">
        <f aca="false">IF($M25="","",INDEX(LEDGER_ENGINE!$I$2:$I$546,$M25))</f>
        <v/>
      </c>
      <c r="G25" s="148" t="str">
        <f aca="false">IF($N25="","",INDEX(LEDGER_ENGINE!$B$2:$B$546,$N25))</f>
        <v/>
      </c>
      <c r="H25" s="149" t="str">
        <f aca="false">IF($N25="","",INDEX(LEDGER_ENGINE!$C$2:$C$546,$N25))</f>
        <v/>
      </c>
      <c r="I25" s="149" t="str">
        <f aca="false">IF($N25="","",INDEX(LEDGER_ENGINE!$G$2:$G$546,$N25))</f>
        <v/>
      </c>
      <c r="J25" s="151" t="str">
        <f aca="false">IFERROR(IF($N25="","",INDEX(LEDGER_ENGINE!$H$2:$H$546,$N25)),"")</f>
        <v/>
      </c>
      <c r="K25" s="150" t="str">
        <f aca="false">IF($N25="","",INDEX(LEDGER_ENGINE!$J$2:$J$546,$N25))</f>
        <v/>
      </c>
      <c r="M25" s="101" t="str">
        <f aca="false">IF(SUMIFS(LEDGER_ENGINE!$A$2:$A$546,LEDGER_ENGINE!$R$2:$R$546,$B$4&amp;"|"&amp;(ROW()-8))=0,"",SUMIFS(LEDGER_ENGINE!$A$2:$A$546,LEDGER_ENGINE!$R$2:$R$546,$B$4&amp;"|"&amp;(ROW()-8)))</f>
        <v/>
      </c>
      <c r="N25" s="101" t="str">
        <f aca="false">IF(SUMIFS(LEDGER_ENGINE!$A$2:$A$546,LEDGER_ENGINE!$S$2:$S$546,$B$4&amp;"|"&amp;(ROW()-8))=0,"",SUMIFS(LEDGER_ENGINE!$A$2:$A$546,LEDGER_ENGINE!$S$2:$S$546,$B$4&amp;"|"&amp;(ROW()-8)))</f>
        <v/>
      </c>
    </row>
    <row r="26" customFormat="false" ht="15" hidden="false" customHeight="true" outlineLevel="0" collapsed="false">
      <c r="A26" s="148" t="str">
        <f aca="false">IF($M26="","",INDEX(LEDGER_ENGINE!$B$2:$B$546,$M26))</f>
        <v/>
      </c>
      <c r="B26" s="149" t="str">
        <f aca="false">IF($M26="","",INDEX(LEDGER_ENGINE!$C$2:$C$546,$M26))</f>
        <v/>
      </c>
      <c r="C26" s="149" t="str">
        <f aca="false">IF($M26="","",INDEX(LEDGER_ENGINE!$G$2:$G$546,$M26))</f>
        <v/>
      </c>
      <c r="D26" s="149" t="str">
        <f aca="false">IF($M26="","",INDEX(LEDGER_ENGINE!$H$2:$H$546,$M26))</f>
        <v/>
      </c>
      <c r="E26" s="150" t="str">
        <f aca="false">IF($M26="","",INDEX(LEDGER_ENGINE!$I$2:$I$546,$M26))</f>
        <v/>
      </c>
      <c r="G26" s="148" t="str">
        <f aca="false">IF($N26="","",INDEX(LEDGER_ENGINE!$B$2:$B$546,$N26))</f>
        <v/>
      </c>
      <c r="H26" s="149" t="str">
        <f aca="false">IF($N26="","",INDEX(LEDGER_ENGINE!$C$2:$C$546,$N26))</f>
        <v/>
      </c>
      <c r="I26" s="149" t="str">
        <f aca="false">IF($N26="","",INDEX(LEDGER_ENGINE!$G$2:$G$546,$N26))</f>
        <v/>
      </c>
      <c r="J26" s="151" t="str">
        <f aca="false">IFERROR(IF($N26="","",INDEX(LEDGER_ENGINE!$H$2:$H$546,$N26)),"")</f>
        <v/>
      </c>
      <c r="K26" s="150" t="str">
        <f aca="false">IF($N26="","",INDEX(LEDGER_ENGINE!$J$2:$J$546,$N26))</f>
        <v/>
      </c>
      <c r="M26" s="101" t="str">
        <f aca="false">IF(SUMIFS(LEDGER_ENGINE!$A$2:$A$546,LEDGER_ENGINE!$R$2:$R$546,$B$4&amp;"|"&amp;(ROW()-8))=0,"",SUMIFS(LEDGER_ENGINE!$A$2:$A$546,LEDGER_ENGINE!$R$2:$R$546,$B$4&amp;"|"&amp;(ROW()-8)))</f>
        <v/>
      </c>
      <c r="N26" s="101" t="str">
        <f aca="false">IF(SUMIFS(LEDGER_ENGINE!$A$2:$A$546,LEDGER_ENGINE!$S$2:$S$546,$B$4&amp;"|"&amp;(ROW()-8))=0,"",SUMIFS(LEDGER_ENGINE!$A$2:$A$546,LEDGER_ENGINE!$S$2:$S$546,$B$4&amp;"|"&amp;(ROW()-8)))</f>
        <v/>
      </c>
    </row>
    <row r="27" customFormat="false" ht="15" hidden="false" customHeight="true" outlineLevel="0" collapsed="false">
      <c r="A27" s="148" t="str">
        <f aca="false">IF($M27="","",INDEX(LEDGER_ENGINE!$B$2:$B$546,$M27))</f>
        <v/>
      </c>
      <c r="B27" s="149" t="str">
        <f aca="false">IF($M27="","",INDEX(LEDGER_ENGINE!$C$2:$C$546,$M27))</f>
        <v/>
      </c>
      <c r="C27" s="149" t="str">
        <f aca="false">IF($M27="","",INDEX(LEDGER_ENGINE!$G$2:$G$546,$M27))</f>
        <v/>
      </c>
      <c r="D27" s="149" t="str">
        <f aca="false">IF($M27="","",INDEX(LEDGER_ENGINE!$H$2:$H$546,$M27))</f>
        <v/>
      </c>
      <c r="E27" s="150" t="str">
        <f aca="false">IF($M27="","",INDEX(LEDGER_ENGINE!$I$2:$I$546,$M27))</f>
        <v/>
      </c>
      <c r="G27" s="148" t="str">
        <f aca="false">IF($N27="","",INDEX(LEDGER_ENGINE!$B$2:$B$546,$N27))</f>
        <v/>
      </c>
      <c r="H27" s="149" t="str">
        <f aca="false">IF($N27="","",INDEX(LEDGER_ENGINE!$C$2:$C$546,$N27))</f>
        <v/>
      </c>
      <c r="I27" s="149" t="str">
        <f aca="false">IF($N27="","",INDEX(LEDGER_ENGINE!$G$2:$G$546,$N27))</f>
        <v/>
      </c>
      <c r="J27" s="151" t="str">
        <f aca="false">IFERROR(IF($N27="","",INDEX(LEDGER_ENGINE!$H$2:$H$546,$N27)),"")</f>
        <v/>
      </c>
      <c r="K27" s="150" t="str">
        <f aca="false">IF($N27="","",INDEX(LEDGER_ENGINE!$J$2:$J$546,$N27))</f>
        <v/>
      </c>
      <c r="M27" s="101" t="str">
        <f aca="false">IF(SUMIFS(LEDGER_ENGINE!$A$2:$A$546,LEDGER_ENGINE!$R$2:$R$546,$B$4&amp;"|"&amp;(ROW()-8))=0,"",SUMIFS(LEDGER_ENGINE!$A$2:$A$546,LEDGER_ENGINE!$R$2:$R$546,$B$4&amp;"|"&amp;(ROW()-8)))</f>
        <v/>
      </c>
      <c r="N27" s="101" t="str">
        <f aca="false">IF(SUMIFS(LEDGER_ENGINE!$A$2:$A$546,LEDGER_ENGINE!$S$2:$S$546,$B$4&amp;"|"&amp;(ROW()-8))=0,"",SUMIFS(LEDGER_ENGINE!$A$2:$A$546,LEDGER_ENGINE!$S$2:$S$546,$B$4&amp;"|"&amp;(ROW()-8)))</f>
        <v/>
      </c>
    </row>
    <row r="28" customFormat="false" ht="15" hidden="false" customHeight="true" outlineLevel="0" collapsed="false">
      <c r="A28" s="148" t="str">
        <f aca="false">IF($M28="","",INDEX(LEDGER_ENGINE!$B$2:$B$546,$M28))</f>
        <v/>
      </c>
      <c r="B28" s="149" t="str">
        <f aca="false">IF($M28="","",INDEX(LEDGER_ENGINE!$C$2:$C$546,$M28))</f>
        <v/>
      </c>
      <c r="C28" s="149" t="str">
        <f aca="false">IF($M28="","",INDEX(LEDGER_ENGINE!$G$2:$G$546,$M28))</f>
        <v/>
      </c>
      <c r="D28" s="149" t="str">
        <f aca="false">IF($M28="","",INDEX(LEDGER_ENGINE!$H$2:$H$546,$M28))</f>
        <v/>
      </c>
      <c r="E28" s="150" t="str">
        <f aca="false">IF($M28="","",INDEX(LEDGER_ENGINE!$I$2:$I$546,$M28))</f>
        <v/>
      </c>
      <c r="G28" s="148" t="str">
        <f aca="false">IF($N28="","",INDEX(LEDGER_ENGINE!$B$2:$B$546,$N28))</f>
        <v/>
      </c>
      <c r="H28" s="149" t="str">
        <f aca="false">IF($N28="","",INDEX(LEDGER_ENGINE!$C$2:$C$546,$N28))</f>
        <v/>
      </c>
      <c r="I28" s="149" t="str">
        <f aca="false">IF($N28="","",INDEX(LEDGER_ENGINE!$G$2:$G$546,$N28))</f>
        <v/>
      </c>
      <c r="J28" s="151" t="str">
        <f aca="false">IFERROR(IF($N28="","",INDEX(LEDGER_ENGINE!$H$2:$H$546,$N28)),"")</f>
        <v/>
      </c>
      <c r="K28" s="150" t="str">
        <f aca="false">IF($N28="","",INDEX(LEDGER_ENGINE!$J$2:$J$546,$N28))</f>
        <v/>
      </c>
      <c r="M28" s="101" t="str">
        <f aca="false">IF(SUMIFS(LEDGER_ENGINE!$A$2:$A$546,LEDGER_ENGINE!$R$2:$R$546,$B$4&amp;"|"&amp;(ROW()-8))=0,"",SUMIFS(LEDGER_ENGINE!$A$2:$A$546,LEDGER_ENGINE!$R$2:$R$546,$B$4&amp;"|"&amp;(ROW()-8)))</f>
        <v/>
      </c>
      <c r="N28" s="101" t="str">
        <f aca="false">IF(SUMIFS(LEDGER_ENGINE!$A$2:$A$546,LEDGER_ENGINE!$S$2:$S$546,$B$4&amp;"|"&amp;(ROW()-8))=0,"",SUMIFS(LEDGER_ENGINE!$A$2:$A$546,LEDGER_ENGINE!$S$2:$S$546,$B$4&amp;"|"&amp;(ROW()-8)))</f>
        <v/>
      </c>
    </row>
    <row r="29" customFormat="false" ht="15" hidden="false" customHeight="true" outlineLevel="0" collapsed="false">
      <c r="A29" s="148" t="str">
        <f aca="false">IF($M29="","",INDEX(LEDGER_ENGINE!$B$2:$B$546,$M29))</f>
        <v/>
      </c>
      <c r="B29" s="149" t="str">
        <f aca="false">IF($M29="","",INDEX(LEDGER_ENGINE!$C$2:$C$546,$M29))</f>
        <v/>
      </c>
      <c r="C29" s="149" t="str">
        <f aca="false">IF($M29="","",INDEX(LEDGER_ENGINE!$G$2:$G$546,$M29))</f>
        <v/>
      </c>
      <c r="D29" s="149" t="str">
        <f aca="false">IF($M29="","",INDEX(LEDGER_ENGINE!$H$2:$H$546,$M29))</f>
        <v/>
      </c>
      <c r="E29" s="150" t="str">
        <f aca="false">IF($M29="","",INDEX(LEDGER_ENGINE!$I$2:$I$546,$M29))</f>
        <v/>
      </c>
      <c r="G29" s="148" t="str">
        <f aca="false">IF($N29="","",INDEX(LEDGER_ENGINE!$B$2:$B$546,$N29))</f>
        <v/>
      </c>
      <c r="H29" s="149" t="str">
        <f aca="false">IF($N29="","",INDEX(LEDGER_ENGINE!$C$2:$C$546,$N29))</f>
        <v/>
      </c>
      <c r="I29" s="152" t="str">
        <f aca="false">IF($N29="","",INDEX(LEDGER_ENGINE!$G$2:$G$546,$N29))</f>
        <v/>
      </c>
      <c r="J29" s="151" t="str">
        <f aca="false">IFERROR(IF($N29="","",INDEX(LEDGER_ENGINE!$H$2:$H$546,$N29)),"")</f>
        <v/>
      </c>
      <c r="K29" s="150" t="str">
        <f aca="false">IF($N29="","",INDEX(LEDGER_ENGINE!$J$2:$J$546,$N29))</f>
        <v/>
      </c>
      <c r="M29" s="101" t="str">
        <f aca="false">IF(SUMIFS(LEDGER_ENGINE!$A$2:$A$546,LEDGER_ENGINE!$R$2:$R$546,$B$4&amp;"|"&amp;(ROW()-8))=0,"",SUMIFS(LEDGER_ENGINE!$A$2:$A$546,LEDGER_ENGINE!$R$2:$R$546,$B$4&amp;"|"&amp;(ROW()-8)))</f>
        <v/>
      </c>
      <c r="N29" s="101" t="str">
        <f aca="false">IF(SUMIFS(LEDGER_ENGINE!$A$2:$A$546,LEDGER_ENGINE!$S$2:$S$546,$B$4&amp;"|"&amp;(ROW()-8))=0,"",SUMIFS(LEDGER_ENGINE!$A$2:$A$546,LEDGER_ENGINE!$S$2:$S$546,$B$4&amp;"|"&amp;(ROW()-8)))</f>
        <v/>
      </c>
    </row>
    <row r="30" customFormat="false" ht="15" hidden="false" customHeight="true" outlineLevel="0" collapsed="false">
      <c r="A30" s="148" t="str">
        <f aca="false">IF($M30="","",INDEX(LEDGER_ENGINE!$B$2:$B$546,$M30))</f>
        <v/>
      </c>
      <c r="B30" s="149" t="str">
        <f aca="false">IF($M30="","",INDEX(LEDGER_ENGINE!$C$2:$C$546,$M30))</f>
        <v/>
      </c>
      <c r="C30" s="149" t="str">
        <f aca="false">IF($M30="","",INDEX(LEDGER_ENGINE!$G$2:$G$546,$M30))</f>
        <v/>
      </c>
      <c r="D30" s="149" t="str">
        <f aca="false">IF($M30="","",INDEX(LEDGER_ENGINE!$H$2:$H$546,$M30))</f>
        <v/>
      </c>
      <c r="E30" s="150" t="str">
        <f aca="false">IF($M30="","",INDEX(LEDGER_ENGINE!$I$2:$I$546,$M30))</f>
        <v/>
      </c>
      <c r="G30" s="148" t="str">
        <f aca="false">IF($N30="","",INDEX(LEDGER_ENGINE!$B$2:$B$546,$N30))</f>
        <v/>
      </c>
      <c r="H30" s="149" t="str">
        <f aca="false">IF($N30="","",INDEX(LEDGER_ENGINE!$C$2:$C$546,$N30))</f>
        <v/>
      </c>
      <c r="I30" s="149" t="str">
        <f aca="false">IF($N30="","",INDEX(LEDGER_ENGINE!$G$2:$G$546,$N30))</f>
        <v/>
      </c>
      <c r="J30" s="149" t="str">
        <f aca="false">IFERROR(IF($N30="","",INDEX(LEDGER_ENGINE!$H$2:$H$546,$N30)),"")</f>
        <v/>
      </c>
      <c r="K30" s="150" t="str">
        <f aca="false">IF($N30="","",INDEX(LEDGER_ENGINE!$J$2:$J$546,$N30))</f>
        <v/>
      </c>
      <c r="M30" s="101" t="str">
        <f aca="false">IF(SUMIFS(LEDGER_ENGINE!$A$2:$A$546,LEDGER_ENGINE!$R$2:$R$546,$B$4&amp;"|"&amp;(ROW()-8))=0,"",SUMIFS(LEDGER_ENGINE!$A$2:$A$546,LEDGER_ENGINE!$R$2:$R$546,$B$4&amp;"|"&amp;(ROW()-8)))</f>
        <v/>
      </c>
      <c r="N30" s="101" t="str">
        <f aca="false">IF(SUMIFS(LEDGER_ENGINE!$A$2:$A$546,LEDGER_ENGINE!$S$2:$S$546,$B$4&amp;"|"&amp;(ROW()-8))=0,"",SUMIFS(LEDGER_ENGINE!$A$2:$A$546,LEDGER_ENGINE!$S$2:$S$546,$B$4&amp;"|"&amp;(ROW()-8)))</f>
        <v/>
      </c>
    </row>
    <row r="31" customFormat="false" ht="15" hidden="false" customHeight="true" outlineLevel="0" collapsed="false">
      <c r="A31" s="148" t="str">
        <f aca="false">IF($M31="","",INDEX(LEDGER_ENGINE!$B$2:$B$546,$M31))</f>
        <v/>
      </c>
      <c r="B31" s="149" t="str">
        <f aca="false">IF($M31="","",INDEX(LEDGER_ENGINE!$C$2:$C$546,$M31))</f>
        <v/>
      </c>
      <c r="C31" s="149" t="str">
        <f aca="false">IF($M31="","",INDEX(LEDGER_ENGINE!$G$2:$G$546,$M31))</f>
        <v/>
      </c>
      <c r="D31" s="149" t="str">
        <f aca="false">IF($M31="","",INDEX(LEDGER_ENGINE!$H$2:$H$546,$M31))</f>
        <v/>
      </c>
      <c r="E31" s="150" t="str">
        <f aca="false">IF($M31="","",INDEX(LEDGER_ENGINE!$I$2:$I$546,$M31))</f>
        <v/>
      </c>
      <c r="G31" s="148" t="str">
        <f aca="false">IF($N31="","",INDEX(LEDGER_ENGINE!$B$2:$B$546,$N31))</f>
        <v/>
      </c>
      <c r="H31" s="149" t="str">
        <f aca="false">IF($N31="","",INDEX(LEDGER_ENGINE!$C$2:$C$546,$N31))</f>
        <v/>
      </c>
      <c r="I31" s="149" t="str">
        <f aca="false">IF($N31="","",INDEX(LEDGER_ENGINE!$G$2:$G$546,$N31))</f>
        <v/>
      </c>
      <c r="J31" s="149" t="str">
        <f aca="false">IFERROR(IF($N31="","",INDEX(LEDGER_ENGINE!$H$2:$H$546,$N31)),"")</f>
        <v/>
      </c>
      <c r="K31" s="150" t="str">
        <f aca="false">IF($N31="","",INDEX(LEDGER_ENGINE!$J$2:$J$546,$N31))</f>
        <v/>
      </c>
      <c r="M31" s="101" t="str">
        <f aca="false">IF(SUMIFS(LEDGER_ENGINE!$A$2:$A$546,LEDGER_ENGINE!$R$2:$R$546,$B$4&amp;"|"&amp;(ROW()-8))=0,"",SUMIFS(LEDGER_ENGINE!$A$2:$A$546,LEDGER_ENGINE!$R$2:$R$546,$B$4&amp;"|"&amp;(ROW()-8)))</f>
        <v/>
      </c>
      <c r="N31" s="101" t="str">
        <f aca="false">IF(SUMIFS(LEDGER_ENGINE!$A$2:$A$546,LEDGER_ENGINE!$S$2:$S$546,$B$4&amp;"|"&amp;(ROW()-8))=0,"",SUMIFS(LEDGER_ENGINE!$A$2:$A$546,LEDGER_ENGINE!$S$2:$S$546,$B$4&amp;"|"&amp;(ROW()-8)))</f>
        <v/>
      </c>
    </row>
    <row r="32" customFormat="false" ht="15" hidden="false" customHeight="true" outlineLevel="0" collapsed="false">
      <c r="A32" s="148" t="str">
        <f aca="false">IF($M32="","",INDEX(LEDGER_ENGINE!$B$2:$B$546,$M32))</f>
        <v/>
      </c>
      <c r="B32" s="149" t="str">
        <f aca="false">IF($M32="","",INDEX(LEDGER_ENGINE!$C$2:$C$546,$M32))</f>
        <v/>
      </c>
      <c r="C32" s="149" t="str">
        <f aca="false">IF($M32="","",INDEX(LEDGER_ENGINE!$G$2:$G$546,$M32))</f>
        <v/>
      </c>
      <c r="D32" s="149" t="str">
        <f aca="false">IF($M32="","",INDEX(LEDGER_ENGINE!$H$2:$H$546,$M32))</f>
        <v/>
      </c>
      <c r="E32" s="150" t="str">
        <f aca="false">IF($M32="","",INDEX(LEDGER_ENGINE!$I$2:$I$546,$M32))</f>
        <v/>
      </c>
      <c r="G32" s="148" t="str">
        <f aca="false">IF($N32="","",INDEX(LEDGER_ENGINE!$B$2:$B$546,$N32))</f>
        <v/>
      </c>
      <c r="H32" s="149" t="str">
        <f aca="false">IF($N32="","",INDEX(LEDGER_ENGINE!$C$2:$C$546,$N32))</f>
        <v/>
      </c>
      <c r="I32" s="149" t="str">
        <f aca="false">IF($N32="","",INDEX(LEDGER_ENGINE!$G$2:$G$546,$N32))</f>
        <v/>
      </c>
      <c r="J32" s="149" t="str">
        <f aca="false">IFERROR(IF($N32="","",INDEX(LEDGER_ENGINE!$H$2:$H$546,$N32)),"")</f>
        <v/>
      </c>
      <c r="K32" s="150" t="str">
        <f aca="false">IF($N32="","",INDEX(LEDGER_ENGINE!$J$2:$J$546,$N32))</f>
        <v/>
      </c>
      <c r="M32" s="101" t="str">
        <f aca="false">IF(SUMIFS(LEDGER_ENGINE!$A$2:$A$546,LEDGER_ENGINE!$R$2:$R$546,$B$4&amp;"|"&amp;(ROW()-8))=0,"",SUMIFS(LEDGER_ENGINE!$A$2:$A$546,LEDGER_ENGINE!$R$2:$R$546,$B$4&amp;"|"&amp;(ROW()-8)))</f>
        <v/>
      </c>
      <c r="N32" s="101" t="str">
        <f aca="false">IF(SUMIFS(LEDGER_ENGINE!$A$2:$A$546,LEDGER_ENGINE!$S$2:$S$546,$B$4&amp;"|"&amp;(ROW()-8))=0,"",SUMIFS(LEDGER_ENGINE!$A$2:$A$546,LEDGER_ENGINE!$S$2:$S$546,$B$4&amp;"|"&amp;(ROW()-8)))</f>
        <v/>
      </c>
    </row>
    <row r="33" customFormat="false" ht="15" hidden="false" customHeight="true" outlineLevel="0" collapsed="false">
      <c r="A33" s="148" t="str">
        <f aca="false">IF($M33="","",INDEX(LEDGER_ENGINE!$B$2:$B$546,$M33))</f>
        <v/>
      </c>
      <c r="B33" s="149" t="str">
        <f aca="false">IF($M33="","",INDEX(LEDGER_ENGINE!$C$2:$C$546,$M33))</f>
        <v/>
      </c>
      <c r="C33" s="149" t="str">
        <f aca="false">IF($M33="","",INDEX(LEDGER_ENGINE!$G$2:$G$546,$M33))</f>
        <v/>
      </c>
      <c r="D33" s="149" t="str">
        <f aca="false">IF($M33="","",INDEX(LEDGER_ENGINE!$H$2:$H$546,$M33))</f>
        <v/>
      </c>
      <c r="E33" s="150" t="str">
        <f aca="false">IF($M33="","",INDEX(LEDGER_ENGINE!$I$2:$I$546,$M33))</f>
        <v/>
      </c>
      <c r="G33" s="148" t="str">
        <f aca="false">IF($N33="","",INDEX(LEDGER_ENGINE!$B$2:$B$546,$N33))</f>
        <v/>
      </c>
      <c r="H33" s="149" t="str">
        <f aca="false">IF($N33="","",INDEX(LEDGER_ENGINE!$C$2:$C$546,$N33))</f>
        <v/>
      </c>
      <c r="I33" s="149" t="str">
        <f aca="false">IF($N33="","",INDEX(LEDGER_ENGINE!$G$2:$G$546,$N33))</f>
        <v/>
      </c>
      <c r="J33" s="149" t="str">
        <f aca="false">IFERROR(IF($N33="","",INDEX(LEDGER_ENGINE!$H$2:$H$546,$N33)),"")</f>
        <v/>
      </c>
      <c r="K33" s="150" t="str">
        <f aca="false">IF($N33="","",INDEX(LEDGER_ENGINE!$J$2:$J$546,$N33))</f>
        <v/>
      </c>
      <c r="M33" s="101" t="str">
        <f aca="false">IF(SUMIFS(LEDGER_ENGINE!$A$2:$A$546,LEDGER_ENGINE!$R$2:$R$546,$B$4&amp;"|"&amp;(ROW()-8))=0,"",SUMIFS(LEDGER_ENGINE!$A$2:$A$546,LEDGER_ENGINE!$R$2:$R$546,$B$4&amp;"|"&amp;(ROW()-8)))</f>
        <v/>
      </c>
      <c r="N33" s="101" t="str">
        <f aca="false">IF(SUMIFS(LEDGER_ENGINE!$A$2:$A$546,LEDGER_ENGINE!$S$2:$S$546,$B$4&amp;"|"&amp;(ROW()-8))=0,"",SUMIFS(LEDGER_ENGINE!$A$2:$A$546,LEDGER_ENGINE!$S$2:$S$546,$B$4&amp;"|"&amp;(ROW()-8)))</f>
        <v/>
      </c>
    </row>
    <row r="34" customFormat="false" ht="15" hidden="false" customHeight="true" outlineLevel="0" collapsed="false">
      <c r="A34" s="148" t="str">
        <f aca="false">IF($M34="","",INDEX(LEDGER_ENGINE!$B$2:$B$546,$M34))</f>
        <v/>
      </c>
      <c r="B34" s="149" t="str">
        <f aca="false">IF($M34="","",INDEX(LEDGER_ENGINE!$C$2:$C$546,$M34))</f>
        <v/>
      </c>
      <c r="C34" s="149" t="str">
        <f aca="false">IF($M34="","",INDEX(LEDGER_ENGINE!$G$2:$G$546,$M34))</f>
        <v/>
      </c>
      <c r="D34" s="149" t="str">
        <f aca="false">IF($M34="","",INDEX(LEDGER_ENGINE!$H$2:$H$546,$M34))</f>
        <v/>
      </c>
      <c r="E34" s="150" t="str">
        <f aca="false">IF($M34="","",INDEX(LEDGER_ENGINE!$I$2:$I$546,$M34))</f>
        <v/>
      </c>
      <c r="G34" s="148" t="str">
        <f aca="false">IF($N34="","",INDEX(LEDGER_ENGINE!$B$2:$B$546,$N34))</f>
        <v/>
      </c>
      <c r="H34" s="149" t="str">
        <f aca="false">IF($N34="","",INDEX(LEDGER_ENGINE!$C$2:$C$546,$N34))</f>
        <v/>
      </c>
      <c r="I34" s="149" t="str">
        <f aca="false">IF($N34="","",INDEX(LEDGER_ENGINE!$G$2:$G$546,$N34))</f>
        <v/>
      </c>
      <c r="J34" s="149" t="str">
        <f aca="false">IFERROR(IF($N34="","",INDEX(LEDGER_ENGINE!$H$2:$H$546,$N34)),"")</f>
        <v/>
      </c>
      <c r="K34" s="150" t="str">
        <f aca="false">IF($N34="","",INDEX(LEDGER_ENGINE!$J$2:$J$546,$N34))</f>
        <v/>
      </c>
      <c r="M34" s="101" t="str">
        <f aca="false">IF(SUMIFS(LEDGER_ENGINE!$A$2:$A$546,LEDGER_ENGINE!$R$2:$R$546,$B$4&amp;"|"&amp;(ROW()-8))=0,"",SUMIFS(LEDGER_ENGINE!$A$2:$A$546,LEDGER_ENGINE!$R$2:$R$546,$B$4&amp;"|"&amp;(ROW()-8)))</f>
        <v/>
      </c>
      <c r="N34" s="101" t="str">
        <f aca="false">IF(SUMIFS(LEDGER_ENGINE!$A$2:$A$546,LEDGER_ENGINE!$S$2:$S$546,$B$4&amp;"|"&amp;(ROW()-8))=0,"",SUMIFS(LEDGER_ENGINE!$A$2:$A$546,LEDGER_ENGINE!$S$2:$S$546,$B$4&amp;"|"&amp;(ROW()-8)))</f>
        <v/>
      </c>
    </row>
    <row r="35" customFormat="false" ht="15" hidden="false" customHeight="true" outlineLevel="0" collapsed="false">
      <c r="A35" s="148" t="str">
        <f aca="false">IF($M35="","",INDEX(LEDGER_ENGINE!$B$2:$B$546,$M35))</f>
        <v/>
      </c>
      <c r="B35" s="149" t="str">
        <f aca="false">IF($M35="","",INDEX(LEDGER_ENGINE!$C$2:$C$546,$M35))</f>
        <v/>
      </c>
      <c r="C35" s="149" t="str">
        <f aca="false">IF($M35="","",INDEX(LEDGER_ENGINE!$G$2:$G$546,$M35))</f>
        <v/>
      </c>
      <c r="D35" s="149" t="str">
        <f aca="false">IF($M35="","",INDEX(LEDGER_ENGINE!$H$2:$H$546,$M35))</f>
        <v/>
      </c>
      <c r="E35" s="150" t="str">
        <f aca="false">IF($M35="","",INDEX(LEDGER_ENGINE!$I$2:$I$546,$M35))</f>
        <v/>
      </c>
      <c r="G35" s="148" t="str">
        <f aca="false">IF($N35="","",INDEX(LEDGER_ENGINE!$B$2:$B$546,$N35))</f>
        <v/>
      </c>
      <c r="H35" s="149" t="str">
        <f aca="false">IF($N35="","",INDEX(LEDGER_ENGINE!$C$2:$C$546,$N35))</f>
        <v/>
      </c>
      <c r="I35" s="149" t="str">
        <f aca="false">IF($N35="","",INDEX(LEDGER_ENGINE!$G$2:$G$546,$N35))</f>
        <v/>
      </c>
      <c r="J35" s="149" t="str">
        <f aca="false">IFERROR(IF($N35="","",INDEX(LEDGER_ENGINE!$H$2:$H$546,$N35)),"")</f>
        <v/>
      </c>
      <c r="K35" s="150" t="str">
        <f aca="false">IF($N35="","",INDEX(LEDGER_ENGINE!$J$2:$J$546,$N35))</f>
        <v/>
      </c>
      <c r="M35" s="101" t="str">
        <f aca="false">IF(SUMIFS(LEDGER_ENGINE!$A$2:$A$546,LEDGER_ENGINE!$R$2:$R$546,$B$4&amp;"|"&amp;(ROW()-8))=0,"",SUMIFS(LEDGER_ENGINE!$A$2:$A$546,LEDGER_ENGINE!$R$2:$R$546,$B$4&amp;"|"&amp;(ROW()-8)))</f>
        <v/>
      </c>
      <c r="N35" s="101" t="str">
        <f aca="false">IF(SUMIFS(LEDGER_ENGINE!$A$2:$A$546,LEDGER_ENGINE!$S$2:$S$546,$B$4&amp;"|"&amp;(ROW()-8))=0,"",SUMIFS(LEDGER_ENGINE!$A$2:$A$546,LEDGER_ENGINE!$S$2:$S$546,$B$4&amp;"|"&amp;(ROW()-8)))</f>
        <v/>
      </c>
    </row>
    <row r="36" customFormat="false" ht="15" hidden="false" customHeight="true" outlineLevel="0" collapsed="false">
      <c r="A36" s="148" t="str">
        <f aca="false">IF($M36="","",INDEX(LEDGER_ENGINE!$B$2:$B$546,$M36))</f>
        <v/>
      </c>
      <c r="B36" s="149" t="str">
        <f aca="false">IF($M36="","",INDEX(LEDGER_ENGINE!$C$2:$C$546,$M36))</f>
        <v/>
      </c>
      <c r="C36" s="149" t="str">
        <f aca="false">IF($M36="","",INDEX(LEDGER_ENGINE!$G$2:$G$546,$M36))</f>
        <v/>
      </c>
      <c r="D36" s="149" t="str">
        <f aca="false">IF($M36="","",INDEX(LEDGER_ENGINE!$H$2:$H$546,$M36))</f>
        <v/>
      </c>
      <c r="E36" s="150" t="str">
        <f aca="false">IF($M36="","",INDEX(LEDGER_ENGINE!$I$2:$I$546,$M36))</f>
        <v/>
      </c>
      <c r="G36" s="148" t="str">
        <f aca="false">IF($N36="","",INDEX(LEDGER_ENGINE!$B$2:$B$546,$N36))</f>
        <v/>
      </c>
      <c r="H36" s="149" t="str">
        <f aca="false">IF($N36="","",INDEX(LEDGER_ENGINE!$C$2:$C$546,$N36))</f>
        <v/>
      </c>
      <c r="I36" s="149" t="str">
        <f aca="false">IF($N36="","",INDEX(LEDGER_ENGINE!$G$2:$G$546,$N36))</f>
        <v/>
      </c>
      <c r="J36" s="149" t="str">
        <f aca="false">IFERROR(IF($N36="","",INDEX(LEDGER_ENGINE!$H$2:$H$546,$N36)),"")</f>
        <v/>
      </c>
      <c r="K36" s="150" t="str">
        <f aca="false">IF($N36="","",INDEX(LEDGER_ENGINE!$J$2:$J$546,$N36))</f>
        <v/>
      </c>
      <c r="M36" s="101" t="str">
        <f aca="false">IF(SUMIFS(LEDGER_ENGINE!$A$2:$A$546,LEDGER_ENGINE!$R$2:$R$546,$B$4&amp;"|"&amp;(ROW()-8))=0,"",SUMIFS(LEDGER_ENGINE!$A$2:$A$546,LEDGER_ENGINE!$R$2:$R$546,$B$4&amp;"|"&amp;(ROW()-8)))</f>
        <v/>
      </c>
      <c r="N36" s="101" t="str">
        <f aca="false">IF(SUMIFS(LEDGER_ENGINE!$A$2:$A$546,LEDGER_ENGINE!$S$2:$S$546,$B$4&amp;"|"&amp;(ROW()-8))=0,"",SUMIFS(LEDGER_ENGINE!$A$2:$A$546,LEDGER_ENGINE!$S$2:$S$546,$B$4&amp;"|"&amp;(ROW()-8)))</f>
        <v/>
      </c>
    </row>
    <row r="37" customFormat="false" ht="15" hidden="false" customHeight="true" outlineLevel="0" collapsed="false">
      <c r="A37" s="148" t="str">
        <f aca="false">IF($M37="","",INDEX(LEDGER_ENGINE!$B$2:$B$546,$M37))</f>
        <v/>
      </c>
      <c r="B37" s="149" t="str">
        <f aca="false">IF($M37="","",INDEX(LEDGER_ENGINE!$C$2:$C$546,$M37))</f>
        <v/>
      </c>
      <c r="C37" s="149" t="str">
        <f aca="false">IF($M37="","",INDEX(LEDGER_ENGINE!$G$2:$G$546,$M37))</f>
        <v/>
      </c>
      <c r="D37" s="149" t="str">
        <f aca="false">IF($M37="","",INDEX(LEDGER_ENGINE!$H$2:$H$546,$M37))</f>
        <v/>
      </c>
      <c r="E37" s="150" t="str">
        <f aca="false">IF($M37="","",INDEX(LEDGER_ENGINE!$I$2:$I$546,$M37))</f>
        <v/>
      </c>
      <c r="G37" s="148" t="str">
        <f aca="false">IF($N37="","",INDEX(LEDGER_ENGINE!$B$2:$B$546,$N37))</f>
        <v/>
      </c>
      <c r="H37" s="149" t="str">
        <f aca="false">IF($N37="","",INDEX(LEDGER_ENGINE!$C$2:$C$546,$N37))</f>
        <v/>
      </c>
      <c r="I37" s="149" t="str">
        <f aca="false">IF($N37="","",INDEX(LEDGER_ENGINE!$G$2:$G$546,$N37))</f>
        <v/>
      </c>
      <c r="J37" s="149" t="str">
        <f aca="false">IFERROR(IF($N37="","",INDEX(LEDGER_ENGINE!$H$2:$H$546,$N37)),"")</f>
        <v/>
      </c>
      <c r="K37" s="150" t="str">
        <f aca="false">IF($N37="","",INDEX(LEDGER_ENGINE!$J$2:$J$546,$N37))</f>
        <v/>
      </c>
      <c r="M37" s="101" t="str">
        <f aca="false">IF(SUMIFS(LEDGER_ENGINE!$A$2:$A$546,LEDGER_ENGINE!$R$2:$R$546,$B$4&amp;"|"&amp;(ROW()-8))=0,"",SUMIFS(LEDGER_ENGINE!$A$2:$A$546,LEDGER_ENGINE!$R$2:$R$546,$B$4&amp;"|"&amp;(ROW()-8)))</f>
        <v/>
      </c>
      <c r="N37" s="101" t="str">
        <f aca="false">IF(SUMIFS(LEDGER_ENGINE!$A$2:$A$546,LEDGER_ENGINE!$S$2:$S$546,$B$4&amp;"|"&amp;(ROW()-8))=0,"",SUMIFS(LEDGER_ENGINE!$A$2:$A$546,LEDGER_ENGINE!$S$2:$S$546,$B$4&amp;"|"&amp;(ROW()-8)))</f>
        <v/>
      </c>
    </row>
    <row r="38" customFormat="false" ht="15" hidden="false" customHeight="true" outlineLevel="0" collapsed="false">
      <c r="A38" s="148" t="str">
        <f aca="false">IF($M38="","",INDEX(LEDGER_ENGINE!$B$2:$B$546,$M38))</f>
        <v/>
      </c>
      <c r="B38" s="149" t="str">
        <f aca="false">IF($M38="","",INDEX(LEDGER_ENGINE!$C$2:$C$546,$M38))</f>
        <v/>
      </c>
      <c r="C38" s="149" t="str">
        <f aca="false">IF($M38="","",INDEX(LEDGER_ENGINE!$G$2:$G$546,$M38))</f>
        <v/>
      </c>
      <c r="D38" s="149" t="str">
        <f aca="false">IF($M38="","",INDEX(LEDGER_ENGINE!$H$2:$H$546,$M38))</f>
        <v/>
      </c>
      <c r="E38" s="150" t="str">
        <f aca="false">IF($M38="","",INDEX(LEDGER_ENGINE!$I$2:$I$546,$M38))</f>
        <v/>
      </c>
      <c r="G38" s="148" t="str">
        <f aca="false">IF($N38="","",INDEX(LEDGER_ENGINE!$B$2:$B$546,$N38))</f>
        <v/>
      </c>
      <c r="H38" s="149" t="str">
        <f aca="false">IF($N38="","",INDEX(LEDGER_ENGINE!$C$2:$C$546,$N38))</f>
        <v/>
      </c>
      <c r="I38" s="149" t="str">
        <f aca="false">IF($N38="","",INDEX(LEDGER_ENGINE!$G$2:$G$546,$N38))</f>
        <v/>
      </c>
      <c r="J38" s="149" t="str">
        <f aca="false">IFERROR(IF($N38="","",INDEX(LEDGER_ENGINE!$H$2:$H$546,$N38)),"")</f>
        <v/>
      </c>
      <c r="K38" s="150" t="str">
        <f aca="false">IF($N38="","",INDEX(LEDGER_ENGINE!$J$2:$J$546,$N38))</f>
        <v/>
      </c>
      <c r="M38" s="101" t="str">
        <f aca="false">IF(SUMIFS(LEDGER_ENGINE!$A$2:$A$546,LEDGER_ENGINE!$R$2:$R$546,$B$4&amp;"|"&amp;(ROW()-8))=0,"",SUMIFS(LEDGER_ENGINE!$A$2:$A$546,LEDGER_ENGINE!$R$2:$R$546,$B$4&amp;"|"&amp;(ROW()-8)))</f>
        <v/>
      </c>
      <c r="N38" s="101" t="str">
        <f aca="false">IF(SUMIFS(LEDGER_ENGINE!$A$2:$A$546,LEDGER_ENGINE!$S$2:$S$546,$B$4&amp;"|"&amp;(ROW()-8))=0,"",SUMIFS(LEDGER_ENGINE!$A$2:$A$546,LEDGER_ENGINE!$S$2:$S$546,$B$4&amp;"|"&amp;(ROW()-8)))</f>
        <v/>
      </c>
    </row>
    <row r="39" customFormat="false" ht="15" hidden="false" customHeight="true" outlineLevel="0" collapsed="false">
      <c r="A39" s="148" t="str">
        <f aca="false">IF($M39="","",INDEX(LEDGER_ENGINE!$B$2:$B$546,$M39))</f>
        <v/>
      </c>
      <c r="B39" s="149" t="str">
        <f aca="false">IF($M39="","",INDEX(LEDGER_ENGINE!$C$2:$C$546,$M39))</f>
        <v/>
      </c>
      <c r="C39" s="149" t="str">
        <f aca="false">IF($M39="","",INDEX(LEDGER_ENGINE!$G$2:$G$546,$M39))</f>
        <v/>
      </c>
      <c r="D39" s="149" t="str">
        <f aca="false">IF($M39="","",INDEX(LEDGER_ENGINE!$H$2:$H$546,$M39))</f>
        <v/>
      </c>
      <c r="E39" s="150" t="str">
        <f aca="false">IF($M39="","",INDEX(LEDGER_ENGINE!$I$2:$I$546,$M39))</f>
        <v/>
      </c>
      <c r="G39" s="148" t="str">
        <f aca="false">IF($N39="","",INDEX(LEDGER_ENGINE!$B$2:$B$546,$N39))</f>
        <v/>
      </c>
      <c r="H39" s="149" t="str">
        <f aca="false">IF($N39="","",INDEX(LEDGER_ENGINE!$C$2:$C$546,$N39))</f>
        <v/>
      </c>
      <c r="I39" s="149" t="str">
        <f aca="false">IF($N39="","",INDEX(LEDGER_ENGINE!$G$2:$G$546,$N39))</f>
        <v/>
      </c>
      <c r="J39" s="149" t="str">
        <f aca="false">IFERROR(IF($N39="","",INDEX(LEDGER_ENGINE!$H$2:$H$546,$N39)),"")</f>
        <v/>
      </c>
      <c r="K39" s="150" t="str">
        <f aca="false">IF($N39="","",INDEX(LEDGER_ENGINE!$J$2:$J$546,$N39))</f>
        <v/>
      </c>
      <c r="M39" s="101" t="str">
        <f aca="false">IF(SUMIFS(LEDGER_ENGINE!$A$2:$A$546,LEDGER_ENGINE!$R$2:$R$546,$B$4&amp;"|"&amp;(ROW()-8))=0,"",SUMIFS(LEDGER_ENGINE!$A$2:$A$546,LEDGER_ENGINE!$R$2:$R$546,$B$4&amp;"|"&amp;(ROW()-8)))</f>
        <v/>
      </c>
      <c r="N39" s="101" t="str">
        <f aca="false">IF(SUMIFS(LEDGER_ENGINE!$A$2:$A$546,LEDGER_ENGINE!$S$2:$S$546,$B$4&amp;"|"&amp;(ROW()-8))=0,"",SUMIFS(LEDGER_ENGINE!$A$2:$A$546,LEDGER_ENGINE!$S$2:$S$546,$B$4&amp;"|"&amp;(ROW()-8)))</f>
        <v/>
      </c>
    </row>
    <row r="40" customFormat="false" ht="15" hidden="false" customHeight="true" outlineLevel="0" collapsed="false">
      <c r="A40" s="148" t="str">
        <f aca="false">IF($M40="","",INDEX(LEDGER_ENGINE!$B$2:$B$546,$M40))</f>
        <v/>
      </c>
      <c r="B40" s="149" t="str">
        <f aca="false">IF($M40="","",INDEX(LEDGER_ENGINE!$C$2:$C$546,$M40))</f>
        <v/>
      </c>
      <c r="C40" s="149" t="str">
        <f aca="false">IF($M40="","",INDEX(LEDGER_ENGINE!$G$2:$G$546,$M40))</f>
        <v/>
      </c>
      <c r="D40" s="149" t="str">
        <f aca="false">IF($M40="","",INDEX(LEDGER_ENGINE!$H$2:$H$546,$M40))</f>
        <v/>
      </c>
      <c r="E40" s="150" t="str">
        <f aca="false">IF($M40="","",INDEX(LEDGER_ENGINE!$I$2:$I$546,$M40))</f>
        <v/>
      </c>
      <c r="G40" s="148" t="str">
        <f aca="false">IF($N40="","",INDEX(LEDGER_ENGINE!$B$2:$B$546,$N40))</f>
        <v/>
      </c>
      <c r="H40" s="149" t="str">
        <f aca="false">IF($N40="","",INDEX(LEDGER_ENGINE!$C$2:$C$546,$N40))</f>
        <v/>
      </c>
      <c r="I40" s="149" t="str">
        <f aca="false">IF($N40="","",INDEX(LEDGER_ENGINE!$G$2:$G$546,$N40))</f>
        <v/>
      </c>
      <c r="J40" s="149" t="str">
        <f aca="false">IFERROR(IF($N40="","",INDEX(LEDGER_ENGINE!$H$2:$H$546,$N40)),"")</f>
        <v/>
      </c>
      <c r="K40" s="150" t="str">
        <f aca="false">IF($N40="","",INDEX(LEDGER_ENGINE!$J$2:$J$546,$N40))</f>
        <v/>
      </c>
      <c r="M40" s="101" t="str">
        <f aca="false">IF(SUMIFS(LEDGER_ENGINE!$A$2:$A$546,LEDGER_ENGINE!$R$2:$R$546,$B$4&amp;"|"&amp;(ROW()-8))=0,"",SUMIFS(LEDGER_ENGINE!$A$2:$A$546,LEDGER_ENGINE!$R$2:$R$546,$B$4&amp;"|"&amp;(ROW()-8)))</f>
        <v/>
      </c>
      <c r="N40" s="101" t="str">
        <f aca="false">IF(SUMIFS(LEDGER_ENGINE!$A$2:$A$546,LEDGER_ENGINE!$S$2:$S$546,$B$4&amp;"|"&amp;(ROW()-8))=0,"",SUMIFS(LEDGER_ENGINE!$A$2:$A$546,LEDGER_ENGINE!$S$2:$S$546,$B$4&amp;"|"&amp;(ROW()-8)))</f>
        <v/>
      </c>
    </row>
    <row r="41" customFormat="false" ht="15" hidden="false" customHeight="true" outlineLevel="0" collapsed="false">
      <c r="A41" s="148" t="str">
        <f aca="false">IF($M41="","",INDEX(LEDGER_ENGINE!$B$2:$B$546,$M41))</f>
        <v/>
      </c>
      <c r="B41" s="149" t="str">
        <f aca="false">IF($M41="","",INDEX(LEDGER_ENGINE!$C$2:$C$546,$M41))</f>
        <v/>
      </c>
      <c r="C41" s="149" t="str">
        <f aca="false">IF($M41="","",INDEX(LEDGER_ENGINE!$G$2:$G$546,$M41))</f>
        <v/>
      </c>
      <c r="D41" s="149" t="str">
        <f aca="false">IF($M41="","",INDEX(LEDGER_ENGINE!$H$2:$H$546,$M41))</f>
        <v/>
      </c>
      <c r="E41" s="150" t="str">
        <f aca="false">IF($M41="","",INDEX(LEDGER_ENGINE!$I$2:$I$546,$M41))</f>
        <v/>
      </c>
      <c r="G41" s="148" t="str">
        <f aca="false">IF($N41="","",INDEX(LEDGER_ENGINE!$B$2:$B$546,$N41))</f>
        <v/>
      </c>
      <c r="H41" s="149" t="str">
        <f aca="false">IF($N41="","",INDEX(LEDGER_ENGINE!$C$2:$C$546,$N41))</f>
        <v/>
      </c>
      <c r="I41" s="149" t="str">
        <f aca="false">IF($N41="","",INDEX(LEDGER_ENGINE!$G$2:$G$546,$N41))</f>
        <v/>
      </c>
      <c r="J41" s="149" t="str">
        <f aca="false">IFERROR(IF($N41="","",INDEX(LEDGER_ENGINE!$H$2:$H$546,$N41)),"")</f>
        <v/>
      </c>
      <c r="K41" s="150" t="str">
        <f aca="false">IF($N41="","",INDEX(LEDGER_ENGINE!$J$2:$J$546,$N41))</f>
        <v/>
      </c>
      <c r="M41" s="101" t="str">
        <f aca="false">IF(SUMIFS(LEDGER_ENGINE!$A$2:$A$546,LEDGER_ENGINE!$R$2:$R$546,$B$4&amp;"|"&amp;(ROW()-8))=0,"",SUMIFS(LEDGER_ENGINE!$A$2:$A$546,LEDGER_ENGINE!$R$2:$R$546,$B$4&amp;"|"&amp;(ROW()-8)))</f>
        <v/>
      </c>
      <c r="N41" s="101" t="str">
        <f aca="false">IF(SUMIFS(LEDGER_ENGINE!$A$2:$A$546,LEDGER_ENGINE!$S$2:$S$546,$B$4&amp;"|"&amp;(ROW()-8))=0,"",SUMIFS(LEDGER_ENGINE!$A$2:$A$546,LEDGER_ENGINE!$S$2:$S$546,$B$4&amp;"|"&amp;(ROW()-8)))</f>
        <v/>
      </c>
    </row>
    <row r="42" customFormat="false" ht="15" hidden="false" customHeight="true" outlineLevel="0" collapsed="false">
      <c r="A42" s="148" t="str">
        <f aca="false">IF($M42="","",INDEX(LEDGER_ENGINE!$B$2:$B$546,$M42))</f>
        <v/>
      </c>
      <c r="B42" s="149" t="str">
        <f aca="false">IF($M42="","",INDEX(LEDGER_ENGINE!$C$2:$C$546,$M42))</f>
        <v/>
      </c>
      <c r="C42" s="149" t="str">
        <f aca="false">IF($M42="","",INDEX(LEDGER_ENGINE!$G$2:$G$546,$M42))</f>
        <v/>
      </c>
      <c r="D42" s="149" t="str">
        <f aca="false">IF($M42="","",INDEX(LEDGER_ENGINE!$H$2:$H$546,$M42))</f>
        <v/>
      </c>
      <c r="E42" s="150" t="str">
        <f aca="false">IF($M42="","",INDEX(LEDGER_ENGINE!$I$2:$I$546,$M42))</f>
        <v/>
      </c>
      <c r="G42" s="148" t="str">
        <f aca="false">IF($N42="","",INDEX(LEDGER_ENGINE!$B$2:$B$546,$N42))</f>
        <v/>
      </c>
      <c r="H42" s="149" t="str">
        <f aca="false">IF($N42="","",INDEX(LEDGER_ENGINE!$C$2:$C$546,$N42))</f>
        <v/>
      </c>
      <c r="I42" s="149" t="str">
        <f aca="false">IF($N42="","",INDEX(LEDGER_ENGINE!$G$2:$G$546,$N42))</f>
        <v/>
      </c>
      <c r="J42" s="149" t="str">
        <f aca="false">IFERROR(IF($N42="","",INDEX(LEDGER_ENGINE!$H$2:$H$546,$N42)),"")</f>
        <v/>
      </c>
      <c r="K42" s="150" t="str">
        <f aca="false">IF($N42="","",INDEX(LEDGER_ENGINE!$J$2:$J$546,$N42))</f>
        <v/>
      </c>
      <c r="M42" s="101" t="str">
        <f aca="false">IF(SUMIFS(LEDGER_ENGINE!$A$2:$A$546,LEDGER_ENGINE!$R$2:$R$546,$B$4&amp;"|"&amp;(ROW()-8))=0,"",SUMIFS(LEDGER_ENGINE!$A$2:$A$546,LEDGER_ENGINE!$R$2:$R$546,$B$4&amp;"|"&amp;(ROW()-8)))</f>
        <v/>
      </c>
      <c r="N42" s="101" t="str">
        <f aca="false">IF(SUMIFS(LEDGER_ENGINE!$A$2:$A$546,LEDGER_ENGINE!$S$2:$S$546,$B$4&amp;"|"&amp;(ROW()-8))=0,"",SUMIFS(LEDGER_ENGINE!$A$2:$A$546,LEDGER_ENGINE!$S$2:$S$546,$B$4&amp;"|"&amp;(ROW()-8)))</f>
        <v/>
      </c>
    </row>
    <row r="43" customFormat="false" ht="15" hidden="false" customHeight="true" outlineLevel="0" collapsed="false">
      <c r="A43" s="148" t="str">
        <f aca="false">IF($M43="","",INDEX(LEDGER_ENGINE!$B$2:$B$546,$M43))</f>
        <v/>
      </c>
      <c r="B43" s="149" t="str">
        <f aca="false">IF($M43="","",INDEX(LEDGER_ENGINE!$C$2:$C$546,$M43))</f>
        <v/>
      </c>
      <c r="C43" s="149" t="str">
        <f aca="false">IF($M43="","",INDEX(LEDGER_ENGINE!$G$2:$G$546,$M43))</f>
        <v/>
      </c>
      <c r="D43" s="149" t="str">
        <f aca="false">IF($M43="","",INDEX(LEDGER_ENGINE!$H$2:$H$546,$M43))</f>
        <v/>
      </c>
      <c r="E43" s="150" t="str">
        <f aca="false">IF($M43="","",INDEX(LEDGER_ENGINE!$I$2:$I$546,$M43))</f>
        <v/>
      </c>
      <c r="G43" s="148" t="str">
        <f aca="false">IF($N43="","",INDEX(LEDGER_ENGINE!$B$2:$B$546,$N43))</f>
        <v/>
      </c>
      <c r="H43" s="149" t="str">
        <f aca="false">IF($N43="","",INDEX(LEDGER_ENGINE!$C$2:$C$546,$N43))</f>
        <v/>
      </c>
      <c r="I43" s="149" t="str">
        <f aca="false">IF($N43="","",INDEX(LEDGER_ENGINE!$G$2:$G$546,$N43))</f>
        <v/>
      </c>
      <c r="J43" s="149" t="str">
        <f aca="false">IFERROR(IF($N43="","",INDEX(LEDGER_ENGINE!$H$2:$H$546,$N43)),"")</f>
        <v/>
      </c>
      <c r="K43" s="150" t="str">
        <f aca="false">IF($N43="","",INDEX(LEDGER_ENGINE!$J$2:$J$546,$N43))</f>
        <v/>
      </c>
      <c r="M43" s="101" t="str">
        <f aca="false">IF(SUMIFS(LEDGER_ENGINE!$A$2:$A$546,LEDGER_ENGINE!$R$2:$R$546,$B$4&amp;"|"&amp;(ROW()-8))=0,"",SUMIFS(LEDGER_ENGINE!$A$2:$A$546,LEDGER_ENGINE!$R$2:$R$546,$B$4&amp;"|"&amp;(ROW()-8)))</f>
        <v/>
      </c>
      <c r="N43" s="101" t="str">
        <f aca="false">IF(SUMIFS(LEDGER_ENGINE!$A$2:$A$546,LEDGER_ENGINE!$S$2:$S$546,$B$4&amp;"|"&amp;(ROW()-8))=0,"",SUMIFS(LEDGER_ENGINE!$A$2:$A$546,LEDGER_ENGINE!$S$2:$S$546,$B$4&amp;"|"&amp;(ROW()-8)))</f>
        <v/>
      </c>
    </row>
    <row r="44" customFormat="false" ht="15" hidden="false" customHeight="true" outlineLevel="0" collapsed="false">
      <c r="A44" s="148" t="str">
        <f aca="false">IF($M44="","",INDEX(LEDGER_ENGINE!$B$2:$B$546,$M44))</f>
        <v/>
      </c>
      <c r="B44" s="149" t="str">
        <f aca="false">IF($M44="","",INDEX(LEDGER_ENGINE!$C$2:$C$546,$M44))</f>
        <v/>
      </c>
      <c r="C44" s="149" t="str">
        <f aca="false">IF($M44="","",INDEX(LEDGER_ENGINE!$G$2:$G$546,$M44))</f>
        <v/>
      </c>
      <c r="D44" s="149" t="str">
        <f aca="false">IF($M44="","",INDEX(LEDGER_ENGINE!$H$2:$H$546,$M44))</f>
        <v/>
      </c>
      <c r="E44" s="150" t="str">
        <f aca="false">IF($M44="","",INDEX(LEDGER_ENGINE!$I$2:$I$546,$M44))</f>
        <v/>
      </c>
      <c r="G44" s="148" t="str">
        <f aca="false">IF($N44="","",INDEX(LEDGER_ENGINE!$B$2:$B$546,$N44))</f>
        <v/>
      </c>
      <c r="H44" s="149" t="str">
        <f aca="false">IF($N44="","",INDEX(LEDGER_ENGINE!$C$2:$C$546,$N44))</f>
        <v/>
      </c>
      <c r="I44" s="149" t="str">
        <f aca="false">IF($N44="","",INDEX(LEDGER_ENGINE!$G$2:$G$546,$N44))</f>
        <v/>
      </c>
      <c r="J44" s="149" t="str">
        <f aca="false">IFERROR(IF($N44="","",INDEX(LEDGER_ENGINE!$H$2:$H$546,$N44)),"")</f>
        <v/>
      </c>
      <c r="K44" s="150" t="str">
        <f aca="false">IF($N44="","",INDEX(LEDGER_ENGINE!$J$2:$J$546,$N44))</f>
        <v/>
      </c>
      <c r="M44" s="101" t="str">
        <f aca="false">IF(SUMIFS(LEDGER_ENGINE!$A$2:$A$546,LEDGER_ENGINE!$R$2:$R$546,$B$4&amp;"|"&amp;(ROW()-8))=0,"",SUMIFS(LEDGER_ENGINE!$A$2:$A$546,LEDGER_ENGINE!$R$2:$R$546,$B$4&amp;"|"&amp;(ROW()-8)))</f>
        <v/>
      </c>
      <c r="N44" s="101" t="str">
        <f aca="false">IF(SUMIFS(LEDGER_ENGINE!$A$2:$A$546,LEDGER_ENGINE!$S$2:$S$546,$B$4&amp;"|"&amp;(ROW()-8))=0,"",SUMIFS(LEDGER_ENGINE!$A$2:$A$546,LEDGER_ENGINE!$S$2:$S$546,$B$4&amp;"|"&amp;(ROW()-8)))</f>
        <v/>
      </c>
    </row>
    <row r="45" customFormat="false" ht="15" hidden="false" customHeight="true" outlineLevel="0" collapsed="false">
      <c r="A45" s="148" t="str">
        <f aca="false">IF($M45="","",INDEX(LEDGER_ENGINE!$B$2:$B$546,$M45))</f>
        <v/>
      </c>
      <c r="B45" s="149" t="str">
        <f aca="false">IF($M45="","",INDEX(LEDGER_ENGINE!$C$2:$C$546,$M45))</f>
        <v/>
      </c>
      <c r="C45" s="149" t="str">
        <f aca="false">IF($M45="","",INDEX(LEDGER_ENGINE!$G$2:$G$546,$M45))</f>
        <v/>
      </c>
      <c r="D45" s="149" t="str">
        <f aca="false">IF($M45="","",INDEX(LEDGER_ENGINE!$H$2:$H$546,$M45))</f>
        <v/>
      </c>
      <c r="E45" s="150" t="str">
        <f aca="false">IF($M45="","",INDEX(LEDGER_ENGINE!$I$2:$I$546,$M45))</f>
        <v/>
      </c>
      <c r="G45" s="148" t="str">
        <f aca="false">IF($N45="","",INDEX(LEDGER_ENGINE!$B$2:$B$546,$N45))</f>
        <v/>
      </c>
      <c r="H45" s="149" t="str">
        <f aca="false">IF($N45="","",INDEX(LEDGER_ENGINE!$C$2:$C$546,$N45))</f>
        <v/>
      </c>
      <c r="I45" s="149" t="str">
        <f aca="false">IF($N45="","",INDEX(LEDGER_ENGINE!$G$2:$G$546,$N45))</f>
        <v/>
      </c>
      <c r="J45" s="149" t="str">
        <f aca="false">IFERROR(IF($N45="","",INDEX(LEDGER_ENGINE!$H$2:$H$546,$N45)),"")</f>
        <v/>
      </c>
      <c r="K45" s="150" t="str">
        <f aca="false">IF($N45="","",INDEX(LEDGER_ENGINE!$J$2:$J$546,$N45))</f>
        <v/>
      </c>
      <c r="M45" s="101" t="str">
        <f aca="false">IF(SUMIFS(LEDGER_ENGINE!$A$2:$A$546,LEDGER_ENGINE!$R$2:$R$546,$B$4&amp;"|"&amp;(ROW()-8))=0,"",SUMIFS(LEDGER_ENGINE!$A$2:$A$546,LEDGER_ENGINE!$R$2:$R$546,$B$4&amp;"|"&amp;(ROW()-8)))</f>
        <v/>
      </c>
      <c r="N45" s="101" t="str">
        <f aca="false">IF(SUMIFS(LEDGER_ENGINE!$A$2:$A$546,LEDGER_ENGINE!$S$2:$S$546,$B$4&amp;"|"&amp;(ROW()-8))=0,"",SUMIFS(LEDGER_ENGINE!$A$2:$A$546,LEDGER_ENGINE!$S$2:$S$546,$B$4&amp;"|"&amp;(ROW()-8)))</f>
        <v/>
      </c>
    </row>
    <row r="46" customFormat="false" ht="15" hidden="false" customHeight="true" outlineLevel="0" collapsed="false">
      <c r="A46" s="148" t="str">
        <f aca="false">IF($M46="","",INDEX(LEDGER_ENGINE!$B$2:$B$546,$M46))</f>
        <v/>
      </c>
      <c r="B46" s="149" t="str">
        <f aca="false">IF($M46="","",INDEX(LEDGER_ENGINE!$C$2:$C$546,$M46))</f>
        <v/>
      </c>
      <c r="C46" s="149" t="str">
        <f aca="false">IF($M46="","",INDEX(LEDGER_ENGINE!$G$2:$G$546,$M46))</f>
        <v/>
      </c>
      <c r="D46" s="149" t="str">
        <f aca="false">IF($M46="","",INDEX(LEDGER_ENGINE!$H$2:$H$546,$M46))</f>
        <v/>
      </c>
      <c r="E46" s="150" t="str">
        <f aca="false">IF($M46="","",INDEX(LEDGER_ENGINE!$I$2:$I$546,$M46))</f>
        <v/>
      </c>
      <c r="G46" s="148" t="str">
        <f aca="false">IF($N46="","",INDEX(LEDGER_ENGINE!$B$2:$B$546,$N46))</f>
        <v/>
      </c>
      <c r="H46" s="149" t="str">
        <f aca="false">IF($N46="","",INDEX(LEDGER_ENGINE!$C$2:$C$546,$N46))</f>
        <v/>
      </c>
      <c r="I46" s="149" t="str">
        <f aca="false">IF($N46="","",INDEX(LEDGER_ENGINE!$G$2:$G$546,$N46))</f>
        <v/>
      </c>
      <c r="J46" s="149" t="str">
        <f aca="false">IFERROR(IF($N46="","",INDEX(LEDGER_ENGINE!$H$2:$H$546,$N46)),"")</f>
        <v/>
      </c>
      <c r="K46" s="150" t="str">
        <f aca="false">IF($N46="","",INDEX(LEDGER_ENGINE!$J$2:$J$546,$N46))</f>
        <v/>
      </c>
      <c r="M46" s="101" t="str">
        <f aca="false">IF(SUMIFS(LEDGER_ENGINE!$A$2:$A$546,LEDGER_ENGINE!$R$2:$R$546,$B$4&amp;"|"&amp;(ROW()-8))=0,"",SUMIFS(LEDGER_ENGINE!$A$2:$A$546,LEDGER_ENGINE!$R$2:$R$546,$B$4&amp;"|"&amp;(ROW()-8)))</f>
        <v/>
      </c>
      <c r="N46" s="101" t="str">
        <f aca="false">IF(SUMIFS(LEDGER_ENGINE!$A$2:$A$546,LEDGER_ENGINE!$S$2:$S$546,$B$4&amp;"|"&amp;(ROW()-8))=0,"",SUMIFS(LEDGER_ENGINE!$A$2:$A$546,LEDGER_ENGINE!$S$2:$S$546,$B$4&amp;"|"&amp;(ROW()-8)))</f>
        <v/>
      </c>
    </row>
    <row r="47" customFormat="false" ht="15" hidden="false" customHeight="true" outlineLevel="0" collapsed="false">
      <c r="A47" s="148" t="str">
        <f aca="false">IF($M47="","",INDEX(LEDGER_ENGINE!$B$2:$B$546,$M47))</f>
        <v/>
      </c>
      <c r="B47" s="149" t="str">
        <f aca="false">IF($M47="","",INDEX(LEDGER_ENGINE!$C$2:$C$546,$M47))</f>
        <v/>
      </c>
      <c r="C47" s="149" t="str">
        <f aca="false">IF($M47="","",INDEX(LEDGER_ENGINE!$G$2:$G$546,$M47))</f>
        <v/>
      </c>
      <c r="D47" s="149" t="str">
        <f aca="false">IF($M47="","",INDEX(LEDGER_ENGINE!$H$2:$H$546,$M47))</f>
        <v/>
      </c>
      <c r="E47" s="150" t="str">
        <f aca="false">IF($M47="","",INDEX(LEDGER_ENGINE!$I$2:$I$546,$M47))</f>
        <v/>
      </c>
      <c r="G47" s="148" t="str">
        <f aca="false">IF($N47="","",INDEX(LEDGER_ENGINE!$B$2:$B$546,$N47))</f>
        <v/>
      </c>
      <c r="H47" s="149" t="str">
        <f aca="false">IF($N47="","",INDEX(LEDGER_ENGINE!$C$2:$C$546,$N47))</f>
        <v/>
      </c>
      <c r="I47" s="149" t="str">
        <f aca="false">IF($N47="","",INDEX(LEDGER_ENGINE!$G$2:$G$546,$N47))</f>
        <v/>
      </c>
      <c r="J47" s="149" t="str">
        <f aca="false">IFERROR(IF($N47="","",INDEX(LEDGER_ENGINE!$H$2:$H$546,$N47)),"")</f>
        <v/>
      </c>
      <c r="K47" s="150" t="str">
        <f aca="false">IF($N47="","",INDEX(LEDGER_ENGINE!$J$2:$J$546,$N47))</f>
        <v/>
      </c>
      <c r="M47" s="101" t="str">
        <f aca="false">IF(SUMIFS(LEDGER_ENGINE!$A$2:$A$546,LEDGER_ENGINE!$R$2:$R$546,$B$4&amp;"|"&amp;(ROW()-8))=0,"",SUMIFS(LEDGER_ENGINE!$A$2:$A$546,LEDGER_ENGINE!$R$2:$R$546,$B$4&amp;"|"&amp;(ROW()-8)))</f>
        <v/>
      </c>
      <c r="N47" s="101" t="str">
        <f aca="false">IF(SUMIFS(LEDGER_ENGINE!$A$2:$A$546,LEDGER_ENGINE!$S$2:$S$546,$B$4&amp;"|"&amp;(ROW()-8))=0,"",SUMIFS(LEDGER_ENGINE!$A$2:$A$546,LEDGER_ENGINE!$S$2:$S$546,$B$4&amp;"|"&amp;(ROW()-8)))</f>
        <v/>
      </c>
    </row>
    <row r="48" customFormat="false" ht="15" hidden="false" customHeight="true" outlineLevel="0" collapsed="false">
      <c r="A48" s="148" t="str">
        <f aca="false">IF($M48="","",INDEX(LEDGER_ENGINE!$B$2:$B$546,$M48))</f>
        <v/>
      </c>
      <c r="B48" s="149" t="str">
        <f aca="false">IF($M48="","",INDEX(LEDGER_ENGINE!$C$2:$C$546,$M48))</f>
        <v/>
      </c>
      <c r="C48" s="149" t="str">
        <f aca="false">IF($M48="","",INDEX(LEDGER_ENGINE!$G$2:$G$546,$M48))</f>
        <v/>
      </c>
      <c r="D48" s="149" t="str">
        <f aca="false">IF($M48="","",INDEX(LEDGER_ENGINE!$H$2:$H$546,$M48))</f>
        <v/>
      </c>
      <c r="E48" s="150" t="str">
        <f aca="false">IF($M48="","",INDEX(LEDGER_ENGINE!$I$2:$I$546,$M48))</f>
        <v/>
      </c>
      <c r="G48" s="148" t="str">
        <f aca="false">IF($N48="","",INDEX(LEDGER_ENGINE!$B$2:$B$546,$N48))</f>
        <v/>
      </c>
      <c r="H48" s="149" t="str">
        <f aca="false">IF($N48="","",INDEX(LEDGER_ENGINE!$C$2:$C$546,$N48))</f>
        <v/>
      </c>
      <c r="I48" s="149" t="str">
        <f aca="false">IF($N48="","",INDEX(LEDGER_ENGINE!$G$2:$G$546,$N48))</f>
        <v/>
      </c>
      <c r="J48" s="149" t="str">
        <f aca="false">IFERROR(IF($N48="","",INDEX(LEDGER_ENGINE!$H$2:$H$546,$N48)),"")</f>
        <v/>
      </c>
      <c r="K48" s="150" t="str">
        <f aca="false">IF($N48="","",INDEX(LEDGER_ENGINE!$J$2:$J$546,$N48))</f>
        <v/>
      </c>
      <c r="M48" s="101" t="str">
        <f aca="false">IF(SUMIFS(LEDGER_ENGINE!$A$2:$A$546,LEDGER_ENGINE!$R$2:$R$546,$B$4&amp;"|"&amp;(ROW()-8))=0,"",SUMIFS(LEDGER_ENGINE!$A$2:$A$546,LEDGER_ENGINE!$R$2:$R$546,$B$4&amp;"|"&amp;(ROW()-8)))</f>
        <v/>
      </c>
      <c r="N48" s="101" t="str">
        <f aca="false">IF(SUMIFS(LEDGER_ENGINE!$A$2:$A$546,LEDGER_ENGINE!$S$2:$S$546,$B$4&amp;"|"&amp;(ROW()-8))=0,"",SUMIFS(LEDGER_ENGINE!$A$2:$A$546,LEDGER_ENGINE!$S$2:$S$546,$B$4&amp;"|"&amp;(ROW()-8)))</f>
        <v/>
      </c>
    </row>
    <row r="49" customFormat="false" ht="15" hidden="false" customHeight="true" outlineLevel="0" collapsed="false">
      <c r="A49" s="148" t="str">
        <f aca="false">IF($M49="","",INDEX(LEDGER_ENGINE!$B$2:$B$546,$M49))</f>
        <v/>
      </c>
      <c r="B49" s="149" t="str">
        <f aca="false">IF($M49="","",INDEX(LEDGER_ENGINE!$C$2:$C$546,$M49))</f>
        <v/>
      </c>
      <c r="C49" s="149" t="str">
        <f aca="false">IF($M49="","",INDEX(LEDGER_ENGINE!$G$2:$G$546,$M49))</f>
        <v/>
      </c>
      <c r="D49" s="149" t="str">
        <f aca="false">IF($M49="","",INDEX(LEDGER_ENGINE!$H$2:$H$546,$M49))</f>
        <v/>
      </c>
      <c r="E49" s="150" t="str">
        <f aca="false">IF($M49="","",INDEX(LEDGER_ENGINE!$I$2:$I$546,$M49))</f>
        <v/>
      </c>
      <c r="G49" s="148" t="str">
        <f aca="false">IF($N49="","",INDEX(LEDGER_ENGINE!$B$2:$B$546,$N49))</f>
        <v/>
      </c>
      <c r="H49" s="149" t="str">
        <f aca="false">IF($N49="","",INDEX(LEDGER_ENGINE!$C$2:$C$546,$N49))</f>
        <v/>
      </c>
      <c r="I49" s="149" t="str">
        <f aca="false">IF($N49="","",INDEX(LEDGER_ENGINE!$G$2:$G$546,$N49))</f>
        <v/>
      </c>
      <c r="J49" s="149" t="str">
        <f aca="false">IFERROR(IF($N49="","",INDEX(LEDGER_ENGINE!$H$2:$H$546,$N49)),"")</f>
        <v/>
      </c>
      <c r="K49" s="150" t="str">
        <f aca="false">IF($N49="","",INDEX(LEDGER_ENGINE!$J$2:$J$546,$N49))</f>
        <v/>
      </c>
      <c r="M49" s="101" t="str">
        <f aca="false">IF(SUMIFS(LEDGER_ENGINE!$A$2:$A$546,LEDGER_ENGINE!$R$2:$R$546,$B$4&amp;"|"&amp;(ROW()-8))=0,"",SUMIFS(LEDGER_ENGINE!$A$2:$A$546,LEDGER_ENGINE!$R$2:$R$546,$B$4&amp;"|"&amp;(ROW()-8)))</f>
        <v/>
      </c>
      <c r="N49" s="101" t="str">
        <f aca="false">IF(SUMIFS(LEDGER_ENGINE!$A$2:$A$546,LEDGER_ENGINE!$S$2:$S$546,$B$4&amp;"|"&amp;(ROW()-8))=0,"",SUMIFS(LEDGER_ENGINE!$A$2:$A$546,LEDGER_ENGINE!$S$2:$S$546,$B$4&amp;"|"&amp;(ROW()-8)))</f>
        <v/>
      </c>
    </row>
    <row r="50" customFormat="false" ht="15" hidden="false" customHeight="true" outlineLevel="0" collapsed="false">
      <c r="A50" s="148" t="str">
        <f aca="false">IF($M50="","",INDEX(LEDGER_ENGINE!$B$2:$B$546,$M50))</f>
        <v/>
      </c>
      <c r="B50" s="149" t="str">
        <f aca="false">IF($M50="","",INDEX(LEDGER_ENGINE!$C$2:$C$546,$M50))</f>
        <v/>
      </c>
      <c r="C50" s="149" t="str">
        <f aca="false">IF($M50="","",INDEX(LEDGER_ENGINE!$G$2:$G$546,$M50))</f>
        <v/>
      </c>
      <c r="D50" s="149" t="str">
        <f aca="false">IF($M50="","",INDEX(LEDGER_ENGINE!$H$2:$H$546,$M50))</f>
        <v/>
      </c>
      <c r="E50" s="150" t="str">
        <f aca="false">IF($M50="","",INDEX(LEDGER_ENGINE!$I$2:$I$546,$M50))</f>
        <v/>
      </c>
      <c r="G50" s="148" t="str">
        <f aca="false">IF($N50="","",INDEX(LEDGER_ENGINE!$B$2:$B$546,$N50))</f>
        <v/>
      </c>
      <c r="H50" s="149" t="str">
        <f aca="false">IF($N50="","",INDEX(LEDGER_ENGINE!$C$2:$C$546,$N50))</f>
        <v/>
      </c>
      <c r="I50" s="149" t="str">
        <f aca="false">IF($N50="","",INDEX(LEDGER_ENGINE!$G$2:$G$546,$N50))</f>
        <v/>
      </c>
      <c r="J50" s="149" t="str">
        <f aca="false">IFERROR(IF($N50="","",INDEX(LEDGER_ENGINE!$H$2:$H$546,$N50)),"")</f>
        <v/>
      </c>
      <c r="K50" s="150" t="str">
        <f aca="false">IF($N50="","",INDEX(LEDGER_ENGINE!$J$2:$J$546,$N50))</f>
        <v/>
      </c>
      <c r="M50" s="101" t="str">
        <f aca="false">IF(SUMIFS(LEDGER_ENGINE!$A$2:$A$546,LEDGER_ENGINE!$R$2:$R$546,$B$4&amp;"|"&amp;(ROW()-8))=0,"",SUMIFS(LEDGER_ENGINE!$A$2:$A$546,LEDGER_ENGINE!$R$2:$R$546,$B$4&amp;"|"&amp;(ROW()-8)))</f>
        <v/>
      </c>
      <c r="N50" s="101" t="str">
        <f aca="false">IF(SUMIFS(LEDGER_ENGINE!$A$2:$A$546,LEDGER_ENGINE!$S$2:$S$546,$B$4&amp;"|"&amp;(ROW()-8))=0,"",SUMIFS(LEDGER_ENGINE!$A$2:$A$546,LEDGER_ENGINE!$S$2:$S$546,$B$4&amp;"|"&amp;(ROW()-8)))</f>
        <v/>
      </c>
    </row>
    <row r="51" customFormat="false" ht="15" hidden="false" customHeight="true" outlineLevel="0" collapsed="false">
      <c r="A51" s="148" t="str">
        <f aca="false">IF($M51="","",INDEX(LEDGER_ENGINE!$B$2:$B$546,$M51))</f>
        <v/>
      </c>
      <c r="B51" s="149" t="str">
        <f aca="false">IF($M51="","",INDEX(LEDGER_ENGINE!$C$2:$C$546,$M51))</f>
        <v/>
      </c>
      <c r="C51" s="149" t="str">
        <f aca="false">IF($M51="","",INDEX(LEDGER_ENGINE!$G$2:$G$546,$M51))</f>
        <v/>
      </c>
      <c r="D51" s="149" t="str">
        <f aca="false">IF($M51="","",INDEX(LEDGER_ENGINE!$H$2:$H$546,$M51))</f>
        <v/>
      </c>
      <c r="E51" s="150" t="str">
        <f aca="false">IF($M51="","",INDEX(LEDGER_ENGINE!$I$2:$I$546,$M51))</f>
        <v/>
      </c>
      <c r="G51" s="148" t="str">
        <f aca="false">IF($N51="","",INDEX(LEDGER_ENGINE!$B$2:$B$546,$N51))</f>
        <v/>
      </c>
      <c r="H51" s="149" t="str">
        <f aca="false">IF($N51="","",INDEX(LEDGER_ENGINE!$C$2:$C$546,$N51))</f>
        <v/>
      </c>
      <c r="I51" s="149" t="str">
        <f aca="false">IF($N51="","",INDEX(LEDGER_ENGINE!$G$2:$G$546,$N51))</f>
        <v/>
      </c>
      <c r="J51" s="149" t="str">
        <f aca="false">IFERROR(IF($N51="","",INDEX(LEDGER_ENGINE!$H$2:$H$546,$N51)),"")</f>
        <v/>
      </c>
      <c r="K51" s="150" t="str">
        <f aca="false">IF($N51="","",INDEX(LEDGER_ENGINE!$J$2:$J$546,$N51))</f>
        <v/>
      </c>
      <c r="M51" s="101" t="str">
        <f aca="false">IF(SUMIFS(LEDGER_ENGINE!$A$2:$A$546,LEDGER_ENGINE!$R$2:$R$546,$B$4&amp;"|"&amp;(ROW()-8))=0,"",SUMIFS(LEDGER_ENGINE!$A$2:$A$546,LEDGER_ENGINE!$R$2:$R$546,$B$4&amp;"|"&amp;(ROW()-8)))</f>
        <v/>
      </c>
      <c r="N51" s="101" t="str">
        <f aca="false">IF(SUMIFS(LEDGER_ENGINE!$A$2:$A$546,LEDGER_ENGINE!$S$2:$S$546,$B$4&amp;"|"&amp;(ROW()-8))=0,"",SUMIFS(LEDGER_ENGINE!$A$2:$A$546,LEDGER_ENGINE!$S$2:$S$546,$B$4&amp;"|"&amp;(ROW()-8)))</f>
        <v/>
      </c>
    </row>
    <row r="52" customFormat="false" ht="15" hidden="false" customHeight="true" outlineLevel="0" collapsed="false">
      <c r="A52" s="148" t="str">
        <f aca="false">IF($M52="","",INDEX(LEDGER_ENGINE!$B$2:$B$546,$M52))</f>
        <v/>
      </c>
      <c r="B52" s="149" t="str">
        <f aca="false">IF($M52="","",INDEX(LEDGER_ENGINE!$C$2:$C$546,$M52))</f>
        <v/>
      </c>
      <c r="C52" s="149" t="str">
        <f aca="false">IF($M52="","",INDEX(LEDGER_ENGINE!$G$2:$G$546,$M52))</f>
        <v/>
      </c>
      <c r="D52" s="149" t="str">
        <f aca="false">IF($M52="","",INDEX(LEDGER_ENGINE!$H$2:$H$546,$M52))</f>
        <v/>
      </c>
      <c r="E52" s="150" t="str">
        <f aca="false">IF($M52="","",INDEX(LEDGER_ENGINE!$I$2:$I$546,$M52))</f>
        <v/>
      </c>
      <c r="G52" s="148" t="str">
        <f aca="false">IF($N52="","",INDEX(LEDGER_ENGINE!$B$2:$B$546,$N52))</f>
        <v/>
      </c>
      <c r="H52" s="149" t="str">
        <f aca="false">IF($N52="","",INDEX(LEDGER_ENGINE!$C$2:$C$546,$N52))</f>
        <v/>
      </c>
      <c r="I52" s="149" t="str">
        <f aca="false">IF($N52="","",INDEX(LEDGER_ENGINE!$G$2:$G$546,$N52))</f>
        <v/>
      </c>
      <c r="J52" s="149" t="str">
        <f aca="false">IFERROR(IF($N52="","",INDEX(LEDGER_ENGINE!$H$2:$H$546,$N52)),"")</f>
        <v/>
      </c>
      <c r="K52" s="150" t="str">
        <f aca="false">IF($N52="","",INDEX(LEDGER_ENGINE!$J$2:$J$546,$N52))</f>
        <v/>
      </c>
      <c r="M52" s="101" t="str">
        <f aca="false">IF(SUMIFS(LEDGER_ENGINE!$A$2:$A$546,LEDGER_ENGINE!$R$2:$R$546,$B$4&amp;"|"&amp;(ROW()-8))=0,"",SUMIFS(LEDGER_ENGINE!$A$2:$A$546,LEDGER_ENGINE!$R$2:$R$546,$B$4&amp;"|"&amp;(ROW()-8)))</f>
        <v/>
      </c>
      <c r="N52" s="101" t="str">
        <f aca="false">IF(SUMIFS(LEDGER_ENGINE!$A$2:$A$546,LEDGER_ENGINE!$S$2:$S$546,$B$4&amp;"|"&amp;(ROW()-8))=0,"",SUMIFS(LEDGER_ENGINE!$A$2:$A$546,LEDGER_ENGINE!$S$2:$S$546,$B$4&amp;"|"&amp;(ROW()-8)))</f>
        <v/>
      </c>
    </row>
    <row r="53" customFormat="false" ht="15" hidden="false" customHeight="true" outlineLevel="0" collapsed="false">
      <c r="A53" s="148" t="str">
        <f aca="false">IF($M53="","",INDEX(LEDGER_ENGINE!$B$2:$B$546,$M53))</f>
        <v/>
      </c>
      <c r="B53" s="149" t="str">
        <f aca="false">IF($M53="","",INDEX(LEDGER_ENGINE!$C$2:$C$546,$M53))</f>
        <v/>
      </c>
      <c r="C53" s="149" t="str">
        <f aca="false">IF($M53="","",INDEX(LEDGER_ENGINE!$G$2:$G$546,$M53))</f>
        <v/>
      </c>
      <c r="D53" s="149" t="str">
        <f aca="false">IF($M53="","",INDEX(LEDGER_ENGINE!$H$2:$H$546,$M53))</f>
        <v/>
      </c>
      <c r="E53" s="150" t="str">
        <f aca="false">IF($M53="","",INDEX(LEDGER_ENGINE!$I$2:$I$546,$M53))</f>
        <v/>
      </c>
      <c r="G53" s="148" t="str">
        <f aca="false">IF($N53="","",INDEX(LEDGER_ENGINE!$B$2:$B$546,$N53))</f>
        <v/>
      </c>
      <c r="H53" s="149" t="str">
        <f aca="false">IF($N53="","",INDEX(LEDGER_ENGINE!$C$2:$C$546,$N53))</f>
        <v/>
      </c>
      <c r="I53" s="149" t="str">
        <f aca="false">IF($N53="","",INDEX(LEDGER_ENGINE!$G$2:$G$546,$N53))</f>
        <v/>
      </c>
      <c r="J53" s="149" t="str">
        <f aca="false">IFERROR(IF($N53="","",INDEX(LEDGER_ENGINE!$H$2:$H$546,$N53)),"")</f>
        <v/>
      </c>
      <c r="K53" s="150" t="str">
        <f aca="false">IF($N53="","",INDEX(LEDGER_ENGINE!$J$2:$J$546,$N53))</f>
        <v/>
      </c>
      <c r="M53" s="101" t="str">
        <f aca="false">IF(SUMIFS(LEDGER_ENGINE!$A$2:$A$546,LEDGER_ENGINE!$R$2:$R$546,$B$4&amp;"|"&amp;(ROW()-8))=0,"",SUMIFS(LEDGER_ENGINE!$A$2:$A$546,LEDGER_ENGINE!$R$2:$R$546,$B$4&amp;"|"&amp;(ROW()-8)))</f>
        <v/>
      </c>
      <c r="N53" s="101" t="str">
        <f aca="false">IF(SUMIFS(LEDGER_ENGINE!$A$2:$A$546,LEDGER_ENGINE!$S$2:$S$546,$B$4&amp;"|"&amp;(ROW()-8))=0,"",SUMIFS(LEDGER_ENGINE!$A$2:$A$546,LEDGER_ENGINE!$S$2:$S$546,$B$4&amp;"|"&amp;(ROW()-8)))</f>
        <v/>
      </c>
    </row>
    <row r="54" customFormat="false" ht="15" hidden="false" customHeight="true" outlineLevel="0" collapsed="false">
      <c r="A54" s="148" t="str">
        <f aca="false">IF($M54="","",INDEX(LEDGER_ENGINE!$B$2:$B$546,$M54))</f>
        <v/>
      </c>
      <c r="B54" s="149" t="str">
        <f aca="false">IF($M54="","",INDEX(LEDGER_ENGINE!$C$2:$C$546,$M54))</f>
        <v/>
      </c>
      <c r="C54" s="149" t="str">
        <f aca="false">IF($M54="","",INDEX(LEDGER_ENGINE!$G$2:$G$546,$M54))</f>
        <v/>
      </c>
      <c r="D54" s="149" t="str">
        <f aca="false">IF($M54="","",INDEX(LEDGER_ENGINE!$H$2:$H$546,$M54))</f>
        <v/>
      </c>
      <c r="E54" s="150" t="str">
        <f aca="false">IF($M54="","",INDEX(LEDGER_ENGINE!$I$2:$I$546,$M54))</f>
        <v/>
      </c>
      <c r="G54" s="148" t="str">
        <f aca="false">IF($N54="","",INDEX(LEDGER_ENGINE!$B$2:$B$546,$N54))</f>
        <v/>
      </c>
      <c r="H54" s="149" t="str">
        <f aca="false">IF($N54="","",INDEX(LEDGER_ENGINE!$C$2:$C$546,$N54))</f>
        <v/>
      </c>
      <c r="I54" s="149" t="str">
        <f aca="false">IF($N54="","",INDEX(LEDGER_ENGINE!$G$2:$G$546,$N54))</f>
        <v/>
      </c>
      <c r="J54" s="149" t="str">
        <f aca="false">IFERROR(IF($N54="","",INDEX(LEDGER_ENGINE!$H$2:$H$546,$N54)),"")</f>
        <v/>
      </c>
      <c r="K54" s="150" t="str">
        <f aca="false">IF($N54="","",INDEX(LEDGER_ENGINE!$J$2:$J$546,$N54))</f>
        <v/>
      </c>
      <c r="M54" s="101" t="str">
        <f aca="false">IF(SUMIFS(LEDGER_ENGINE!$A$2:$A$546,LEDGER_ENGINE!$R$2:$R$546,$B$4&amp;"|"&amp;(ROW()-8))=0,"",SUMIFS(LEDGER_ENGINE!$A$2:$A$546,LEDGER_ENGINE!$R$2:$R$546,$B$4&amp;"|"&amp;(ROW()-8)))</f>
        <v/>
      </c>
      <c r="N54" s="101" t="str">
        <f aca="false">IF(SUMIFS(LEDGER_ENGINE!$A$2:$A$546,LEDGER_ENGINE!$S$2:$S$546,$B$4&amp;"|"&amp;(ROW()-8))=0,"",SUMIFS(LEDGER_ENGINE!$A$2:$A$546,LEDGER_ENGINE!$S$2:$S$546,$B$4&amp;"|"&amp;(ROW()-8)))</f>
        <v/>
      </c>
    </row>
    <row r="55" customFormat="false" ht="15" hidden="false" customHeight="true" outlineLevel="0" collapsed="false">
      <c r="A55" s="148" t="str">
        <f aca="false">IF($M55="","",INDEX(LEDGER_ENGINE!$B$2:$B$546,$M55))</f>
        <v/>
      </c>
      <c r="B55" s="149" t="str">
        <f aca="false">IF($M55="","",INDEX(LEDGER_ENGINE!$C$2:$C$546,$M55))</f>
        <v/>
      </c>
      <c r="C55" s="149" t="str">
        <f aca="false">IF($M55="","",INDEX(LEDGER_ENGINE!$G$2:$G$546,$M55))</f>
        <v/>
      </c>
      <c r="D55" s="149" t="str">
        <f aca="false">IF($M55="","",INDEX(LEDGER_ENGINE!$H$2:$H$546,$M55))</f>
        <v/>
      </c>
      <c r="E55" s="150" t="str">
        <f aca="false">IF($M55="","",INDEX(LEDGER_ENGINE!$I$2:$I$546,$M55))</f>
        <v/>
      </c>
      <c r="G55" s="148" t="str">
        <f aca="false">IF($N55="","",INDEX(LEDGER_ENGINE!$B$2:$B$546,$N55))</f>
        <v/>
      </c>
      <c r="H55" s="149" t="str">
        <f aca="false">IF($N55="","",INDEX(LEDGER_ENGINE!$C$2:$C$546,$N55))</f>
        <v/>
      </c>
      <c r="I55" s="149" t="str">
        <f aca="false">IF($N55="","",INDEX(LEDGER_ENGINE!$G$2:$G$546,$N55))</f>
        <v/>
      </c>
      <c r="J55" s="149" t="str">
        <f aca="false">IFERROR(IF($N55="","",INDEX(LEDGER_ENGINE!$H$2:$H$546,$N55)),"")</f>
        <v/>
      </c>
      <c r="K55" s="150" t="str">
        <f aca="false">IF($N55="","",INDEX(LEDGER_ENGINE!$J$2:$J$546,$N55))</f>
        <v/>
      </c>
      <c r="M55" s="101" t="str">
        <f aca="false">IF(SUMIFS(LEDGER_ENGINE!$A$2:$A$546,LEDGER_ENGINE!$R$2:$R$546,$B$4&amp;"|"&amp;(ROW()-8))=0,"",SUMIFS(LEDGER_ENGINE!$A$2:$A$546,LEDGER_ENGINE!$R$2:$R$546,$B$4&amp;"|"&amp;(ROW()-8)))</f>
        <v/>
      </c>
      <c r="N55" s="101" t="str">
        <f aca="false">IF(SUMIFS(LEDGER_ENGINE!$A$2:$A$546,LEDGER_ENGINE!$S$2:$S$546,$B$4&amp;"|"&amp;(ROW()-8))=0,"",SUMIFS(LEDGER_ENGINE!$A$2:$A$546,LEDGER_ENGINE!$S$2:$S$546,$B$4&amp;"|"&amp;(ROW()-8)))</f>
        <v/>
      </c>
    </row>
    <row r="56" customFormat="false" ht="15" hidden="false" customHeight="true" outlineLevel="0" collapsed="false">
      <c r="A56" s="148" t="str">
        <f aca="false">IF($M56="","",INDEX(LEDGER_ENGINE!$B$2:$B$546,$M56))</f>
        <v/>
      </c>
      <c r="B56" s="149" t="str">
        <f aca="false">IF($M56="","",INDEX(LEDGER_ENGINE!$C$2:$C$546,$M56))</f>
        <v/>
      </c>
      <c r="C56" s="149" t="str">
        <f aca="false">IF($M56="","",INDEX(LEDGER_ENGINE!$G$2:$G$546,$M56))</f>
        <v/>
      </c>
      <c r="D56" s="149" t="str">
        <f aca="false">IF($M56="","",INDEX(LEDGER_ENGINE!$H$2:$H$546,$M56))</f>
        <v/>
      </c>
      <c r="E56" s="150" t="str">
        <f aca="false">IF($M56="","",INDEX(LEDGER_ENGINE!$I$2:$I$546,$M56))</f>
        <v/>
      </c>
      <c r="G56" s="148" t="str">
        <f aca="false">IF($N56="","",INDEX(LEDGER_ENGINE!$B$2:$B$546,$N56))</f>
        <v/>
      </c>
      <c r="H56" s="149" t="str">
        <f aca="false">IF($N56="","",INDEX(LEDGER_ENGINE!$C$2:$C$546,$N56))</f>
        <v/>
      </c>
      <c r="I56" s="149" t="str">
        <f aca="false">IF($N56="","",INDEX(LEDGER_ENGINE!$G$2:$G$546,$N56))</f>
        <v/>
      </c>
      <c r="J56" s="149" t="str">
        <f aca="false">IFERROR(IF($N56="","",INDEX(LEDGER_ENGINE!$H$2:$H$546,$N56)),"")</f>
        <v/>
      </c>
      <c r="K56" s="150" t="str">
        <f aca="false">IF($N56="","",INDEX(LEDGER_ENGINE!$J$2:$J$546,$N56))</f>
        <v/>
      </c>
      <c r="M56" s="101" t="str">
        <f aca="false">IF(SUMIFS(LEDGER_ENGINE!$A$2:$A$546,LEDGER_ENGINE!$R$2:$R$546,$B$4&amp;"|"&amp;(ROW()-8))=0,"",SUMIFS(LEDGER_ENGINE!$A$2:$A$546,LEDGER_ENGINE!$R$2:$R$546,$B$4&amp;"|"&amp;(ROW()-8)))</f>
        <v/>
      </c>
      <c r="N56" s="101" t="str">
        <f aca="false">IF(SUMIFS(LEDGER_ENGINE!$A$2:$A$546,LEDGER_ENGINE!$S$2:$S$546,$B$4&amp;"|"&amp;(ROW()-8))=0,"",SUMIFS(LEDGER_ENGINE!$A$2:$A$546,LEDGER_ENGINE!$S$2:$S$546,$B$4&amp;"|"&amp;(ROW()-8)))</f>
        <v/>
      </c>
    </row>
    <row r="57" customFormat="false" ht="15" hidden="false" customHeight="true" outlineLevel="0" collapsed="false">
      <c r="A57" s="148" t="str">
        <f aca="false">IF($M57="","",INDEX(LEDGER_ENGINE!$B$2:$B$546,$M57))</f>
        <v/>
      </c>
      <c r="B57" s="149" t="str">
        <f aca="false">IF($M57="","",INDEX(LEDGER_ENGINE!$C$2:$C$546,$M57))</f>
        <v/>
      </c>
      <c r="C57" s="149" t="str">
        <f aca="false">IF($M57="","",INDEX(LEDGER_ENGINE!$G$2:$G$546,$M57))</f>
        <v/>
      </c>
      <c r="D57" s="149" t="str">
        <f aca="false">IF($M57="","",INDEX(LEDGER_ENGINE!$H$2:$H$546,$M57))</f>
        <v/>
      </c>
      <c r="E57" s="150" t="str">
        <f aca="false">IF($M57="","",INDEX(LEDGER_ENGINE!$I$2:$I$546,$M57))</f>
        <v/>
      </c>
      <c r="G57" s="148" t="str">
        <f aca="false">IF($N57="","",INDEX(LEDGER_ENGINE!$B$2:$B$546,$N57))</f>
        <v/>
      </c>
      <c r="H57" s="149" t="str">
        <f aca="false">IF($N57="","",INDEX(LEDGER_ENGINE!$C$2:$C$546,$N57))</f>
        <v/>
      </c>
      <c r="I57" s="149" t="str">
        <f aca="false">IF($N57="","",INDEX(LEDGER_ENGINE!$G$2:$G$546,$N57))</f>
        <v/>
      </c>
      <c r="J57" s="149" t="str">
        <f aca="false">IFERROR(IF($N57="","",INDEX(LEDGER_ENGINE!$H$2:$H$546,$N57)),"")</f>
        <v/>
      </c>
      <c r="K57" s="150" t="str">
        <f aca="false">IF($N57="","",INDEX(LEDGER_ENGINE!$J$2:$J$546,$N57))</f>
        <v/>
      </c>
      <c r="M57" s="101" t="str">
        <f aca="false">IF(SUMIFS(LEDGER_ENGINE!$A$2:$A$546,LEDGER_ENGINE!$R$2:$R$546,$B$4&amp;"|"&amp;(ROW()-8))=0,"",SUMIFS(LEDGER_ENGINE!$A$2:$A$546,LEDGER_ENGINE!$R$2:$R$546,$B$4&amp;"|"&amp;(ROW()-8)))</f>
        <v/>
      </c>
      <c r="N57" s="101" t="str">
        <f aca="false">IF(SUMIFS(LEDGER_ENGINE!$A$2:$A$546,LEDGER_ENGINE!$S$2:$S$546,$B$4&amp;"|"&amp;(ROW()-8))=0,"",SUMIFS(LEDGER_ENGINE!$A$2:$A$546,LEDGER_ENGINE!$S$2:$S$546,$B$4&amp;"|"&amp;(ROW()-8)))</f>
        <v/>
      </c>
    </row>
    <row r="58" customFormat="false" ht="15" hidden="false" customHeight="true" outlineLevel="0" collapsed="false">
      <c r="A58" s="148" t="str">
        <f aca="false">IF($M58="","",INDEX(LEDGER_ENGINE!$B$2:$B$546,$M58))</f>
        <v/>
      </c>
      <c r="B58" s="149" t="str">
        <f aca="false">IF($M58="","",INDEX(LEDGER_ENGINE!$C$2:$C$546,$M58))</f>
        <v/>
      </c>
      <c r="C58" s="149" t="str">
        <f aca="false">IF($M58="","",INDEX(LEDGER_ENGINE!$G$2:$G$546,$M58))</f>
        <v/>
      </c>
      <c r="D58" s="149" t="str">
        <f aca="false">IF($M58="","",INDEX(LEDGER_ENGINE!$H$2:$H$546,$M58))</f>
        <v/>
      </c>
      <c r="E58" s="150" t="str">
        <f aca="false">IF($M58="","",INDEX(LEDGER_ENGINE!$I$2:$I$546,$M58))</f>
        <v/>
      </c>
      <c r="G58" s="148" t="str">
        <f aca="false">IF($N58="","",INDEX(LEDGER_ENGINE!$B$2:$B$546,$N58))</f>
        <v/>
      </c>
      <c r="H58" s="149" t="str">
        <f aca="false">IF($N58="","",INDEX(LEDGER_ENGINE!$C$2:$C$546,$N58))</f>
        <v/>
      </c>
      <c r="I58" s="149" t="str">
        <f aca="false">IF($N58="","",INDEX(LEDGER_ENGINE!$G$2:$G$546,$N58))</f>
        <v/>
      </c>
      <c r="J58" s="149" t="str">
        <f aca="false">IFERROR(IF($N58="","",INDEX(LEDGER_ENGINE!$H$2:$H$546,$N58)),"")</f>
        <v/>
      </c>
      <c r="K58" s="150" t="str">
        <f aca="false">IF($N58="","",INDEX(LEDGER_ENGINE!$J$2:$J$546,$N58))</f>
        <v/>
      </c>
      <c r="M58" s="101" t="str">
        <f aca="false">IF(SUMIFS(LEDGER_ENGINE!$A$2:$A$546,LEDGER_ENGINE!$R$2:$R$546,$B$4&amp;"|"&amp;(ROW()-8))=0,"",SUMIFS(LEDGER_ENGINE!$A$2:$A$546,LEDGER_ENGINE!$R$2:$R$546,$B$4&amp;"|"&amp;(ROW()-8)))</f>
        <v/>
      </c>
      <c r="N58" s="101" t="str">
        <f aca="false">IF(SUMIFS(LEDGER_ENGINE!$A$2:$A$546,LEDGER_ENGINE!$S$2:$S$546,$B$4&amp;"|"&amp;(ROW()-8))=0,"",SUMIFS(LEDGER_ENGINE!$A$2:$A$546,LEDGER_ENGINE!$S$2:$S$546,$B$4&amp;"|"&amp;(ROW()-8)))</f>
        <v/>
      </c>
    </row>
    <row r="59" customFormat="false" ht="15" hidden="false" customHeight="true" outlineLevel="0" collapsed="false">
      <c r="A59" s="148" t="str">
        <f aca="false">IF($M59="","",INDEX(LEDGER_ENGINE!$B$2:$B$546,$M59))</f>
        <v/>
      </c>
      <c r="B59" s="149" t="str">
        <f aca="false">IF($M59="","",INDEX(LEDGER_ENGINE!$C$2:$C$546,$M59))</f>
        <v/>
      </c>
      <c r="C59" s="149" t="str">
        <f aca="false">IF($M59="","",INDEX(LEDGER_ENGINE!$G$2:$G$546,$M59))</f>
        <v/>
      </c>
      <c r="D59" s="149" t="str">
        <f aca="false">IF($M59="","",INDEX(LEDGER_ENGINE!$H$2:$H$546,$M59))</f>
        <v/>
      </c>
      <c r="E59" s="150" t="str">
        <f aca="false">IF($M59="","",INDEX(LEDGER_ENGINE!$I$2:$I$546,$M59))</f>
        <v/>
      </c>
      <c r="G59" s="148" t="str">
        <f aca="false">IF($N59="","",INDEX(LEDGER_ENGINE!$B$2:$B$546,$N59))</f>
        <v/>
      </c>
      <c r="H59" s="149" t="str">
        <f aca="false">IF($N59="","",INDEX(LEDGER_ENGINE!$C$2:$C$546,$N59))</f>
        <v/>
      </c>
      <c r="I59" s="149" t="str">
        <f aca="false">IF($N59="","",INDEX(LEDGER_ENGINE!$G$2:$G$546,$N59))</f>
        <v/>
      </c>
      <c r="J59" s="149" t="str">
        <f aca="false">IFERROR(IF($N59="","",INDEX(LEDGER_ENGINE!$H$2:$H$546,$N59)),"")</f>
        <v/>
      </c>
      <c r="K59" s="150" t="str">
        <f aca="false">IF($N59="","",INDEX(LEDGER_ENGINE!$J$2:$J$546,$N59))</f>
        <v/>
      </c>
      <c r="M59" s="101" t="str">
        <f aca="false">IF(SUMIFS(LEDGER_ENGINE!$A$2:$A$546,LEDGER_ENGINE!$R$2:$R$546,$B$4&amp;"|"&amp;(ROW()-8))=0,"",SUMIFS(LEDGER_ENGINE!$A$2:$A$546,LEDGER_ENGINE!$R$2:$R$546,$B$4&amp;"|"&amp;(ROW()-8)))</f>
        <v/>
      </c>
      <c r="N59" s="101" t="str">
        <f aca="false">IF(SUMIFS(LEDGER_ENGINE!$A$2:$A$546,LEDGER_ENGINE!$S$2:$S$546,$B$4&amp;"|"&amp;(ROW()-8))=0,"",SUMIFS(LEDGER_ENGINE!$A$2:$A$546,LEDGER_ENGINE!$S$2:$S$546,$B$4&amp;"|"&amp;(ROW()-8)))</f>
        <v/>
      </c>
    </row>
    <row r="60" customFormat="false" ht="15" hidden="false" customHeight="true" outlineLevel="0" collapsed="false">
      <c r="A60" s="148" t="str">
        <f aca="false">IF($M60="","",INDEX(LEDGER_ENGINE!$B$2:$B$546,$M60))</f>
        <v/>
      </c>
      <c r="B60" s="149" t="str">
        <f aca="false">IF($M60="","",INDEX(LEDGER_ENGINE!$C$2:$C$546,$M60))</f>
        <v/>
      </c>
      <c r="C60" s="149" t="str">
        <f aca="false">IF($M60="","",INDEX(LEDGER_ENGINE!$G$2:$G$546,$M60))</f>
        <v/>
      </c>
      <c r="D60" s="149" t="str">
        <f aca="false">IF($M60="","",INDEX(LEDGER_ENGINE!$H$2:$H$546,$M60))</f>
        <v/>
      </c>
      <c r="E60" s="150" t="str">
        <f aca="false">IF($M60="","",INDEX(LEDGER_ENGINE!$I$2:$I$546,$M60))</f>
        <v/>
      </c>
      <c r="G60" s="148" t="str">
        <f aca="false">IF($N60="","",INDEX(LEDGER_ENGINE!$B$2:$B$546,$N60))</f>
        <v/>
      </c>
      <c r="H60" s="149" t="str">
        <f aca="false">IF($N60="","",INDEX(LEDGER_ENGINE!$C$2:$C$546,$N60))</f>
        <v/>
      </c>
      <c r="I60" s="149" t="str">
        <f aca="false">IF($N60="","",INDEX(LEDGER_ENGINE!$G$2:$G$546,$N60))</f>
        <v/>
      </c>
      <c r="J60" s="149" t="str">
        <f aca="false">IFERROR(IF($N60="","",INDEX(LEDGER_ENGINE!$H$2:$H$546,$N60)),"")</f>
        <v/>
      </c>
      <c r="K60" s="150" t="str">
        <f aca="false">IF($N60="","",INDEX(LEDGER_ENGINE!$J$2:$J$546,$N60))</f>
        <v/>
      </c>
      <c r="M60" s="101" t="str">
        <f aca="false">IF(SUMIFS(LEDGER_ENGINE!$A$2:$A$546,LEDGER_ENGINE!$R$2:$R$546,$B$4&amp;"|"&amp;(ROW()-8))=0,"",SUMIFS(LEDGER_ENGINE!$A$2:$A$546,LEDGER_ENGINE!$R$2:$R$546,$B$4&amp;"|"&amp;(ROW()-8)))</f>
        <v/>
      </c>
      <c r="N60" s="101" t="str">
        <f aca="false">IF(SUMIFS(LEDGER_ENGINE!$A$2:$A$546,LEDGER_ENGINE!$S$2:$S$546,$B$4&amp;"|"&amp;(ROW()-8))=0,"",SUMIFS(LEDGER_ENGINE!$A$2:$A$546,LEDGER_ENGINE!$S$2:$S$546,$B$4&amp;"|"&amp;(ROW()-8)))</f>
        <v/>
      </c>
    </row>
    <row r="61" customFormat="false" ht="15" hidden="false" customHeight="true" outlineLevel="0" collapsed="false">
      <c r="A61" s="148" t="str">
        <f aca="false">IF($M61="","",INDEX(LEDGER_ENGINE!$B$2:$B$546,$M61))</f>
        <v/>
      </c>
      <c r="B61" s="149" t="str">
        <f aca="false">IF($M61="","",INDEX(LEDGER_ENGINE!$C$2:$C$546,$M61))</f>
        <v/>
      </c>
      <c r="C61" s="149" t="str">
        <f aca="false">IF($M61="","",INDEX(LEDGER_ENGINE!$G$2:$G$546,$M61))</f>
        <v/>
      </c>
      <c r="D61" s="149" t="str">
        <f aca="false">IF($M61="","",INDEX(LEDGER_ENGINE!$H$2:$H$546,$M61))</f>
        <v/>
      </c>
      <c r="E61" s="150" t="str">
        <f aca="false">IF($M61="","",INDEX(LEDGER_ENGINE!$I$2:$I$546,$M61))</f>
        <v/>
      </c>
      <c r="G61" s="148" t="str">
        <f aca="false">IF($N61="","",INDEX(LEDGER_ENGINE!$B$2:$B$546,$N61))</f>
        <v/>
      </c>
      <c r="H61" s="149" t="str">
        <f aca="false">IF($N61="","",INDEX(LEDGER_ENGINE!$C$2:$C$546,$N61))</f>
        <v/>
      </c>
      <c r="I61" s="149" t="str">
        <f aca="false">IF($N61="","",INDEX(LEDGER_ENGINE!$G$2:$G$546,$N61))</f>
        <v/>
      </c>
      <c r="J61" s="149" t="str">
        <f aca="false">IFERROR(IF($N61="","",INDEX(LEDGER_ENGINE!$H$2:$H$546,$N61)),"")</f>
        <v/>
      </c>
      <c r="K61" s="150" t="str">
        <f aca="false">IF($N61="","",INDEX(LEDGER_ENGINE!$J$2:$J$546,$N61))</f>
        <v/>
      </c>
      <c r="M61" s="101" t="str">
        <f aca="false">IF(SUMIFS(LEDGER_ENGINE!$A$2:$A$546,LEDGER_ENGINE!$R$2:$R$546,$B$4&amp;"|"&amp;(ROW()-8))=0,"",SUMIFS(LEDGER_ENGINE!$A$2:$A$546,LEDGER_ENGINE!$R$2:$R$546,$B$4&amp;"|"&amp;(ROW()-8)))</f>
        <v/>
      </c>
      <c r="N61" s="101" t="str">
        <f aca="false">IF(SUMIFS(LEDGER_ENGINE!$A$2:$A$546,LEDGER_ENGINE!$S$2:$S$546,$B$4&amp;"|"&amp;(ROW()-8))=0,"",SUMIFS(LEDGER_ENGINE!$A$2:$A$546,LEDGER_ENGINE!$S$2:$S$546,$B$4&amp;"|"&amp;(ROW()-8)))</f>
        <v/>
      </c>
    </row>
    <row r="62" customFormat="false" ht="15" hidden="false" customHeight="true" outlineLevel="0" collapsed="false">
      <c r="A62" s="148" t="str">
        <f aca="false">IF($M62="","",INDEX(LEDGER_ENGINE!$B$2:$B$546,$M62))</f>
        <v/>
      </c>
      <c r="B62" s="149" t="str">
        <f aca="false">IF($M62="","",INDEX(LEDGER_ENGINE!$C$2:$C$546,$M62))</f>
        <v/>
      </c>
      <c r="C62" s="149" t="str">
        <f aca="false">IF($M62="","",INDEX(LEDGER_ENGINE!$G$2:$G$546,$M62))</f>
        <v/>
      </c>
      <c r="D62" s="149" t="str">
        <f aca="false">IF($M62="","",INDEX(LEDGER_ENGINE!$H$2:$H$546,$M62))</f>
        <v/>
      </c>
      <c r="E62" s="150" t="str">
        <f aca="false">IF($M62="","",INDEX(LEDGER_ENGINE!$I$2:$I$546,$M62))</f>
        <v/>
      </c>
      <c r="G62" s="148" t="str">
        <f aca="false">IF($N62="","",INDEX(LEDGER_ENGINE!$B$2:$B$546,$N62))</f>
        <v/>
      </c>
      <c r="H62" s="149" t="str">
        <f aca="false">IF($N62="","",INDEX(LEDGER_ENGINE!$C$2:$C$546,$N62))</f>
        <v/>
      </c>
      <c r="I62" s="149" t="str">
        <f aca="false">IF($N62="","",INDEX(LEDGER_ENGINE!$G$2:$G$546,$N62))</f>
        <v/>
      </c>
      <c r="J62" s="149" t="str">
        <f aca="false">IFERROR(IF($N62="","",INDEX(LEDGER_ENGINE!$H$2:$H$546,$N62)),"")</f>
        <v/>
      </c>
      <c r="K62" s="150" t="str">
        <f aca="false">IF($N62="","",INDEX(LEDGER_ENGINE!$J$2:$J$546,$N62))</f>
        <v/>
      </c>
      <c r="M62" s="101" t="str">
        <f aca="false">IF(SUMIFS(LEDGER_ENGINE!$A$2:$A$546,LEDGER_ENGINE!$R$2:$R$546,$B$4&amp;"|"&amp;(ROW()-8))=0,"",SUMIFS(LEDGER_ENGINE!$A$2:$A$546,LEDGER_ENGINE!$R$2:$R$546,$B$4&amp;"|"&amp;(ROW()-8)))</f>
        <v/>
      </c>
      <c r="N62" s="101" t="str">
        <f aca="false">IF(SUMIFS(LEDGER_ENGINE!$A$2:$A$546,LEDGER_ENGINE!$S$2:$S$546,$B$4&amp;"|"&amp;(ROW()-8))=0,"",SUMIFS(LEDGER_ENGINE!$A$2:$A$546,LEDGER_ENGINE!$S$2:$S$546,$B$4&amp;"|"&amp;(ROW()-8)))</f>
        <v/>
      </c>
    </row>
    <row r="63" customFormat="false" ht="15" hidden="false" customHeight="true" outlineLevel="0" collapsed="false">
      <c r="A63" s="148" t="str">
        <f aca="false">IF($M63="","",INDEX(LEDGER_ENGINE!$B$2:$B$546,$M63))</f>
        <v/>
      </c>
      <c r="B63" s="149" t="str">
        <f aca="false">IF($M63="","",INDEX(LEDGER_ENGINE!$C$2:$C$546,$M63))</f>
        <v/>
      </c>
      <c r="C63" s="149" t="str">
        <f aca="false">IF($M63="","",INDEX(LEDGER_ENGINE!$G$2:$G$546,$M63))</f>
        <v/>
      </c>
      <c r="D63" s="149" t="str">
        <f aca="false">IF($M63="","",INDEX(LEDGER_ENGINE!$H$2:$H$546,$M63))</f>
        <v/>
      </c>
      <c r="E63" s="150" t="str">
        <f aca="false">IF($M63="","",INDEX(LEDGER_ENGINE!$I$2:$I$546,$M63))</f>
        <v/>
      </c>
      <c r="G63" s="148" t="str">
        <f aca="false">IF($N63="","",INDEX(LEDGER_ENGINE!$B$2:$B$546,$N63))</f>
        <v/>
      </c>
      <c r="H63" s="149" t="str">
        <f aca="false">IF($N63="","",INDEX(LEDGER_ENGINE!$C$2:$C$546,$N63))</f>
        <v/>
      </c>
      <c r="I63" s="149" t="str">
        <f aca="false">IF($N63="","",INDEX(LEDGER_ENGINE!$G$2:$G$546,$N63))</f>
        <v/>
      </c>
      <c r="J63" s="149" t="str">
        <f aca="false">IFERROR(IF($N63="","",INDEX(LEDGER_ENGINE!$H$2:$H$546,$N63)),"")</f>
        <v/>
      </c>
      <c r="K63" s="150" t="str">
        <f aca="false">IF($N63="","",INDEX(LEDGER_ENGINE!$J$2:$J$546,$N63))</f>
        <v/>
      </c>
      <c r="M63" s="101" t="str">
        <f aca="false">IF(SUMIFS(LEDGER_ENGINE!$A$2:$A$546,LEDGER_ENGINE!$R$2:$R$546,$B$4&amp;"|"&amp;(ROW()-8))=0,"",SUMIFS(LEDGER_ENGINE!$A$2:$A$546,LEDGER_ENGINE!$R$2:$R$546,$B$4&amp;"|"&amp;(ROW()-8)))</f>
        <v/>
      </c>
      <c r="N63" s="101" t="str">
        <f aca="false">IF(SUMIFS(LEDGER_ENGINE!$A$2:$A$546,LEDGER_ENGINE!$S$2:$S$546,$B$4&amp;"|"&amp;(ROW()-8))=0,"",SUMIFS(LEDGER_ENGINE!$A$2:$A$546,LEDGER_ENGINE!$S$2:$S$546,$B$4&amp;"|"&amp;(ROW()-8)))</f>
        <v/>
      </c>
    </row>
    <row r="64" customFormat="false" ht="15" hidden="false" customHeight="true" outlineLevel="0" collapsed="false">
      <c r="A64" s="148" t="str">
        <f aca="false">IF($M64="","",INDEX(LEDGER_ENGINE!$B$2:$B$546,$M64))</f>
        <v/>
      </c>
      <c r="B64" s="149" t="str">
        <f aca="false">IF($M64="","",INDEX(LEDGER_ENGINE!$C$2:$C$546,$M64))</f>
        <v/>
      </c>
      <c r="C64" s="149" t="str">
        <f aca="false">IF($M64="","",INDEX(LEDGER_ENGINE!$G$2:$G$546,$M64))</f>
        <v/>
      </c>
      <c r="D64" s="149" t="str">
        <f aca="false">IF($M64="","",INDEX(LEDGER_ENGINE!$H$2:$H$546,$M64))</f>
        <v/>
      </c>
      <c r="E64" s="150" t="str">
        <f aca="false">IF($M64="","",INDEX(LEDGER_ENGINE!$I$2:$I$546,$M64))</f>
        <v/>
      </c>
      <c r="G64" s="148" t="str">
        <f aca="false">IF($N64="","",INDEX(LEDGER_ENGINE!$B$2:$B$546,$N64))</f>
        <v/>
      </c>
      <c r="H64" s="149" t="str">
        <f aca="false">IF($N64="","",INDEX(LEDGER_ENGINE!$C$2:$C$546,$N64))</f>
        <v/>
      </c>
      <c r="I64" s="149" t="str">
        <f aca="false">IF($N64="","",INDEX(LEDGER_ENGINE!$G$2:$G$546,$N64))</f>
        <v/>
      </c>
      <c r="J64" s="149" t="str">
        <f aca="false">IFERROR(IF($N64="","",INDEX(LEDGER_ENGINE!$H$2:$H$546,$N64)),"")</f>
        <v/>
      </c>
      <c r="K64" s="150" t="str">
        <f aca="false">IF($N64="","",INDEX(LEDGER_ENGINE!$J$2:$J$546,$N64))</f>
        <v/>
      </c>
      <c r="M64" s="101" t="str">
        <f aca="false">IF(SUMIFS(LEDGER_ENGINE!$A$2:$A$546,LEDGER_ENGINE!$R$2:$R$546,$B$4&amp;"|"&amp;(ROW()-8))=0,"",SUMIFS(LEDGER_ENGINE!$A$2:$A$546,LEDGER_ENGINE!$R$2:$R$546,$B$4&amp;"|"&amp;(ROW()-8)))</f>
        <v/>
      </c>
      <c r="N64" s="101" t="str">
        <f aca="false">IF(SUMIFS(LEDGER_ENGINE!$A$2:$A$546,LEDGER_ENGINE!$S$2:$S$546,$B$4&amp;"|"&amp;(ROW()-8))=0,"",SUMIFS(LEDGER_ENGINE!$A$2:$A$546,LEDGER_ENGINE!$S$2:$S$546,$B$4&amp;"|"&amp;(ROW()-8)))</f>
        <v/>
      </c>
    </row>
    <row r="65" customFormat="false" ht="15" hidden="false" customHeight="true" outlineLevel="0" collapsed="false">
      <c r="A65" s="148" t="str">
        <f aca="false">IF($M65="","",INDEX(LEDGER_ENGINE!$B$2:$B$546,$M65))</f>
        <v/>
      </c>
      <c r="B65" s="149" t="str">
        <f aca="false">IF($M65="","",INDEX(LEDGER_ENGINE!$C$2:$C$546,$M65))</f>
        <v/>
      </c>
      <c r="C65" s="149" t="str">
        <f aca="false">IF($M65="","",INDEX(LEDGER_ENGINE!$G$2:$G$546,$M65))</f>
        <v/>
      </c>
      <c r="D65" s="149" t="str">
        <f aca="false">IF($M65="","",INDEX(LEDGER_ENGINE!$H$2:$H$546,$M65))</f>
        <v/>
      </c>
      <c r="E65" s="150" t="str">
        <f aca="false">IF($M65="","",INDEX(LEDGER_ENGINE!$I$2:$I$546,$M65))</f>
        <v/>
      </c>
      <c r="G65" s="148" t="str">
        <f aca="false">IF($N65="","",INDEX(LEDGER_ENGINE!$B$2:$B$546,$N65))</f>
        <v/>
      </c>
      <c r="H65" s="149" t="str">
        <f aca="false">IF($N65="","",INDEX(LEDGER_ENGINE!$C$2:$C$546,$N65))</f>
        <v/>
      </c>
      <c r="I65" s="149" t="str">
        <f aca="false">IF($N65="","",INDEX(LEDGER_ENGINE!$G$2:$G$546,$N65))</f>
        <v/>
      </c>
      <c r="J65" s="149" t="str">
        <f aca="false">IFERROR(IF($N65="","",INDEX(LEDGER_ENGINE!$H$2:$H$546,$N65)),"")</f>
        <v/>
      </c>
      <c r="K65" s="150" t="str">
        <f aca="false">IF($N65="","",INDEX(LEDGER_ENGINE!$J$2:$J$546,$N65))</f>
        <v/>
      </c>
      <c r="M65" s="101" t="str">
        <f aca="false">IF(SUMIFS(LEDGER_ENGINE!$A$2:$A$546,LEDGER_ENGINE!$R$2:$R$546,$B$4&amp;"|"&amp;(ROW()-8))=0,"",SUMIFS(LEDGER_ENGINE!$A$2:$A$546,LEDGER_ENGINE!$R$2:$R$546,$B$4&amp;"|"&amp;(ROW()-8)))</f>
        <v/>
      </c>
      <c r="N65" s="101" t="str">
        <f aca="false">IF(SUMIFS(LEDGER_ENGINE!$A$2:$A$546,LEDGER_ENGINE!$S$2:$S$546,$B$4&amp;"|"&amp;(ROW()-8))=0,"",SUMIFS(LEDGER_ENGINE!$A$2:$A$546,LEDGER_ENGINE!$S$2:$S$546,$B$4&amp;"|"&amp;(ROW()-8)))</f>
        <v/>
      </c>
    </row>
    <row r="66" customFormat="false" ht="15" hidden="false" customHeight="true" outlineLevel="0" collapsed="false">
      <c r="A66" s="148" t="str">
        <f aca="false">IF($M66="","",INDEX(LEDGER_ENGINE!$B$2:$B$546,$M66))</f>
        <v/>
      </c>
      <c r="B66" s="149" t="str">
        <f aca="false">IF($M66="","",INDEX(LEDGER_ENGINE!$C$2:$C$546,$M66))</f>
        <v/>
      </c>
      <c r="C66" s="149" t="str">
        <f aca="false">IF($M66="","",INDEX(LEDGER_ENGINE!$G$2:$G$546,$M66))</f>
        <v/>
      </c>
      <c r="D66" s="149" t="str">
        <f aca="false">IF($M66="","",INDEX(LEDGER_ENGINE!$H$2:$H$546,$M66))</f>
        <v/>
      </c>
      <c r="E66" s="150" t="str">
        <f aca="false">IF($M66="","",INDEX(LEDGER_ENGINE!$I$2:$I$546,$M66))</f>
        <v/>
      </c>
      <c r="G66" s="148" t="str">
        <f aca="false">IF($N66="","",INDEX(LEDGER_ENGINE!$B$2:$B$546,$N66))</f>
        <v/>
      </c>
      <c r="H66" s="149" t="str">
        <f aca="false">IF($N66="","",INDEX(LEDGER_ENGINE!$C$2:$C$546,$N66))</f>
        <v/>
      </c>
      <c r="I66" s="149" t="str">
        <f aca="false">IF($N66="","",INDEX(LEDGER_ENGINE!$G$2:$G$546,$N66))</f>
        <v/>
      </c>
      <c r="J66" s="149" t="str">
        <f aca="false">IFERROR(IF($N66="","",INDEX(LEDGER_ENGINE!$H$2:$H$546,$N66)),"")</f>
        <v/>
      </c>
      <c r="K66" s="150" t="str">
        <f aca="false">IF($N66="","",INDEX(LEDGER_ENGINE!$J$2:$J$546,$N66))</f>
        <v/>
      </c>
      <c r="M66" s="101" t="str">
        <f aca="false">IF(SUMIFS(LEDGER_ENGINE!$A$2:$A$546,LEDGER_ENGINE!$R$2:$R$546,$B$4&amp;"|"&amp;(ROW()-8))=0,"",SUMIFS(LEDGER_ENGINE!$A$2:$A$546,LEDGER_ENGINE!$R$2:$R$546,$B$4&amp;"|"&amp;(ROW()-8)))</f>
        <v/>
      </c>
      <c r="N66" s="101" t="str">
        <f aca="false">IF(SUMIFS(LEDGER_ENGINE!$A$2:$A$546,LEDGER_ENGINE!$S$2:$S$546,$B$4&amp;"|"&amp;(ROW()-8))=0,"",SUMIFS(LEDGER_ENGINE!$A$2:$A$546,LEDGER_ENGINE!$S$2:$S$546,$B$4&amp;"|"&amp;(ROW()-8)))</f>
        <v/>
      </c>
    </row>
    <row r="67" customFormat="false" ht="15" hidden="false" customHeight="true" outlineLevel="0" collapsed="false">
      <c r="A67" s="148" t="str">
        <f aca="false">IF($M67="","",INDEX(LEDGER_ENGINE!$B$2:$B$546,$M67))</f>
        <v/>
      </c>
      <c r="B67" s="149" t="str">
        <f aca="false">IF($M67="","",INDEX(LEDGER_ENGINE!$C$2:$C$546,$M67))</f>
        <v/>
      </c>
      <c r="C67" s="149" t="str">
        <f aca="false">IF($M67="","",INDEX(LEDGER_ENGINE!$G$2:$G$546,$M67))</f>
        <v/>
      </c>
      <c r="D67" s="149" t="str">
        <f aca="false">IF($M67="","",INDEX(LEDGER_ENGINE!$H$2:$H$546,$M67))</f>
        <v/>
      </c>
      <c r="E67" s="150" t="str">
        <f aca="false">IF($M67="","",INDEX(LEDGER_ENGINE!$I$2:$I$546,$M67))</f>
        <v/>
      </c>
      <c r="G67" s="148" t="str">
        <f aca="false">IF($N67="","",INDEX(LEDGER_ENGINE!$B$2:$B$546,$N67))</f>
        <v/>
      </c>
      <c r="H67" s="149" t="str">
        <f aca="false">IF($N67="","",INDEX(LEDGER_ENGINE!$C$2:$C$546,$N67))</f>
        <v/>
      </c>
      <c r="I67" s="149" t="str">
        <f aca="false">IF($N67="","",INDEX(LEDGER_ENGINE!$G$2:$G$546,$N67))</f>
        <v/>
      </c>
      <c r="J67" s="149" t="str">
        <f aca="false">IFERROR(IF($N67="","",INDEX(LEDGER_ENGINE!$H$2:$H$546,$N67)),"")</f>
        <v/>
      </c>
      <c r="K67" s="150" t="str">
        <f aca="false">IF($N67="","",INDEX(LEDGER_ENGINE!$J$2:$J$546,$N67))</f>
        <v/>
      </c>
      <c r="M67" s="101" t="str">
        <f aca="false">IF(SUMIFS(LEDGER_ENGINE!$A$2:$A$546,LEDGER_ENGINE!$R$2:$R$546,$B$4&amp;"|"&amp;(ROW()-8))=0,"",SUMIFS(LEDGER_ENGINE!$A$2:$A$546,LEDGER_ENGINE!$R$2:$R$546,$B$4&amp;"|"&amp;(ROW()-8)))</f>
        <v/>
      </c>
      <c r="N67" s="101" t="str">
        <f aca="false">IF(SUMIFS(LEDGER_ENGINE!$A$2:$A$546,LEDGER_ENGINE!$S$2:$S$546,$B$4&amp;"|"&amp;(ROW()-8))=0,"",SUMIFS(LEDGER_ENGINE!$A$2:$A$546,LEDGER_ENGINE!$S$2:$S$546,$B$4&amp;"|"&amp;(ROW()-8)))</f>
        <v/>
      </c>
    </row>
    <row r="68" customFormat="false" ht="15" hidden="false" customHeight="true" outlineLevel="0" collapsed="false">
      <c r="A68" s="148" t="str">
        <f aca="false">IF($M68="","",INDEX(LEDGER_ENGINE!$B$2:$B$546,$M68))</f>
        <v/>
      </c>
      <c r="B68" s="149" t="str">
        <f aca="false">IF($M68="","",INDEX(LEDGER_ENGINE!$C$2:$C$546,$M68))</f>
        <v/>
      </c>
      <c r="C68" s="149" t="str">
        <f aca="false">IF($M68="","",INDEX(LEDGER_ENGINE!$G$2:$G$546,$M68))</f>
        <v/>
      </c>
      <c r="D68" s="149" t="str">
        <f aca="false">IF($M68="","",INDEX(LEDGER_ENGINE!$H$2:$H$546,$M68))</f>
        <v/>
      </c>
      <c r="E68" s="150" t="str">
        <f aca="false">IF($M68="","",INDEX(LEDGER_ENGINE!$I$2:$I$546,$M68))</f>
        <v/>
      </c>
      <c r="G68" s="148" t="str">
        <f aca="false">IF($N68="","",INDEX(LEDGER_ENGINE!$B$2:$B$546,$N68))</f>
        <v/>
      </c>
      <c r="H68" s="149" t="str">
        <f aca="false">IF($N68="","",INDEX(LEDGER_ENGINE!$C$2:$C$546,$N68))</f>
        <v/>
      </c>
      <c r="I68" s="149" t="str">
        <f aca="false">IF($N68="","",INDEX(LEDGER_ENGINE!$G$2:$G$546,$N68))</f>
        <v/>
      </c>
      <c r="J68" s="149" t="str">
        <f aca="false">IFERROR(IF($N68="","",INDEX(LEDGER_ENGINE!$H$2:$H$546,$N68)),"")</f>
        <v/>
      </c>
      <c r="K68" s="150" t="str">
        <f aca="false">IF($N68="","",INDEX(LEDGER_ENGINE!$J$2:$J$546,$N68))</f>
        <v/>
      </c>
      <c r="M68" s="101" t="str">
        <f aca="false">IF(SUMIFS(LEDGER_ENGINE!$A$2:$A$546,LEDGER_ENGINE!$R$2:$R$546,$B$4&amp;"|"&amp;(ROW()-8))=0,"",SUMIFS(LEDGER_ENGINE!$A$2:$A$546,LEDGER_ENGINE!$R$2:$R$546,$B$4&amp;"|"&amp;(ROW()-8)))</f>
        <v/>
      </c>
      <c r="N68" s="101" t="str">
        <f aca="false">IF(SUMIFS(LEDGER_ENGINE!$A$2:$A$546,LEDGER_ENGINE!$S$2:$S$546,$B$4&amp;"|"&amp;(ROW()-8))=0,"",SUMIFS(LEDGER_ENGINE!$A$2:$A$546,LEDGER_ENGINE!$S$2:$S$546,$B$4&amp;"|"&amp;(ROW()-8)))</f>
        <v/>
      </c>
    </row>
    <row r="69" customFormat="false" ht="15" hidden="false" customHeight="true" outlineLevel="0" collapsed="false">
      <c r="A69" s="148" t="str">
        <f aca="false">IF($M69="","",INDEX(LEDGER_ENGINE!$B$2:$B$546,$M69))</f>
        <v/>
      </c>
      <c r="B69" s="149" t="str">
        <f aca="false">IF($M69="","",INDEX(LEDGER_ENGINE!$C$2:$C$546,$M69))</f>
        <v/>
      </c>
      <c r="C69" s="149" t="str">
        <f aca="false">IF($M69="","",INDEX(LEDGER_ENGINE!$G$2:$G$546,$M69))</f>
        <v/>
      </c>
      <c r="D69" s="149" t="str">
        <f aca="false">IF($M69="","",INDEX(LEDGER_ENGINE!$H$2:$H$546,$M69))</f>
        <v/>
      </c>
      <c r="E69" s="150" t="str">
        <f aca="false">IF($M69="","",INDEX(LEDGER_ENGINE!$I$2:$I$546,$M69))</f>
        <v/>
      </c>
      <c r="G69" s="148" t="str">
        <f aca="false">IF($N69="","",INDEX(LEDGER_ENGINE!$B$2:$B$546,$N69))</f>
        <v/>
      </c>
      <c r="H69" s="149" t="str">
        <f aca="false">IF($N69="","",INDEX(LEDGER_ENGINE!$C$2:$C$546,$N69))</f>
        <v/>
      </c>
      <c r="I69" s="149" t="str">
        <f aca="false">IF($N69="","",INDEX(LEDGER_ENGINE!$G$2:$G$546,$N69))</f>
        <v/>
      </c>
      <c r="J69" s="149" t="str">
        <f aca="false">IFERROR(IF($N69="","",INDEX(LEDGER_ENGINE!$H$2:$H$546,$N69)),"")</f>
        <v/>
      </c>
      <c r="K69" s="150" t="str">
        <f aca="false">IF($N69="","",INDEX(LEDGER_ENGINE!$J$2:$J$546,$N69))</f>
        <v/>
      </c>
      <c r="M69" s="101" t="str">
        <f aca="false">IF(SUMIFS(LEDGER_ENGINE!$A$2:$A$546,LEDGER_ENGINE!$R$2:$R$546,$B$4&amp;"|"&amp;(ROW()-8))=0,"",SUMIFS(LEDGER_ENGINE!$A$2:$A$546,LEDGER_ENGINE!$R$2:$R$546,$B$4&amp;"|"&amp;(ROW()-8)))</f>
        <v/>
      </c>
      <c r="N69" s="101" t="str">
        <f aca="false">IF(SUMIFS(LEDGER_ENGINE!$A$2:$A$546,LEDGER_ENGINE!$S$2:$S$546,$B$4&amp;"|"&amp;(ROW()-8))=0,"",SUMIFS(LEDGER_ENGINE!$A$2:$A$546,LEDGER_ENGINE!$S$2:$S$546,$B$4&amp;"|"&amp;(ROW()-8)))</f>
        <v/>
      </c>
    </row>
    <row r="70" customFormat="false" ht="15" hidden="false" customHeight="true" outlineLevel="0" collapsed="false">
      <c r="A70" s="148" t="str">
        <f aca="false">IF($M70="","",INDEX(LEDGER_ENGINE!$B$2:$B$546,$M70))</f>
        <v/>
      </c>
      <c r="B70" s="149" t="str">
        <f aca="false">IF($M70="","",INDEX(LEDGER_ENGINE!$C$2:$C$546,$M70))</f>
        <v/>
      </c>
      <c r="C70" s="149" t="str">
        <f aca="false">IF($M70="","",INDEX(LEDGER_ENGINE!$G$2:$G$546,$M70))</f>
        <v/>
      </c>
      <c r="D70" s="149" t="str">
        <f aca="false">IF($M70="","",INDEX(LEDGER_ENGINE!$H$2:$H$546,$M70))</f>
        <v/>
      </c>
      <c r="E70" s="150" t="str">
        <f aca="false">IF($M70="","",INDEX(LEDGER_ENGINE!$I$2:$I$546,$M70))</f>
        <v/>
      </c>
      <c r="G70" s="148" t="str">
        <f aca="false">IF($N70="","",INDEX(LEDGER_ENGINE!$B$2:$B$546,$N70))</f>
        <v/>
      </c>
      <c r="H70" s="149" t="str">
        <f aca="false">IF($N70="","",INDEX(LEDGER_ENGINE!$C$2:$C$546,$N70))</f>
        <v/>
      </c>
      <c r="I70" s="149" t="str">
        <f aca="false">IF($N70="","",INDEX(LEDGER_ENGINE!$G$2:$G$546,$N70))</f>
        <v/>
      </c>
      <c r="J70" s="149" t="str">
        <f aca="false">IFERROR(IF($N70="","",INDEX(LEDGER_ENGINE!$H$2:$H$546,$N70)),"")</f>
        <v/>
      </c>
      <c r="K70" s="150" t="str">
        <f aca="false">IF($N70="","",INDEX(LEDGER_ENGINE!$J$2:$J$546,$N70))</f>
        <v/>
      </c>
      <c r="M70" s="101" t="str">
        <f aca="false">IF(SUMIFS(LEDGER_ENGINE!$A$2:$A$546,LEDGER_ENGINE!$R$2:$R$546,$B$4&amp;"|"&amp;(ROW()-8))=0,"",SUMIFS(LEDGER_ENGINE!$A$2:$A$546,LEDGER_ENGINE!$R$2:$R$546,$B$4&amp;"|"&amp;(ROW()-8)))</f>
        <v/>
      </c>
      <c r="N70" s="101" t="str">
        <f aca="false">IF(SUMIFS(LEDGER_ENGINE!$A$2:$A$546,LEDGER_ENGINE!$S$2:$S$546,$B$4&amp;"|"&amp;(ROW()-8))=0,"",SUMIFS(LEDGER_ENGINE!$A$2:$A$546,LEDGER_ENGINE!$S$2:$S$546,$B$4&amp;"|"&amp;(ROW()-8)))</f>
        <v/>
      </c>
    </row>
    <row r="71" customFormat="false" ht="15" hidden="false" customHeight="true" outlineLevel="0" collapsed="false">
      <c r="A71" s="148" t="str">
        <f aca="false">IF($M71="","",INDEX(LEDGER_ENGINE!$B$2:$B$546,$M71))</f>
        <v/>
      </c>
      <c r="B71" s="149" t="str">
        <f aca="false">IF($M71="","",INDEX(LEDGER_ENGINE!$C$2:$C$546,$M71))</f>
        <v/>
      </c>
      <c r="C71" s="149" t="str">
        <f aca="false">IF($M71="","",INDEX(LEDGER_ENGINE!$G$2:$G$546,$M71))</f>
        <v/>
      </c>
      <c r="D71" s="149" t="str">
        <f aca="false">IF($M71="","",INDEX(LEDGER_ENGINE!$H$2:$H$546,$M71))</f>
        <v/>
      </c>
      <c r="E71" s="150" t="str">
        <f aca="false">IF($M71="","",INDEX(LEDGER_ENGINE!$I$2:$I$546,$M71))</f>
        <v/>
      </c>
      <c r="G71" s="148" t="str">
        <f aca="false">IF($N71="","",INDEX(LEDGER_ENGINE!$B$2:$B$546,$N71))</f>
        <v/>
      </c>
      <c r="H71" s="149" t="str">
        <f aca="false">IF($N71="","",INDEX(LEDGER_ENGINE!$C$2:$C$546,$N71))</f>
        <v/>
      </c>
      <c r="I71" s="149" t="str">
        <f aca="false">IF($N71="","",INDEX(LEDGER_ENGINE!$G$2:$G$546,$N71))</f>
        <v/>
      </c>
      <c r="J71" s="149" t="str">
        <f aca="false">IFERROR(IF($N71="","",INDEX(LEDGER_ENGINE!$H$2:$H$546,$N71)),"")</f>
        <v/>
      </c>
      <c r="K71" s="150" t="str">
        <f aca="false">IF($N71="","",INDEX(LEDGER_ENGINE!$J$2:$J$546,$N71))</f>
        <v/>
      </c>
      <c r="M71" s="101" t="str">
        <f aca="false">IF(SUMIFS(LEDGER_ENGINE!$A$2:$A$546,LEDGER_ENGINE!$R$2:$R$546,$B$4&amp;"|"&amp;(ROW()-8))=0,"",SUMIFS(LEDGER_ENGINE!$A$2:$A$546,LEDGER_ENGINE!$R$2:$R$546,$B$4&amp;"|"&amp;(ROW()-8)))</f>
        <v/>
      </c>
      <c r="N71" s="101" t="str">
        <f aca="false">IF(SUMIFS(LEDGER_ENGINE!$A$2:$A$546,LEDGER_ENGINE!$S$2:$S$546,$B$4&amp;"|"&amp;(ROW()-8))=0,"",SUMIFS(LEDGER_ENGINE!$A$2:$A$546,LEDGER_ENGINE!$S$2:$S$546,$B$4&amp;"|"&amp;(ROW()-8)))</f>
        <v/>
      </c>
    </row>
    <row r="72" customFormat="false" ht="15" hidden="false" customHeight="true" outlineLevel="0" collapsed="false">
      <c r="A72" s="148" t="str">
        <f aca="false">IF($M72="","",INDEX(LEDGER_ENGINE!$B$2:$B$546,$M72))</f>
        <v/>
      </c>
      <c r="B72" s="149" t="str">
        <f aca="false">IF($M72="","",INDEX(LEDGER_ENGINE!$C$2:$C$546,$M72))</f>
        <v/>
      </c>
      <c r="C72" s="149" t="str">
        <f aca="false">IF($M72="","",INDEX(LEDGER_ENGINE!$G$2:$G$546,$M72))</f>
        <v/>
      </c>
      <c r="D72" s="149" t="str">
        <f aca="false">IF($M72="","",INDEX(LEDGER_ENGINE!$H$2:$H$546,$M72))</f>
        <v/>
      </c>
      <c r="E72" s="150" t="str">
        <f aca="false">IF($M72="","",INDEX(LEDGER_ENGINE!$I$2:$I$546,$M72))</f>
        <v/>
      </c>
      <c r="G72" s="148" t="str">
        <f aca="false">IF($N72="","",INDEX(LEDGER_ENGINE!$B$2:$B$546,$N72))</f>
        <v/>
      </c>
      <c r="H72" s="149" t="str">
        <f aca="false">IF($N72="","",INDEX(LEDGER_ENGINE!$C$2:$C$546,$N72))</f>
        <v/>
      </c>
      <c r="I72" s="149" t="str">
        <f aca="false">IF($N72="","",INDEX(LEDGER_ENGINE!$G$2:$G$546,$N72))</f>
        <v/>
      </c>
      <c r="J72" s="149" t="str">
        <f aca="false">IFERROR(IF($N72="","",INDEX(LEDGER_ENGINE!$H$2:$H$546,$N72)),"")</f>
        <v/>
      </c>
      <c r="K72" s="150" t="str">
        <f aca="false">IF($N72="","",INDEX(LEDGER_ENGINE!$J$2:$J$546,$N72))</f>
        <v/>
      </c>
      <c r="M72" s="101" t="str">
        <f aca="false">IF(SUMIFS(LEDGER_ENGINE!$A$2:$A$546,LEDGER_ENGINE!$R$2:$R$546,$B$4&amp;"|"&amp;(ROW()-8))=0,"",SUMIFS(LEDGER_ENGINE!$A$2:$A$546,LEDGER_ENGINE!$R$2:$R$546,$B$4&amp;"|"&amp;(ROW()-8)))</f>
        <v/>
      </c>
      <c r="N72" s="101" t="str">
        <f aca="false">IF(SUMIFS(LEDGER_ENGINE!$A$2:$A$546,LEDGER_ENGINE!$S$2:$S$546,$B$4&amp;"|"&amp;(ROW()-8))=0,"",SUMIFS(LEDGER_ENGINE!$A$2:$A$546,LEDGER_ENGINE!$S$2:$S$546,$B$4&amp;"|"&amp;(ROW()-8)))</f>
        <v/>
      </c>
    </row>
    <row r="73" customFormat="false" ht="15" hidden="false" customHeight="true" outlineLevel="0" collapsed="false">
      <c r="A73" s="148" t="str">
        <f aca="false">IF($M73="","",INDEX(LEDGER_ENGINE!$B$2:$B$546,$M73))</f>
        <v/>
      </c>
      <c r="B73" s="149" t="str">
        <f aca="false">IF($M73="","",INDEX(LEDGER_ENGINE!$C$2:$C$546,$M73))</f>
        <v/>
      </c>
      <c r="C73" s="149" t="str">
        <f aca="false">IF($M73="","",INDEX(LEDGER_ENGINE!$G$2:$G$546,$M73))</f>
        <v/>
      </c>
      <c r="D73" s="149" t="str">
        <f aca="false">IF($M73="","",INDEX(LEDGER_ENGINE!$H$2:$H$546,$M73))</f>
        <v/>
      </c>
      <c r="E73" s="150" t="str">
        <f aca="false">IF($M73="","",INDEX(LEDGER_ENGINE!$I$2:$I$546,$M73))</f>
        <v/>
      </c>
      <c r="G73" s="148" t="str">
        <f aca="false">IF($N73="","",INDEX(LEDGER_ENGINE!$B$2:$B$546,$N73))</f>
        <v/>
      </c>
      <c r="H73" s="149" t="str">
        <f aca="false">IF($N73="","",INDEX(LEDGER_ENGINE!$C$2:$C$546,$N73))</f>
        <v/>
      </c>
      <c r="I73" s="149" t="str">
        <f aca="false">IF($N73="","",INDEX(LEDGER_ENGINE!$G$2:$G$546,$N73))</f>
        <v/>
      </c>
      <c r="J73" s="149" t="str">
        <f aca="false">IFERROR(IF($N73="","",INDEX(LEDGER_ENGINE!$H$2:$H$546,$N73)),"")</f>
        <v/>
      </c>
      <c r="K73" s="150" t="str">
        <f aca="false">IF($N73="","",INDEX(LEDGER_ENGINE!$J$2:$J$546,$N73))</f>
        <v/>
      </c>
      <c r="M73" s="101" t="str">
        <f aca="false">IF(SUMIFS(LEDGER_ENGINE!$A$2:$A$546,LEDGER_ENGINE!$R$2:$R$546,$B$4&amp;"|"&amp;(ROW()-8))=0,"",SUMIFS(LEDGER_ENGINE!$A$2:$A$546,LEDGER_ENGINE!$R$2:$R$546,$B$4&amp;"|"&amp;(ROW()-8)))</f>
        <v/>
      </c>
      <c r="N73" s="101" t="str">
        <f aca="false">IF(SUMIFS(LEDGER_ENGINE!$A$2:$A$546,LEDGER_ENGINE!$S$2:$S$546,$B$4&amp;"|"&amp;(ROW()-8))=0,"",SUMIFS(LEDGER_ENGINE!$A$2:$A$546,LEDGER_ENGINE!$S$2:$S$546,$B$4&amp;"|"&amp;(ROW()-8)))</f>
        <v/>
      </c>
    </row>
    <row r="74" customFormat="false" ht="15" hidden="false" customHeight="true" outlineLevel="0" collapsed="false">
      <c r="A74" s="148" t="str">
        <f aca="false">IF($M74="","",INDEX(LEDGER_ENGINE!$B$2:$B$546,$M74))</f>
        <v/>
      </c>
      <c r="B74" s="149" t="str">
        <f aca="false">IF($M74="","",INDEX(LEDGER_ENGINE!$C$2:$C$546,$M74))</f>
        <v/>
      </c>
      <c r="C74" s="149" t="str">
        <f aca="false">IF($M74="","",INDEX(LEDGER_ENGINE!$G$2:$G$546,$M74))</f>
        <v/>
      </c>
      <c r="D74" s="149" t="str">
        <f aca="false">IF($M74="","",INDEX(LEDGER_ENGINE!$H$2:$H$546,$M74))</f>
        <v/>
      </c>
      <c r="E74" s="150" t="str">
        <f aca="false">IF($M74="","",INDEX(LEDGER_ENGINE!$I$2:$I$546,$M74))</f>
        <v/>
      </c>
      <c r="G74" s="148" t="str">
        <f aca="false">IF($N74="","",INDEX(LEDGER_ENGINE!$B$2:$B$546,$N74))</f>
        <v/>
      </c>
      <c r="H74" s="149" t="str">
        <f aca="false">IF($N74="","",INDEX(LEDGER_ENGINE!$C$2:$C$546,$N74))</f>
        <v/>
      </c>
      <c r="I74" s="149" t="str">
        <f aca="false">IF($N74="","",INDEX(LEDGER_ENGINE!$G$2:$G$546,$N74))</f>
        <v/>
      </c>
      <c r="J74" s="149" t="str">
        <f aca="false">IFERROR(IF($N74="","",INDEX(LEDGER_ENGINE!$H$2:$H$546,$N74)),"")</f>
        <v/>
      </c>
      <c r="K74" s="150" t="str">
        <f aca="false">IF($N74="","",INDEX(LEDGER_ENGINE!$J$2:$J$546,$N74))</f>
        <v/>
      </c>
      <c r="M74" s="101" t="str">
        <f aca="false">IF(SUMIFS(LEDGER_ENGINE!$A$2:$A$546,LEDGER_ENGINE!$R$2:$R$546,$B$4&amp;"|"&amp;(ROW()-8))=0,"",SUMIFS(LEDGER_ENGINE!$A$2:$A$546,LEDGER_ENGINE!$R$2:$R$546,$B$4&amp;"|"&amp;(ROW()-8)))</f>
        <v/>
      </c>
      <c r="N74" s="101" t="str">
        <f aca="false">IF(SUMIFS(LEDGER_ENGINE!$A$2:$A$546,LEDGER_ENGINE!$S$2:$S$546,$B$4&amp;"|"&amp;(ROW()-8))=0,"",SUMIFS(LEDGER_ENGINE!$A$2:$A$546,LEDGER_ENGINE!$S$2:$S$546,$B$4&amp;"|"&amp;(ROW()-8)))</f>
        <v/>
      </c>
    </row>
    <row r="75" customFormat="false" ht="15" hidden="false" customHeight="true" outlineLevel="0" collapsed="false">
      <c r="A75" s="148" t="str">
        <f aca="false">IF($M75="","",INDEX(LEDGER_ENGINE!$B$2:$B$546,$M75))</f>
        <v/>
      </c>
      <c r="B75" s="149" t="str">
        <f aca="false">IF($M75="","",INDEX(LEDGER_ENGINE!$C$2:$C$546,$M75))</f>
        <v/>
      </c>
      <c r="C75" s="149" t="str">
        <f aca="false">IF($M75="","",INDEX(LEDGER_ENGINE!$G$2:$G$546,$M75))</f>
        <v/>
      </c>
      <c r="D75" s="149" t="str">
        <f aca="false">IF($M75="","",INDEX(LEDGER_ENGINE!$H$2:$H$546,$M75))</f>
        <v/>
      </c>
      <c r="E75" s="150" t="str">
        <f aca="false">IF($M75="","",INDEX(LEDGER_ENGINE!$I$2:$I$546,$M75))</f>
        <v/>
      </c>
      <c r="G75" s="148" t="str">
        <f aca="false">IF($N75="","",INDEX(LEDGER_ENGINE!$B$2:$B$546,$N75))</f>
        <v/>
      </c>
      <c r="H75" s="149" t="str">
        <f aca="false">IF($N75="","",INDEX(LEDGER_ENGINE!$C$2:$C$546,$N75))</f>
        <v/>
      </c>
      <c r="I75" s="149" t="str">
        <f aca="false">IF($N75="","",INDEX(LEDGER_ENGINE!$G$2:$G$546,$N75))</f>
        <v/>
      </c>
      <c r="J75" s="149" t="str">
        <f aca="false">IFERROR(IF($N75="","",INDEX(LEDGER_ENGINE!$H$2:$H$546,$N75)),"")</f>
        <v/>
      </c>
      <c r="K75" s="150" t="str">
        <f aca="false">IF($N75="","",INDEX(LEDGER_ENGINE!$J$2:$J$546,$N75))</f>
        <v/>
      </c>
      <c r="M75" s="101" t="str">
        <f aca="false">IF(SUMIFS(LEDGER_ENGINE!$A$2:$A$546,LEDGER_ENGINE!$R$2:$R$546,$B$4&amp;"|"&amp;(ROW()-8))=0,"",SUMIFS(LEDGER_ENGINE!$A$2:$A$546,LEDGER_ENGINE!$R$2:$R$546,$B$4&amp;"|"&amp;(ROW()-8)))</f>
        <v/>
      </c>
      <c r="N75" s="101" t="str">
        <f aca="false">IF(SUMIFS(LEDGER_ENGINE!$A$2:$A$546,LEDGER_ENGINE!$S$2:$S$546,$B$4&amp;"|"&amp;(ROW()-8))=0,"",SUMIFS(LEDGER_ENGINE!$A$2:$A$546,LEDGER_ENGINE!$S$2:$S$546,$B$4&amp;"|"&amp;(ROW()-8)))</f>
        <v/>
      </c>
    </row>
    <row r="76" customFormat="false" ht="15" hidden="false" customHeight="true" outlineLevel="0" collapsed="false">
      <c r="A76" s="148" t="str">
        <f aca="false">IF($M76="","",INDEX(LEDGER_ENGINE!$B$2:$B$546,$M76))</f>
        <v/>
      </c>
      <c r="B76" s="149" t="str">
        <f aca="false">IF($M76="","",INDEX(LEDGER_ENGINE!$C$2:$C$546,$M76))</f>
        <v/>
      </c>
      <c r="C76" s="149" t="str">
        <f aca="false">IF($M76="","",INDEX(LEDGER_ENGINE!$G$2:$G$546,$M76))</f>
        <v/>
      </c>
      <c r="D76" s="149" t="str">
        <f aca="false">IF($M76="","",INDEX(LEDGER_ENGINE!$H$2:$H$546,$M76))</f>
        <v/>
      </c>
      <c r="E76" s="150" t="str">
        <f aca="false">IF($M76="","",INDEX(LEDGER_ENGINE!$I$2:$I$546,$M76))</f>
        <v/>
      </c>
      <c r="G76" s="148" t="str">
        <f aca="false">IF($N76="","",INDEX(LEDGER_ENGINE!$B$2:$B$546,$N76))</f>
        <v/>
      </c>
      <c r="H76" s="149" t="str">
        <f aca="false">IF($N76="","",INDEX(LEDGER_ENGINE!$C$2:$C$546,$N76))</f>
        <v/>
      </c>
      <c r="I76" s="149" t="str">
        <f aca="false">IF($N76="","",INDEX(LEDGER_ENGINE!$G$2:$G$546,$N76))</f>
        <v/>
      </c>
      <c r="J76" s="149" t="str">
        <f aca="false">IFERROR(IF($N76="","",INDEX(LEDGER_ENGINE!$H$2:$H$546,$N76)),"")</f>
        <v/>
      </c>
      <c r="K76" s="150" t="str">
        <f aca="false">IF($N76="","",INDEX(LEDGER_ENGINE!$J$2:$J$546,$N76))</f>
        <v/>
      </c>
      <c r="M76" s="101" t="str">
        <f aca="false">IF(SUMIFS(LEDGER_ENGINE!$A$2:$A$546,LEDGER_ENGINE!$R$2:$R$546,$B$4&amp;"|"&amp;(ROW()-8))=0,"",SUMIFS(LEDGER_ENGINE!$A$2:$A$546,LEDGER_ENGINE!$R$2:$R$546,$B$4&amp;"|"&amp;(ROW()-8)))</f>
        <v/>
      </c>
      <c r="N76" s="101" t="str">
        <f aca="false">IF(SUMIFS(LEDGER_ENGINE!$A$2:$A$546,LEDGER_ENGINE!$S$2:$S$546,$B$4&amp;"|"&amp;(ROW()-8))=0,"",SUMIFS(LEDGER_ENGINE!$A$2:$A$546,LEDGER_ENGINE!$S$2:$S$546,$B$4&amp;"|"&amp;(ROW()-8)))</f>
        <v/>
      </c>
    </row>
    <row r="77" customFormat="false" ht="15" hidden="false" customHeight="true" outlineLevel="0" collapsed="false">
      <c r="A77" s="148" t="str">
        <f aca="false">IF($M77="","",INDEX(LEDGER_ENGINE!$B$2:$B$546,$M77))</f>
        <v/>
      </c>
      <c r="B77" s="149" t="str">
        <f aca="false">IF($M77="","",INDEX(LEDGER_ENGINE!$C$2:$C$546,$M77))</f>
        <v/>
      </c>
      <c r="C77" s="149" t="str">
        <f aca="false">IF($M77="","",INDEX(LEDGER_ENGINE!$G$2:$G$546,$M77))</f>
        <v/>
      </c>
      <c r="D77" s="149" t="str">
        <f aca="false">IF($M77="","",INDEX(LEDGER_ENGINE!$H$2:$H$546,$M77))</f>
        <v/>
      </c>
      <c r="E77" s="150" t="str">
        <f aca="false">IF($M77="","",INDEX(LEDGER_ENGINE!$I$2:$I$546,$M77))</f>
        <v/>
      </c>
      <c r="G77" s="148" t="str">
        <f aca="false">IF($N77="","",INDEX(LEDGER_ENGINE!$B$2:$B$546,$N77))</f>
        <v/>
      </c>
      <c r="H77" s="149" t="str">
        <f aca="false">IF($N77="","",INDEX(LEDGER_ENGINE!$C$2:$C$546,$N77))</f>
        <v/>
      </c>
      <c r="I77" s="149" t="str">
        <f aca="false">IF($N77="","",INDEX(LEDGER_ENGINE!$G$2:$G$546,$N77))</f>
        <v/>
      </c>
      <c r="J77" s="149" t="str">
        <f aca="false">IFERROR(IF($N77="","",INDEX(LEDGER_ENGINE!$H$2:$H$546,$N77)),"")</f>
        <v/>
      </c>
      <c r="K77" s="150" t="str">
        <f aca="false">IF($N77="","",INDEX(LEDGER_ENGINE!$J$2:$J$546,$N77))</f>
        <v/>
      </c>
      <c r="M77" s="101" t="str">
        <f aca="false">IF(SUMIFS(LEDGER_ENGINE!$A$2:$A$546,LEDGER_ENGINE!$R$2:$R$546,$B$4&amp;"|"&amp;(ROW()-8))=0,"",SUMIFS(LEDGER_ENGINE!$A$2:$A$546,LEDGER_ENGINE!$R$2:$R$546,$B$4&amp;"|"&amp;(ROW()-8)))</f>
        <v/>
      </c>
      <c r="N77" s="101" t="str">
        <f aca="false">IF(SUMIFS(LEDGER_ENGINE!$A$2:$A$546,LEDGER_ENGINE!$S$2:$S$546,$B$4&amp;"|"&amp;(ROW()-8))=0,"",SUMIFS(LEDGER_ENGINE!$A$2:$A$546,LEDGER_ENGINE!$S$2:$S$546,$B$4&amp;"|"&amp;(ROW()-8)))</f>
        <v/>
      </c>
    </row>
    <row r="78" customFormat="false" ht="15" hidden="false" customHeight="true" outlineLevel="0" collapsed="false">
      <c r="A78" s="148" t="str">
        <f aca="false">IF($M78="","",INDEX(LEDGER_ENGINE!$B$2:$B$546,$M78))</f>
        <v/>
      </c>
      <c r="B78" s="149" t="str">
        <f aca="false">IF($M78="","",INDEX(LEDGER_ENGINE!$C$2:$C$546,$M78))</f>
        <v/>
      </c>
      <c r="C78" s="149" t="str">
        <f aca="false">IF($M78="","",INDEX(LEDGER_ENGINE!$G$2:$G$546,$M78))</f>
        <v/>
      </c>
      <c r="D78" s="149" t="str">
        <f aca="false">IF($M78="","",INDEX(LEDGER_ENGINE!$H$2:$H$546,$M78))</f>
        <v/>
      </c>
      <c r="E78" s="150" t="str">
        <f aca="false">IF($M78="","",INDEX(LEDGER_ENGINE!$I$2:$I$546,$M78))</f>
        <v/>
      </c>
      <c r="G78" s="148" t="str">
        <f aca="false">IF($N78="","",INDEX(LEDGER_ENGINE!$B$2:$B$546,$N78))</f>
        <v/>
      </c>
      <c r="H78" s="149" t="str">
        <f aca="false">IF($N78="","",INDEX(LEDGER_ENGINE!$C$2:$C$546,$N78))</f>
        <v/>
      </c>
      <c r="I78" s="149" t="str">
        <f aca="false">IF($N78="","",INDEX(LEDGER_ENGINE!$G$2:$G$546,$N78))</f>
        <v/>
      </c>
      <c r="J78" s="149" t="str">
        <f aca="false">IFERROR(IF($N78="","",INDEX(LEDGER_ENGINE!$H$2:$H$546,$N78)),"")</f>
        <v/>
      </c>
      <c r="K78" s="150" t="str">
        <f aca="false">IF($N78="","",INDEX(LEDGER_ENGINE!$J$2:$J$546,$N78))</f>
        <v/>
      </c>
      <c r="M78" s="101" t="str">
        <f aca="false">IF(SUMIFS(LEDGER_ENGINE!$A$2:$A$546,LEDGER_ENGINE!$R$2:$R$546,$B$4&amp;"|"&amp;(ROW()-8))=0,"",SUMIFS(LEDGER_ENGINE!$A$2:$A$546,LEDGER_ENGINE!$R$2:$R$546,$B$4&amp;"|"&amp;(ROW()-8)))</f>
        <v/>
      </c>
      <c r="N78" s="101" t="str">
        <f aca="false">IF(SUMIFS(LEDGER_ENGINE!$A$2:$A$546,LEDGER_ENGINE!$S$2:$S$546,$B$4&amp;"|"&amp;(ROW()-8))=0,"",SUMIFS(LEDGER_ENGINE!$A$2:$A$546,LEDGER_ENGINE!$S$2:$S$546,$B$4&amp;"|"&amp;(ROW()-8)))</f>
        <v/>
      </c>
    </row>
    <row r="79" customFormat="false" ht="15" hidden="false" customHeight="true" outlineLevel="0" collapsed="false">
      <c r="A79" s="148" t="str">
        <f aca="false">IF($M79="","",INDEX(LEDGER_ENGINE!$B$2:$B$546,$M79))</f>
        <v/>
      </c>
      <c r="B79" s="149" t="str">
        <f aca="false">IF($M79="","",INDEX(LEDGER_ENGINE!$C$2:$C$546,$M79))</f>
        <v/>
      </c>
      <c r="C79" s="149" t="str">
        <f aca="false">IF($M79="","",INDEX(LEDGER_ENGINE!$G$2:$G$546,$M79))</f>
        <v/>
      </c>
      <c r="D79" s="149" t="str">
        <f aca="false">IF($M79="","",INDEX(LEDGER_ENGINE!$H$2:$H$546,$M79))</f>
        <v/>
      </c>
      <c r="E79" s="150" t="str">
        <f aca="false">IF($M79="","",INDEX(LEDGER_ENGINE!$I$2:$I$546,$M79))</f>
        <v/>
      </c>
      <c r="G79" s="148" t="str">
        <f aca="false">IF($N79="","",INDEX(LEDGER_ENGINE!$B$2:$B$546,$N79))</f>
        <v/>
      </c>
      <c r="H79" s="149" t="str">
        <f aca="false">IF($N79="","",INDEX(LEDGER_ENGINE!$C$2:$C$546,$N79))</f>
        <v/>
      </c>
      <c r="I79" s="149" t="str">
        <f aca="false">IF($N79="","",INDEX(LEDGER_ENGINE!$G$2:$G$546,$N79))</f>
        <v/>
      </c>
      <c r="J79" s="149" t="str">
        <f aca="false">IFERROR(IF($N79="","",INDEX(LEDGER_ENGINE!$H$2:$H$546,$N79)),"")</f>
        <v/>
      </c>
      <c r="K79" s="150" t="str">
        <f aca="false">IF($N79="","",INDEX(LEDGER_ENGINE!$J$2:$J$546,$N79))</f>
        <v/>
      </c>
      <c r="M79" s="101" t="str">
        <f aca="false">IF(SUMIFS(LEDGER_ENGINE!$A$2:$A$546,LEDGER_ENGINE!$R$2:$R$546,$B$4&amp;"|"&amp;(ROW()-8))=0,"",SUMIFS(LEDGER_ENGINE!$A$2:$A$546,LEDGER_ENGINE!$R$2:$R$546,$B$4&amp;"|"&amp;(ROW()-8)))</f>
        <v/>
      </c>
      <c r="N79" s="101" t="str">
        <f aca="false">IF(SUMIFS(LEDGER_ENGINE!$A$2:$A$546,LEDGER_ENGINE!$S$2:$S$546,$B$4&amp;"|"&amp;(ROW()-8))=0,"",SUMIFS(LEDGER_ENGINE!$A$2:$A$546,LEDGER_ENGINE!$S$2:$S$546,$B$4&amp;"|"&amp;(ROW()-8)))</f>
        <v/>
      </c>
    </row>
    <row r="80" customFormat="false" ht="15" hidden="false" customHeight="true" outlineLevel="0" collapsed="false">
      <c r="A80" s="148" t="str">
        <f aca="false">IF($M80="","",INDEX(LEDGER_ENGINE!$B$2:$B$546,$M80))</f>
        <v/>
      </c>
      <c r="B80" s="149" t="str">
        <f aca="false">IF($M80="","",INDEX(LEDGER_ENGINE!$C$2:$C$546,$M80))</f>
        <v/>
      </c>
      <c r="C80" s="149" t="str">
        <f aca="false">IF($M80="","",INDEX(LEDGER_ENGINE!$G$2:$G$546,$M80))</f>
        <v/>
      </c>
      <c r="D80" s="149" t="str">
        <f aca="false">IF($M80="","",INDEX(LEDGER_ENGINE!$H$2:$H$546,$M80))</f>
        <v/>
      </c>
      <c r="E80" s="150" t="str">
        <f aca="false">IF($M80="","",INDEX(LEDGER_ENGINE!$I$2:$I$546,$M80))</f>
        <v/>
      </c>
      <c r="G80" s="148" t="str">
        <f aca="false">IF($N80="","",INDEX(LEDGER_ENGINE!$B$2:$B$546,$N80))</f>
        <v/>
      </c>
      <c r="H80" s="149" t="str">
        <f aca="false">IF($N80="","",INDEX(LEDGER_ENGINE!$C$2:$C$546,$N80))</f>
        <v/>
      </c>
      <c r="I80" s="149" t="str">
        <f aca="false">IF($N80="","",INDEX(LEDGER_ENGINE!$G$2:$G$546,$N80))</f>
        <v/>
      </c>
      <c r="J80" s="149" t="str">
        <f aca="false">IFERROR(IF($N80="","",INDEX(LEDGER_ENGINE!$H$2:$H$546,$N80)),"")</f>
        <v/>
      </c>
      <c r="K80" s="150" t="str">
        <f aca="false">IF($N80="","",INDEX(LEDGER_ENGINE!$J$2:$J$546,$N80))</f>
        <v/>
      </c>
      <c r="M80" s="101" t="str">
        <f aca="false">IF(SUMIFS(LEDGER_ENGINE!$A$2:$A$546,LEDGER_ENGINE!$R$2:$R$546,$B$4&amp;"|"&amp;(ROW()-8))=0,"",SUMIFS(LEDGER_ENGINE!$A$2:$A$546,LEDGER_ENGINE!$R$2:$R$546,$B$4&amp;"|"&amp;(ROW()-8)))</f>
        <v/>
      </c>
      <c r="N80" s="101" t="str">
        <f aca="false">IF(SUMIFS(LEDGER_ENGINE!$A$2:$A$546,LEDGER_ENGINE!$S$2:$S$546,$B$4&amp;"|"&amp;(ROW()-8))=0,"",SUMIFS(LEDGER_ENGINE!$A$2:$A$546,LEDGER_ENGINE!$S$2:$S$546,$B$4&amp;"|"&amp;(ROW()-8)))</f>
        <v/>
      </c>
    </row>
    <row r="81" customFormat="false" ht="15" hidden="false" customHeight="true" outlineLevel="0" collapsed="false">
      <c r="A81" s="148" t="str">
        <f aca="false">IF($M81="","",INDEX(LEDGER_ENGINE!$B$2:$B$546,$M81))</f>
        <v/>
      </c>
      <c r="B81" s="149" t="str">
        <f aca="false">IF($M81="","",INDEX(LEDGER_ENGINE!$C$2:$C$546,$M81))</f>
        <v/>
      </c>
      <c r="C81" s="149" t="str">
        <f aca="false">IF($M81="","",INDEX(LEDGER_ENGINE!$G$2:$G$546,$M81))</f>
        <v/>
      </c>
      <c r="D81" s="149" t="str">
        <f aca="false">IF($M81="","",INDEX(LEDGER_ENGINE!$H$2:$H$546,$M81))</f>
        <v/>
      </c>
      <c r="E81" s="150" t="str">
        <f aca="false">IF($M81="","",INDEX(LEDGER_ENGINE!$I$2:$I$546,$M81))</f>
        <v/>
      </c>
      <c r="G81" s="148" t="str">
        <f aca="false">IF($N81="","",INDEX(LEDGER_ENGINE!$B$2:$B$546,$N81))</f>
        <v/>
      </c>
      <c r="H81" s="149" t="str">
        <f aca="false">IF($N81="","",INDEX(LEDGER_ENGINE!$C$2:$C$546,$N81))</f>
        <v/>
      </c>
      <c r="I81" s="149" t="str">
        <f aca="false">IF($N81="","",INDEX(LEDGER_ENGINE!$G$2:$G$546,$N81))</f>
        <v/>
      </c>
      <c r="J81" s="149" t="str">
        <f aca="false">IFERROR(IF($N81="","",INDEX(LEDGER_ENGINE!$H$2:$H$546,$N81)),"")</f>
        <v/>
      </c>
      <c r="K81" s="150" t="str">
        <f aca="false">IF($N81="","",INDEX(LEDGER_ENGINE!$J$2:$J$546,$N81))</f>
        <v/>
      </c>
      <c r="M81" s="101" t="str">
        <f aca="false">IF(SUMIFS(LEDGER_ENGINE!$A$2:$A$546,LEDGER_ENGINE!$R$2:$R$546,$B$4&amp;"|"&amp;(ROW()-8))=0,"",SUMIFS(LEDGER_ENGINE!$A$2:$A$546,LEDGER_ENGINE!$R$2:$R$546,$B$4&amp;"|"&amp;(ROW()-8)))</f>
        <v/>
      </c>
      <c r="N81" s="101" t="str">
        <f aca="false">IF(SUMIFS(LEDGER_ENGINE!$A$2:$A$546,LEDGER_ENGINE!$S$2:$S$546,$B$4&amp;"|"&amp;(ROW()-8))=0,"",SUMIFS(LEDGER_ENGINE!$A$2:$A$546,LEDGER_ENGINE!$S$2:$S$546,$B$4&amp;"|"&amp;(ROW()-8)))</f>
        <v/>
      </c>
    </row>
    <row r="82" customFormat="false" ht="15" hidden="false" customHeight="true" outlineLevel="0" collapsed="false">
      <c r="A82" s="148" t="str">
        <f aca="false">IF($M82="","",INDEX(LEDGER_ENGINE!$B$2:$B$546,$M82))</f>
        <v/>
      </c>
      <c r="B82" s="149" t="str">
        <f aca="false">IF($M82="","",INDEX(LEDGER_ENGINE!$C$2:$C$546,$M82))</f>
        <v/>
      </c>
      <c r="C82" s="149" t="str">
        <f aca="false">IF($M82="","",INDEX(LEDGER_ENGINE!$G$2:$G$546,$M82))</f>
        <v/>
      </c>
      <c r="D82" s="149" t="str">
        <f aca="false">IF($M82="","",INDEX(LEDGER_ENGINE!$H$2:$H$546,$M82))</f>
        <v/>
      </c>
      <c r="E82" s="150" t="str">
        <f aca="false">IF($M82="","",INDEX(LEDGER_ENGINE!$I$2:$I$546,$M82))</f>
        <v/>
      </c>
      <c r="G82" s="148" t="str">
        <f aca="false">IF($N82="","",INDEX(LEDGER_ENGINE!$B$2:$B$546,$N82))</f>
        <v/>
      </c>
      <c r="H82" s="149" t="str">
        <f aca="false">IF($N82="","",INDEX(LEDGER_ENGINE!$C$2:$C$546,$N82))</f>
        <v/>
      </c>
      <c r="I82" s="149" t="str">
        <f aca="false">IF($N82="","",INDEX(LEDGER_ENGINE!$G$2:$G$546,$N82))</f>
        <v/>
      </c>
      <c r="J82" s="149" t="str">
        <f aca="false">IFERROR(IF($N82="","",INDEX(LEDGER_ENGINE!$H$2:$H$546,$N82)),"")</f>
        <v/>
      </c>
      <c r="K82" s="150" t="str">
        <f aca="false">IF($N82="","",INDEX(LEDGER_ENGINE!$J$2:$J$546,$N82))</f>
        <v/>
      </c>
      <c r="M82" s="101" t="str">
        <f aca="false">IF(SUMIFS(LEDGER_ENGINE!$A$2:$A$546,LEDGER_ENGINE!$R$2:$R$546,$B$4&amp;"|"&amp;(ROW()-8))=0,"",SUMIFS(LEDGER_ENGINE!$A$2:$A$546,LEDGER_ENGINE!$R$2:$R$546,$B$4&amp;"|"&amp;(ROW()-8)))</f>
        <v/>
      </c>
      <c r="N82" s="101" t="str">
        <f aca="false">IF(SUMIFS(LEDGER_ENGINE!$A$2:$A$546,LEDGER_ENGINE!$S$2:$S$546,$B$4&amp;"|"&amp;(ROW()-8))=0,"",SUMIFS(LEDGER_ENGINE!$A$2:$A$546,LEDGER_ENGINE!$S$2:$S$546,$B$4&amp;"|"&amp;(ROW()-8)))</f>
        <v/>
      </c>
    </row>
    <row r="83" customFormat="false" ht="15" hidden="false" customHeight="true" outlineLevel="0" collapsed="false">
      <c r="A83" s="148" t="str">
        <f aca="false">IF($M83="","",INDEX(LEDGER_ENGINE!$B$2:$B$546,$M83))</f>
        <v/>
      </c>
      <c r="B83" s="149" t="str">
        <f aca="false">IF($M83="","",INDEX(LEDGER_ENGINE!$C$2:$C$546,$M83))</f>
        <v/>
      </c>
      <c r="C83" s="149" t="str">
        <f aca="false">IF($M83="","",INDEX(LEDGER_ENGINE!$G$2:$G$546,$M83))</f>
        <v/>
      </c>
      <c r="D83" s="149" t="str">
        <f aca="false">IF($M83="","",INDEX(LEDGER_ENGINE!$H$2:$H$546,$M83))</f>
        <v/>
      </c>
      <c r="E83" s="150" t="str">
        <f aca="false">IF($M83="","",INDEX(LEDGER_ENGINE!$I$2:$I$546,$M83))</f>
        <v/>
      </c>
      <c r="G83" s="148" t="str">
        <f aca="false">IF($N83="","",INDEX(LEDGER_ENGINE!$B$2:$B$546,$N83))</f>
        <v/>
      </c>
      <c r="H83" s="149" t="str">
        <f aca="false">IF($N83="","",INDEX(LEDGER_ENGINE!$C$2:$C$546,$N83))</f>
        <v/>
      </c>
      <c r="I83" s="149" t="str">
        <f aca="false">IF($N83="","",INDEX(LEDGER_ENGINE!$G$2:$G$546,$N83))</f>
        <v/>
      </c>
      <c r="J83" s="149" t="str">
        <f aca="false">IFERROR(IF($N83="","",INDEX(LEDGER_ENGINE!$H$2:$H$546,$N83)),"")</f>
        <v/>
      </c>
      <c r="K83" s="150" t="str">
        <f aca="false">IF($N83="","",INDEX(LEDGER_ENGINE!$J$2:$J$546,$N83))</f>
        <v/>
      </c>
      <c r="M83" s="101" t="str">
        <f aca="false">IF(SUMIFS(LEDGER_ENGINE!$A$2:$A$546,LEDGER_ENGINE!$R$2:$R$546,$B$4&amp;"|"&amp;(ROW()-8))=0,"",SUMIFS(LEDGER_ENGINE!$A$2:$A$546,LEDGER_ENGINE!$R$2:$R$546,$B$4&amp;"|"&amp;(ROW()-8)))</f>
        <v/>
      </c>
      <c r="N83" s="101" t="str">
        <f aca="false">IF(SUMIFS(LEDGER_ENGINE!$A$2:$A$546,LEDGER_ENGINE!$S$2:$S$546,$B$4&amp;"|"&amp;(ROW()-8))=0,"",SUMIFS(LEDGER_ENGINE!$A$2:$A$546,LEDGER_ENGINE!$S$2:$S$546,$B$4&amp;"|"&amp;(ROW()-8)))</f>
        <v/>
      </c>
    </row>
    <row r="84" customFormat="false" ht="15" hidden="false" customHeight="true" outlineLevel="0" collapsed="false">
      <c r="A84" s="148" t="str">
        <f aca="false">IF($M84="","",INDEX(LEDGER_ENGINE!$B$2:$B$546,$M84))</f>
        <v/>
      </c>
      <c r="B84" s="149" t="str">
        <f aca="false">IF($M84="","",INDEX(LEDGER_ENGINE!$C$2:$C$546,$M84))</f>
        <v/>
      </c>
      <c r="C84" s="149" t="str">
        <f aca="false">IF($M84="","",INDEX(LEDGER_ENGINE!$G$2:$G$546,$M84))</f>
        <v/>
      </c>
      <c r="D84" s="149" t="str">
        <f aca="false">IF($M84="","",INDEX(LEDGER_ENGINE!$H$2:$H$546,$M84))</f>
        <v/>
      </c>
      <c r="E84" s="150" t="str">
        <f aca="false">IF($M84="","",INDEX(LEDGER_ENGINE!$I$2:$I$546,$M84))</f>
        <v/>
      </c>
      <c r="G84" s="148" t="str">
        <f aca="false">IF($N84="","",INDEX(LEDGER_ENGINE!$B$2:$B$546,$N84))</f>
        <v/>
      </c>
      <c r="H84" s="149" t="str">
        <f aca="false">IF($N84="","",INDEX(LEDGER_ENGINE!$C$2:$C$546,$N84))</f>
        <v/>
      </c>
      <c r="I84" s="149" t="str">
        <f aca="false">IF($N84="","",INDEX(LEDGER_ENGINE!$G$2:$G$546,$N84))</f>
        <v/>
      </c>
      <c r="J84" s="149" t="str">
        <f aca="false">IFERROR(IF($N84="","",INDEX(LEDGER_ENGINE!$H$2:$H$546,$N84)),"")</f>
        <v/>
      </c>
      <c r="K84" s="150" t="str">
        <f aca="false">IF($N84="","",INDEX(LEDGER_ENGINE!$J$2:$J$546,$N84))</f>
        <v/>
      </c>
      <c r="M84" s="101" t="str">
        <f aca="false">IF(SUMIFS(LEDGER_ENGINE!$A$2:$A$546,LEDGER_ENGINE!$R$2:$R$546,$B$4&amp;"|"&amp;(ROW()-8))=0,"",SUMIFS(LEDGER_ENGINE!$A$2:$A$546,LEDGER_ENGINE!$R$2:$R$546,$B$4&amp;"|"&amp;(ROW()-8)))</f>
        <v/>
      </c>
      <c r="N84" s="101" t="str">
        <f aca="false">IF(SUMIFS(LEDGER_ENGINE!$A$2:$A$546,LEDGER_ENGINE!$S$2:$S$546,$B$4&amp;"|"&amp;(ROW()-8))=0,"",SUMIFS(LEDGER_ENGINE!$A$2:$A$546,LEDGER_ENGINE!$S$2:$S$546,$B$4&amp;"|"&amp;(ROW()-8)))</f>
        <v/>
      </c>
    </row>
    <row r="85" customFormat="false" ht="15" hidden="false" customHeight="true" outlineLevel="0" collapsed="false">
      <c r="A85" s="148" t="str">
        <f aca="false">IF($M85="","",INDEX(LEDGER_ENGINE!$B$2:$B$546,$M85))</f>
        <v/>
      </c>
      <c r="B85" s="149" t="str">
        <f aca="false">IF($M85="","",INDEX(LEDGER_ENGINE!$C$2:$C$546,$M85))</f>
        <v/>
      </c>
      <c r="C85" s="149" t="str">
        <f aca="false">IF($M85="","",INDEX(LEDGER_ENGINE!$G$2:$G$546,$M85))</f>
        <v/>
      </c>
      <c r="D85" s="149" t="str">
        <f aca="false">IF($M85="","",INDEX(LEDGER_ENGINE!$H$2:$H$546,$M85))</f>
        <v/>
      </c>
      <c r="E85" s="150" t="str">
        <f aca="false">IF($M85="","",INDEX(LEDGER_ENGINE!$I$2:$I$546,$M85))</f>
        <v/>
      </c>
      <c r="G85" s="148" t="str">
        <f aca="false">IF($N85="","",INDEX(LEDGER_ENGINE!$B$2:$B$546,$N85))</f>
        <v/>
      </c>
      <c r="H85" s="149" t="str">
        <f aca="false">IF($N85="","",INDEX(LEDGER_ENGINE!$C$2:$C$546,$N85))</f>
        <v/>
      </c>
      <c r="I85" s="149" t="str">
        <f aca="false">IF($N85="","",INDEX(LEDGER_ENGINE!$G$2:$G$546,$N85))</f>
        <v/>
      </c>
      <c r="J85" s="149" t="str">
        <f aca="false">IFERROR(IF($N85="","",INDEX(LEDGER_ENGINE!$H$2:$H$546,$N85)),"")</f>
        <v/>
      </c>
      <c r="K85" s="150" t="str">
        <f aca="false">IF($N85="","",INDEX(LEDGER_ENGINE!$J$2:$J$546,$N85))</f>
        <v/>
      </c>
      <c r="M85" s="101" t="str">
        <f aca="false">IF(SUMIFS(LEDGER_ENGINE!$A$2:$A$546,LEDGER_ENGINE!$R$2:$R$546,$B$4&amp;"|"&amp;(ROW()-8))=0,"",SUMIFS(LEDGER_ENGINE!$A$2:$A$546,LEDGER_ENGINE!$R$2:$R$546,$B$4&amp;"|"&amp;(ROW()-8)))</f>
        <v/>
      </c>
      <c r="N85" s="101" t="str">
        <f aca="false">IF(SUMIFS(LEDGER_ENGINE!$A$2:$A$546,LEDGER_ENGINE!$S$2:$S$546,$B$4&amp;"|"&amp;(ROW()-8))=0,"",SUMIFS(LEDGER_ENGINE!$A$2:$A$546,LEDGER_ENGINE!$S$2:$S$546,$B$4&amp;"|"&amp;(ROW()-8)))</f>
        <v/>
      </c>
    </row>
    <row r="86" customFormat="false" ht="15" hidden="false" customHeight="true" outlineLevel="0" collapsed="false">
      <c r="A86" s="148" t="str">
        <f aca="false">IF($M86="","",INDEX(LEDGER_ENGINE!$B$2:$B$546,$M86))</f>
        <v/>
      </c>
      <c r="B86" s="149" t="str">
        <f aca="false">IF($M86="","",INDEX(LEDGER_ENGINE!$C$2:$C$546,$M86))</f>
        <v/>
      </c>
      <c r="C86" s="149" t="str">
        <f aca="false">IF($M86="","",INDEX(LEDGER_ENGINE!$G$2:$G$546,$M86))</f>
        <v/>
      </c>
      <c r="D86" s="149" t="str">
        <f aca="false">IF($M86="","",INDEX(LEDGER_ENGINE!$H$2:$H$546,$M86))</f>
        <v/>
      </c>
      <c r="E86" s="150" t="str">
        <f aca="false">IF($M86="","",INDEX(LEDGER_ENGINE!$I$2:$I$546,$M86))</f>
        <v/>
      </c>
      <c r="G86" s="148" t="str">
        <f aca="false">IF($N86="","",INDEX(LEDGER_ENGINE!$B$2:$B$546,$N86))</f>
        <v/>
      </c>
      <c r="H86" s="149" t="str">
        <f aca="false">IF($N86="","",INDEX(LEDGER_ENGINE!$C$2:$C$546,$N86))</f>
        <v/>
      </c>
      <c r="I86" s="149" t="str">
        <f aca="false">IF($N86="","",INDEX(LEDGER_ENGINE!$G$2:$G$546,$N86))</f>
        <v/>
      </c>
      <c r="J86" s="149" t="str">
        <f aca="false">IFERROR(IF($N86="","",INDEX(LEDGER_ENGINE!$H$2:$H$546,$N86)),"")</f>
        <v/>
      </c>
      <c r="K86" s="150" t="str">
        <f aca="false">IF($N86="","",INDEX(LEDGER_ENGINE!$J$2:$J$546,$N86))</f>
        <v/>
      </c>
      <c r="M86" s="101" t="str">
        <f aca="false">IF(SUMIFS(LEDGER_ENGINE!$A$2:$A$546,LEDGER_ENGINE!$R$2:$R$546,$B$4&amp;"|"&amp;(ROW()-8))=0,"",SUMIFS(LEDGER_ENGINE!$A$2:$A$546,LEDGER_ENGINE!$R$2:$R$546,$B$4&amp;"|"&amp;(ROW()-8)))</f>
        <v/>
      </c>
      <c r="N86" s="101" t="str">
        <f aca="false">IF(SUMIFS(LEDGER_ENGINE!$A$2:$A$546,LEDGER_ENGINE!$S$2:$S$546,$B$4&amp;"|"&amp;(ROW()-8))=0,"",SUMIFS(LEDGER_ENGINE!$A$2:$A$546,LEDGER_ENGINE!$S$2:$S$546,$B$4&amp;"|"&amp;(ROW()-8)))</f>
        <v/>
      </c>
    </row>
    <row r="87" customFormat="false" ht="15" hidden="false" customHeight="true" outlineLevel="0" collapsed="false">
      <c r="A87" s="148" t="str">
        <f aca="false">IF($M87="","",INDEX(LEDGER_ENGINE!$B$2:$B$546,$M87))</f>
        <v/>
      </c>
      <c r="B87" s="149" t="str">
        <f aca="false">IF($M87="","",INDEX(LEDGER_ENGINE!$C$2:$C$546,$M87))</f>
        <v/>
      </c>
      <c r="C87" s="149" t="str">
        <f aca="false">IF($M87="","",INDEX(LEDGER_ENGINE!$G$2:$G$546,$M87))</f>
        <v/>
      </c>
      <c r="D87" s="149" t="str">
        <f aca="false">IF($M87="","",INDEX(LEDGER_ENGINE!$H$2:$H$546,$M87))</f>
        <v/>
      </c>
      <c r="E87" s="150" t="str">
        <f aca="false">IF($M87="","",INDEX(LEDGER_ENGINE!$I$2:$I$546,$M87))</f>
        <v/>
      </c>
      <c r="G87" s="148" t="str">
        <f aca="false">IF($N87="","",INDEX(LEDGER_ENGINE!$B$2:$B$546,$N87))</f>
        <v/>
      </c>
      <c r="H87" s="149" t="str">
        <f aca="false">IF($N87="","",INDEX(LEDGER_ENGINE!$C$2:$C$546,$N87))</f>
        <v/>
      </c>
      <c r="I87" s="149" t="str">
        <f aca="false">IF($N87="","",INDEX(LEDGER_ENGINE!$G$2:$G$546,$N87))</f>
        <v/>
      </c>
      <c r="J87" s="149" t="str">
        <f aca="false">IFERROR(IF($N87="","",INDEX(LEDGER_ENGINE!$H$2:$H$546,$N87)),"")</f>
        <v/>
      </c>
      <c r="K87" s="150" t="str">
        <f aca="false">IF($N87="","",INDEX(LEDGER_ENGINE!$J$2:$J$546,$N87))</f>
        <v/>
      </c>
      <c r="M87" s="101" t="str">
        <f aca="false">IF(SUMIFS(LEDGER_ENGINE!$A$2:$A$546,LEDGER_ENGINE!$R$2:$R$546,$B$4&amp;"|"&amp;(ROW()-8))=0,"",SUMIFS(LEDGER_ENGINE!$A$2:$A$546,LEDGER_ENGINE!$R$2:$R$546,$B$4&amp;"|"&amp;(ROW()-8)))</f>
        <v/>
      </c>
      <c r="N87" s="101" t="str">
        <f aca="false">IF(SUMIFS(LEDGER_ENGINE!$A$2:$A$546,LEDGER_ENGINE!$S$2:$S$546,$B$4&amp;"|"&amp;(ROW()-8))=0,"",SUMIFS(LEDGER_ENGINE!$A$2:$A$546,LEDGER_ENGINE!$S$2:$S$546,$B$4&amp;"|"&amp;(ROW()-8)))</f>
        <v/>
      </c>
    </row>
    <row r="88" customFormat="false" ht="15" hidden="false" customHeight="true" outlineLevel="0" collapsed="false">
      <c r="A88" s="148" t="str">
        <f aca="false">IF($M88="","",INDEX(LEDGER_ENGINE!$B$2:$B$546,$M88))</f>
        <v/>
      </c>
      <c r="B88" s="149" t="str">
        <f aca="false">IF($M88="","",INDEX(LEDGER_ENGINE!$C$2:$C$546,$M88))</f>
        <v/>
      </c>
      <c r="C88" s="149" t="str">
        <f aca="false">IF($M88="","",INDEX(LEDGER_ENGINE!$G$2:$G$546,$M88))</f>
        <v/>
      </c>
      <c r="D88" s="149" t="str">
        <f aca="false">IF($M88="","",INDEX(LEDGER_ENGINE!$H$2:$H$546,$M88))</f>
        <v/>
      </c>
      <c r="E88" s="150" t="str">
        <f aca="false">IF($M88="","",INDEX(LEDGER_ENGINE!$I$2:$I$546,$M88))</f>
        <v/>
      </c>
      <c r="G88" s="148" t="str">
        <f aca="false">IF($N88="","",INDEX(LEDGER_ENGINE!$B$2:$B$546,$N88))</f>
        <v/>
      </c>
      <c r="H88" s="149" t="str">
        <f aca="false">IF($N88="","",INDEX(LEDGER_ENGINE!$C$2:$C$546,$N88))</f>
        <v/>
      </c>
      <c r="I88" s="149" t="str">
        <f aca="false">IF($N88="","",INDEX(LEDGER_ENGINE!$G$2:$G$546,$N88))</f>
        <v/>
      </c>
      <c r="J88" s="149" t="str">
        <f aca="false">IFERROR(IF($N88="","",INDEX(LEDGER_ENGINE!$H$2:$H$546,$N88)),"")</f>
        <v/>
      </c>
      <c r="K88" s="150" t="str">
        <f aca="false">IF($N88="","",INDEX(LEDGER_ENGINE!$J$2:$J$546,$N88))</f>
        <v/>
      </c>
      <c r="M88" s="101" t="str">
        <f aca="false">IF(SUMIFS(LEDGER_ENGINE!$A$2:$A$546,LEDGER_ENGINE!$R$2:$R$546,$B$4&amp;"|"&amp;(ROW()-8))=0,"",SUMIFS(LEDGER_ENGINE!$A$2:$A$546,LEDGER_ENGINE!$R$2:$R$546,$B$4&amp;"|"&amp;(ROW()-8)))</f>
        <v/>
      </c>
      <c r="N88" s="101" t="str">
        <f aca="false">IF(SUMIFS(LEDGER_ENGINE!$A$2:$A$546,LEDGER_ENGINE!$S$2:$S$546,$B$4&amp;"|"&amp;(ROW()-8))=0,"",SUMIFS(LEDGER_ENGINE!$A$2:$A$546,LEDGER_ENGINE!$S$2:$S$546,$B$4&amp;"|"&amp;(ROW()-8)))</f>
        <v/>
      </c>
    </row>
    <row r="89" customFormat="false" ht="15" hidden="false" customHeight="true" outlineLevel="0" collapsed="false">
      <c r="A89" s="148" t="str">
        <f aca="false">IF($M89="","",INDEX(LEDGER_ENGINE!$B$2:$B$546,$M89))</f>
        <v/>
      </c>
      <c r="B89" s="149" t="str">
        <f aca="false">IF($M89="","",INDEX(LEDGER_ENGINE!$C$2:$C$546,$M89))</f>
        <v/>
      </c>
      <c r="C89" s="149" t="str">
        <f aca="false">IF($M89="","",INDEX(LEDGER_ENGINE!$G$2:$G$546,$M89))</f>
        <v/>
      </c>
      <c r="D89" s="149" t="str">
        <f aca="false">IF($M89="","",INDEX(LEDGER_ENGINE!$H$2:$H$546,$M89))</f>
        <v/>
      </c>
      <c r="E89" s="150" t="str">
        <f aca="false">IF($M89="","",INDEX(LEDGER_ENGINE!$I$2:$I$546,$M89))</f>
        <v/>
      </c>
      <c r="G89" s="148" t="str">
        <f aca="false">IF($N89="","",INDEX(LEDGER_ENGINE!$B$2:$B$546,$N89))</f>
        <v/>
      </c>
      <c r="H89" s="149" t="str">
        <f aca="false">IF($N89="","",INDEX(LEDGER_ENGINE!$C$2:$C$546,$N89))</f>
        <v/>
      </c>
      <c r="I89" s="149" t="str">
        <f aca="false">IF($N89="","",INDEX(LEDGER_ENGINE!$G$2:$G$546,$N89))</f>
        <v/>
      </c>
      <c r="J89" s="149" t="str">
        <f aca="false">IFERROR(IF($N89="","",INDEX(LEDGER_ENGINE!$H$2:$H$546,$N89)),"")</f>
        <v/>
      </c>
      <c r="K89" s="150" t="str">
        <f aca="false">IF($N89="","",INDEX(LEDGER_ENGINE!$J$2:$J$546,$N89))</f>
        <v/>
      </c>
      <c r="M89" s="101" t="str">
        <f aca="false">IF(SUMIFS(LEDGER_ENGINE!$A$2:$A$546,LEDGER_ENGINE!$R$2:$R$546,$B$4&amp;"|"&amp;(ROW()-8))=0,"",SUMIFS(LEDGER_ENGINE!$A$2:$A$546,LEDGER_ENGINE!$R$2:$R$546,$B$4&amp;"|"&amp;(ROW()-8)))</f>
        <v/>
      </c>
      <c r="N89" s="101" t="str">
        <f aca="false">IF(SUMIFS(LEDGER_ENGINE!$A$2:$A$546,LEDGER_ENGINE!$S$2:$S$546,$B$4&amp;"|"&amp;(ROW()-8))=0,"",SUMIFS(LEDGER_ENGINE!$A$2:$A$546,LEDGER_ENGINE!$S$2:$S$546,$B$4&amp;"|"&amp;(ROW()-8)))</f>
        <v/>
      </c>
    </row>
    <row r="90" customFormat="false" ht="15" hidden="false" customHeight="true" outlineLevel="0" collapsed="false">
      <c r="A90" s="148" t="str">
        <f aca="false">IF($M90="","",INDEX(LEDGER_ENGINE!$B$2:$B$546,$M90))</f>
        <v/>
      </c>
      <c r="B90" s="149" t="str">
        <f aca="false">IF($M90="","",INDEX(LEDGER_ENGINE!$C$2:$C$546,$M90))</f>
        <v/>
      </c>
      <c r="C90" s="149" t="str">
        <f aca="false">IF($M90="","",INDEX(LEDGER_ENGINE!$G$2:$G$546,$M90))</f>
        <v/>
      </c>
      <c r="D90" s="149" t="str">
        <f aca="false">IF($M90="","",INDEX(LEDGER_ENGINE!$H$2:$H$546,$M90))</f>
        <v/>
      </c>
      <c r="E90" s="150" t="str">
        <f aca="false">IF($M90="","",INDEX(LEDGER_ENGINE!$I$2:$I$546,$M90))</f>
        <v/>
      </c>
      <c r="G90" s="148" t="str">
        <f aca="false">IF($N90="","",INDEX(LEDGER_ENGINE!$B$2:$B$546,$N90))</f>
        <v/>
      </c>
      <c r="H90" s="149" t="str">
        <f aca="false">IF($N90="","",INDEX(LEDGER_ENGINE!$C$2:$C$546,$N90))</f>
        <v/>
      </c>
      <c r="I90" s="149" t="str">
        <f aca="false">IF($N90="","",INDEX(LEDGER_ENGINE!$G$2:$G$546,$N90))</f>
        <v/>
      </c>
      <c r="J90" s="149" t="str">
        <f aca="false">IFERROR(IF($N90="","",INDEX(LEDGER_ENGINE!$H$2:$H$546,$N90)),"")</f>
        <v/>
      </c>
      <c r="K90" s="150" t="str">
        <f aca="false">IF($N90="","",INDEX(LEDGER_ENGINE!$J$2:$J$546,$N90))</f>
        <v/>
      </c>
      <c r="M90" s="101" t="str">
        <f aca="false">IF(SUMIFS(LEDGER_ENGINE!$A$2:$A$546,LEDGER_ENGINE!$R$2:$R$546,$B$4&amp;"|"&amp;(ROW()-8))=0,"",SUMIFS(LEDGER_ENGINE!$A$2:$A$546,LEDGER_ENGINE!$R$2:$R$546,$B$4&amp;"|"&amp;(ROW()-8)))</f>
        <v/>
      </c>
      <c r="N90" s="101" t="str">
        <f aca="false">IF(SUMIFS(LEDGER_ENGINE!$A$2:$A$546,LEDGER_ENGINE!$S$2:$S$546,$B$4&amp;"|"&amp;(ROW()-8))=0,"",SUMIFS(LEDGER_ENGINE!$A$2:$A$546,LEDGER_ENGINE!$S$2:$S$546,$B$4&amp;"|"&amp;(ROW()-8)))</f>
        <v/>
      </c>
    </row>
    <row r="91" customFormat="false" ht="15" hidden="false" customHeight="true" outlineLevel="0" collapsed="false">
      <c r="A91" s="148" t="str">
        <f aca="false">IF($M91="","",INDEX(LEDGER_ENGINE!$B$2:$B$546,$M91))</f>
        <v/>
      </c>
      <c r="B91" s="149" t="str">
        <f aca="false">IF($M91="","",INDEX(LEDGER_ENGINE!$C$2:$C$546,$M91))</f>
        <v/>
      </c>
      <c r="C91" s="149" t="str">
        <f aca="false">IF($M91="","",INDEX(LEDGER_ENGINE!$G$2:$G$546,$M91))</f>
        <v/>
      </c>
      <c r="D91" s="149" t="str">
        <f aca="false">IF($M91="","",INDEX(LEDGER_ENGINE!$H$2:$H$546,$M91))</f>
        <v/>
      </c>
      <c r="E91" s="150" t="str">
        <f aca="false">IF($M91="","",INDEX(LEDGER_ENGINE!$I$2:$I$546,$M91))</f>
        <v/>
      </c>
      <c r="G91" s="148" t="str">
        <f aca="false">IF($N91="","",INDEX(LEDGER_ENGINE!$B$2:$B$546,$N91))</f>
        <v/>
      </c>
      <c r="H91" s="149" t="str">
        <f aca="false">IF($N91="","",INDEX(LEDGER_ENGINE!$C$2:$C$546,$N91))</f>
        <v/>
      </c>
      <c r="I91" s="149" t="str">
        <f aca="false">IF($N91="","",INDEX(LEDGER_ENGINE!$G$2:$G$546,$N91))</f>
        <v/>
      </c>
      <c r="J91" s="149" t="str">
        <f aca="false">IFERROR(IF($N91="","",INDEX(LEDGER_ENGINE!$H$2:$H$546,$N91)),"")</f>
        <v/>
      </c>
      <c r="K91" s="150" t="str">
        <f aca="false">IF($N91="","",INDEX(LEDGER_ENGINE!$J$2:$J$546,$N91))</f>
        <v/>
      </c>
      <c r="M91" s="101" t="str">
        <f aca="false">IF(SUMIFS(LEDGER_ENGINE!$A$2:$A$546,LEDGER_ENGINE!$R$2:$R$546,$B$4&amp;"|"&amp;(ROW()-8))=0,"",SUMIFS(LEDGER_ENGINE!$A$2:$A$546,LEDGER_ENGINE!$R$2:$R$546,$B$4&amp;"|"&amp;(ROW()-8)))</f>
        <v/>
      </c>
      <c r="N91" s="101" t="str">
        <f aca="false">IF(SUMIFS(LEDGER_ENGINE!$A$2:$A$546,LEDGER_ENGINE!$S$2:$S$546,$B$4&amp;"|"&amp;(ROW()-8))=0,"",SUMIFS(LEDGER_ENGINE!$A$2:$A$546,LEDGER_ENGINE!$S$2:$S$546,$B$4&amp;"|"&amp;(ROW()-8)))</f>
        <v/>
      </c>
    </row>
    <row r="92" customFormat="false" ht="15" hidden="false" customHeight="true" outlineLevel="0" collapsed="false">
      <c r="A92" s="148" t="str">
        <f aca="false">IF($M92="","",INDEX(LEDGER_ENGINE!$B$2:$B$546,$M92))</f>
        <v/>
      </c>
      <c r="B92" s="149" t="str">
        <f aca="false">IF($M92="","",INDEX(LEDGER_ENGINE!$C$2:$C$546,$M92))</f>
        <v/>
      </c>
      <c r="C92" s="149" t="str">
        <f aca="false">IF($M92="","",INDEX(LEDGER_ENGINE!$G$2:$G$546,$M92))</f>
        <v/>
      </c>
      <c r="D92" s="149" t="str">
        <f aca="false">IF($M92="","",INDEX(LEDGER_ENGINE!$H$2:$H$546,$M92))</f>
        <v/>
      </c>
      <c r="E92" s="150" t="str">
        <f aca="false">IF($M92="","",INDEX(LEDGER_ENGINE!$I$2:$I$546,$M92))</f>
        <v/>
      </c>
      <c r="G92" s="148" t="str">
        <f aca="false">IF($N92="","",INDEX(LEDGER_ENGINE!$B$2:$B$546,$N92))</f>
        <v/>
      </c>
      <c r="H92" s="149" t="str">
        <f aca="false">IF($N92="","",INDEX(LEDGER_ENGINE!$C$2:$C$546,$N92))</f>
        <v/>
      </c>
      <c r="I92" s="149" t="str">
        <f aca="false">IF($N92="","",INDEX(LEDGER_ENGINE!$G$2:$G$546,$N92))</f>
        <v/>
      </c>
      <c r="J92" s="149" t="str">
        <f aca="false">IFERROR(IF($N92="","",INDEX(LEDGER_ENGINE!$H$2:$H$546,$N92)),"")</f>
        <v/>
      </c>
      <c r="K92" s="150" t="str">
        <f aca="false">IF($N92="","",INDEX(LEDGER_ENGINE!$J$2:$J$546,$N92))</f>
        <v/>
      </c>
      <c r="M92" s="101" t="str">
        <f aca="false">IF(SUMIFS(LEDGER_ENGINE!$A$2:$A$546,LEDGER_ENGINE!$R$2:$R$546,$B$4&amp;"|"&amp;(ROW()-8))=0,"",SUMIFS(LEDGER_ENGINE!$A$2:$A$546,LEDGER_ENGINE!$R$2:$R$546,$B$4&amp;"|"&amp;(ROW()-8)))</f>
        <v/>
      </c>
      <c r="N92" s="101" t="str">
        <f aca="false">IF(SUMIFS(LEDGER_ENGINE!$A$2:$A$546,LEDGER_ENGINE!$S$2:$S$546,$B$4&amp;"|"&amp;(ROW()-8))=0,"",SUMIFS(LEDGER_ENGINE!$A$2:$A$546,LEDGER_ENGINE!$S$2:$S$546,$B$4&amp;"|"&amp;(ROW()-8)))</f>
        <v/>
      </c>
    </row>
    <row r="93" customFormat="false" ht="15" hidden="false" customHeight="true" outlineLevel="0" collapsed="false">
      <c r="A93" s="148" t="str">
        <f aca="false">IF($M93="","",INDEX(LEDGER_ENGINE!$B$2:$B$546,$M93))</f>
        <v/>
      </c>
      <c r="B93" s="149" t="str">
        <f aca="false">IF($M93="","",INDEX(LEDGER_ENGINE!$C$2:$C$546,$M93))</f>
        <v/>
      </c>
      <c r="C93" s="149" t="str">
        <f aca="false">IF($M93="","",INDEX(LEDGER_ENGINE!$G$2:$G$546,$M93))</f>
        <v/>
      </c>
      <c r="D93" s="149" t="str">
        <f aca="false">IF($M93="","",INDEX(LEDGER_ENGINE!$H$2:$H$546,$M93))</f>
        <v/>
      </c>
      <c r="E93" s="150" t="str">
        <f aca="false">IF($M93="","",INDEX(LEDGER_ENGINE!$I$2:$I$546,$M93))</f>
        <v/>
      </c>
      <c r="G93" s="148" t="str">
        <f aca="false">IF($N93="","",INDEX(LEDGER_ENGINE!$B$2:$B$546,$N93))</f>
        <v/>
      </c>
      <c r="H93" s="149" t="str">
        <f aca="false">IF($N93="","",INDEX(LEDGER_ENGINE!$C$2:$C$546,$N93))</f>
        <v/>
      </c>
      <c r="I93" s="149" t="str">
        <f aca="false">IF($N93="","",INDEX(LEDGER_ENGINE!$G$2:$G$546,$N93))</f>
        <v/>
      </c>
      <c r="J93" s="149" t="str">
        <f aca="false">IFERROR(IF($N93="","",INDEX(LEDGER_ENGINE!$H$2:$H$546,$N93)),"")</f>
        <v/>
      </c>
      <c r="K93" s="150" t="str">
        <f aca="false">IF($N93="","",INDEX(LEDGER_ENGINE!$J$2:$J$546,$N93))</f>
        <v/>
      </c>
      <c r="M93" s="101" t="str">
        <f aca="false">IF(SUMIFS(LEDGER_ENGINE!$A$2:$A$546,LEDGER_ENGINE!$R$2:$R$546,$B$4&amp;"|"&amp;(ROW()-8))=0,"",SUMIFS(LEDGER_ENGINE!$A$2:$A$546,LEDGER_ENGINE!$R$2:$R$546,$B$4&amp;"|"&amp;(ROW()-8)))</f>
        <v/>
      </c>
      <c r="N93" s="101" t="str">
        <f aca="false">IF(SUMIFS(LEDGER_ENGINE!$A$2:$A$546,LEDGER_ENGINE!$S$2:$S$546,$B$4&amp;"|"&amp;(ROW()-8))=0,"",SUMIFS(LEDGER_ENGINE!$A$2:$A$546,LEDGER_ENGINE!$S$2:$S$546,$B$4&amp;"|"&amp;(ROW()-8)))</f>
        <v/>
      </c>
    </row>
    <row r="94" customFormat="false" ht="15" hidden="false" customHeight="true" outlineLevel="0" collapsed="false">
      <c r="A94" s="148" t="str">
        <f aca="false">IF($M94="","",INDEX(LEDGER_ENGINE!$B$2:$B$546,$M94))</f>
        <v/>
      </c>
      <c r="B94" s="149" t="str">
        <f aca="false">IF($M94="","",INDEX(LEDGER_ENGINE!$C$2:$C$546,$M94))</f>
        <v/>
      </c>
      <c r="C94" s="149" t="str">
        <f aca="false">IF($M94="","",INDEX(LEDGER_ENGINE!$G$2:$G$546,$M94))</f>
        <v/>
      </c>
      <c r="D94" s="149" t="str">
        <f aca="false">IF($M94="","",INDEX(LEDGER_ENGINE!$H$2:$H$546,$M94))</f>
        <v/>
      </c>
      <c r="E94" s="150" t="str">
        <f aca="false">IF($M94="","",INDEX(LEDGER_ENGINE!$I$2:$I$546,$M94))</f>
        <v/>
      </c>
      <c r="G94" s="148" t="str">
        <f aca="false">IF($N94="","",INDEX(LEDGER_ENGINE!$B$2:$B$546,$N94))</f>
        <v/>
      </c>
      <c r="H94" s="149" t="str">
        <f aca="false">IF($N94="","",INDEX(LEDGER_ENGINE!$C$2:$C$546,$N94))</f>
        <v/>
      </c>
      <c r="I94" s="149" t="str">
        <f aca="false">IF($N94="","",INDEX(LEDGER_ENGINE!$G$2:$G$546,$N94))</f>
        <v/>
      </c>
      <c r="J94" s="149" t="str">
        <f aca="false">IFERROR(IF($N94="","",INDEX(LEDGER_ENGINE!$H$2:$H$546,$N94)),"")</f>
        <v/>
      </c>
      <c r="K94" s="150" t="str">
        <f aca="false">IF($N94="","",INDEX(LEDGER_ENGINE!$J$2:$J$546,$N94))</f>
        <v/>
      </c>
      <c r="M94" s="101" t="str">
        <f aca="false">IF(SUMIFS(LEDGER_ENGINE!$A$2:$A$546,LEDGER_ENGINE!$R$2:$R$546,$B$4&amp;"|"&amp;(ROW()-8))=0,"",SUMIFS(LEDGER_ENGINE!$A$2:$A$546,LEDGER_ENGINE!$R$2:$R$546,$B$4&amp;"|"&amp;(ROW()-8)))</f>
        <v/>
      </c>
      <c r="N94" s="101" t="str">
        <f aca="false">IF(SUMIFS(LEDGER_ENGINE!$A$2:$A$546,LEDGER_ENGINE!$S$2:$S$546,$B$4&amp;"|"&amp;(ROW()-8))=0,"",SUMIFS(LEDGER_ENGINE!$A$2:$A$546,LEDGER_ENGINE!$S$2:$S$546,$B$4&amp;"|"&amp;(ROW()-8)))</f>
        <v/>
      </c>
    </row>
    <row r="95" customFormat="false" ht="15" hidden="false" customHeight="true" outlineLevel="0" collapsed="false">
      <c r="A95" s="148" t="str">
        <f aca="false">IF($M95="","",INDEX(LEDGER_ENGINE!$B$2:$B$546,$M95))</f>
        <v/>
      </c>
      <c r="B95" s="149" t="str">
        <f aca="false">IF($M95="","",INDEX(LEDGER_ENGINE!$C$2:$C$546,$M95))</f>
        <v/>
      </c>
      <c r="C95" s="149" t="str">
        <f aca="false">IF($M95="","",INDEX(LEDGER_ENGINE!$G$2:$G$546,$M95))</f>
        <v/>
      </c>
      <c r="D95" s="149" t="str">
        <f aca="false">IF($M95="","",INDEX(LEDGER_ENGINE!$H$2:$H$546,$M95))</f>
        <v/>
      </c>
      <c r="E95" s="150" t="str">
        <f aca="false">IF($M95="","",INDEX(LEDGER_ENGINE!$I$2:$I$546,$M95))</f>
        <v/>
      </c>
      <c r="G95" s="148" t="str">
        <f aca="false">IF($N95="","",INDEX(LEDGER_ENGINE!$B$2:$B$546,$N95))</f>
        <v/>
      </c>
      <c r="H95" s="149" t="str">
        <f aca="false">IF($N95="","",INDEX(LEDGER_ENGINE!$C$2:$C$546,$N95))</f>
        <v/>
      </c>
      <c r="I95" s="149" t="str">
        <f aca="false">IF($N95="","",INDEX(LEDGER_ENGINE!$G$2:$G$546,$N95))</f>
        <v/>
      </c>
      <c r="J95" s="149" t="str">
        <f aca="false">IFERROR(IF($N95="","",INDEX(LEDGER_ENGINE!$H$2:$H$546,$N95)),"")</f>
        <v/>
      </c>
      <c r="K95" s="150" t="str">
        <f aca="false">IF($N95="","",INDEX(LEDGER_ENGINE!$J$2:$J$546,$N95))</f>
        <v/>
      </c>
      <c r="M95" s="101" t="str">
        <f aca="false">IF(SUMIFS(LEDGER_ENGINE!$A$2:$A$546,LEDGER_ENGINE!$R$2:$R$546,$B$4&amp;"|"&amp;(ROW()-8))=0,"",SUMIFS(LEDGER_ENGINE!$A$2:$A$546,LEDGER_ENGINE!$R$2:$R$546,$B$4&amp;"|"&amp;(ROW()-8)))</f>
        <v/>
      </c>
      <c r="N95" s="101" t="str">
        <f aca="false">IF(SUMIFS(LEDGER_ENGINE!$A$2:$A$546,LEDGER_ENGINE!$S$2:$S$546,$B$4&amp;"|"&amp;(ROW()-8))=0,"",SUMIFS(LEDGER_ENGINE!$A$2:$A$546,LEDGER_ENGINE!$S$2:$S$546,$B$4&amp;"|"&amp;(ROW()-8)))</f>
        <v/>
      </c>
    </row>
    <row r="96" customFormat="false" ht="15" hidden="false" customHeight="true" outlineLevel="0" collapsed="false">
      <c r="A96" s="148" t="str">
        <f aca="false">IF($M96="","",INDEX(LEDGER_ENGINE!$B$2:$B$546,$M96))</f>
        <v/>
      </c>
      <c r="B96" s="149" t="str">
        <f aca="false">IF($M96="","",INDEX(LEDGER_ENGINE!$C$2:$C$546,$M96))</f>
        <v/>
      </c>
      <c r="C96" s="149" t="str">
        <f aca="false">IF($M96="","",INDEX(LEDGER_ENGINE!$G$2:$G$546,$M96))</f>
        <v/>
      </c>
      <c r="D96" s="149" t="str">
        <f aca="false">IF($M96="","",INDEX(LEDGER_ENGINE!$H$2:$H$546,$M96))</f>
        <v/>
      </c>
      <c r="E96" s="150" t="str">
        <f aca="false">IF($M96="","",INDEX(LEDGER_ENGINE!$I$2:$I$546,$M96))</f>
        <v/>
      </c>
      <c r="G96" s="148" t="str">
        <f aca="false">IF($N96="","",INDEX(LEDGER_ENGINE!$B$2:$B$546,$N96))</f>
        <v/>
      </c>
      <c r="H96" s="149" t="str">
        <f aca="false">IF($N96="","",INDEX(LEDGER_ENGINE!$C$2:$C$546,$N96))</f>
        <v/>
      </c>
      <c r="I96" s="149" t="str">
        <f aca="false">IF($N96="","",INDEX(LEDGER_ENGINE!$G$2:$G$546,$N96))</f>
        <v/>
      </c>
      <c r="J96" s="149" t="str">
        <f aca="false">IFERROR(IF($N96="","",INDEX(LEDGER_ENGINE!$H$2:$H$546,$N96)),"")</f>
        <v/>
      </c>
      <c r="K96" s="150" t="str">
        <f aca="false">IF($N96="","",INDEX(LEDGER_ENGINE!$J$2:$J$546,$N96))</f>
        <v/>
      </c>
      <c r="M96" s="101" t="str">
        <f aca="false">IF(SUMIFS(LEDGER_ENGINE!$A$2:$A$546,LEDGER_ENGINE!$R$2:$R$546,$B$4&amp;"|"&amp;(ROW()-8))=0,"",SUMIFS(LEDGER_ENGINE!$A$2:$A$546,LEDGER_ENGINE!$R$2:$R$546,$B$4&amp;"|"&amp;(ROW()-8)))</f>
        <v/>
      </c>
      <c r="N96" s="101" t="str">
        <f aca="false">IF(SUMIFS(LEDGER_ENGINE!$A$2:$A$546,LEDGER_ENGINE!$S$2:$S$546,$B$4&amp;"|"&amp;(ROW()-8))=0,"",SUMIFS(LEDGER_ENGINE!$A$2:$A$546,LEDGER_ENGINE!$S$2:$S$546,$B$4&amp;"|"&amp;(ROW()-8)))</f>
        <v/>
      </c>
    </row>
    <row r="97" customFormat="false" ht="15" hidden="false" customHeight="true" outlineLevel="0" collapsed="false">
      <c r="A97" s="148" t="str">
        <f aca="false">IF($M97="","",INDEX(LEDGER_ENGINE!$B$2:$B$546,$M97))</f>
        <v/>
      </c>
      <c r="B97" s="149" t="str">
        <f aca="false">IF($M97="","",INDEX(LEDGER_ENGINE!$C$2:$C$546,$M97))</f>
        <v/>
      </c>
      <c r="C97" s="149" t="str">
        <f aca="false">IF($M97="","",INDEX(LEDGER_ENGINE!$G$2:$G$546,$M97))</f>
        <v/>
      </c>
      <c r="D97" s="149" t="str">
        <f aca="false">IF($M97="","",INDEX(LEDGER_ENGINE!$H$2:$H$546,$M97))</f>
        <v/>
      </c>
      <c r="E97" s="150" t="str">
        <f aca="false">IF($M97="","",INDEX(LEDGER_ENGINE!$I$2:$I$546,$M97))</f>
        <v/>
      </c>
      <c r="G97" s="148" t="str">
        <f aca="false">IF($N97="","",INDEX(LEDGER_ENGINE!$B$2:$B$546,$N97))</f>
        <v/>
      </c>
      <c r="H97" s="149" t="str">
        <f aca="false">IF($N97="","",INDEX(LEDGER_ENGINE!$C$2:$C$546,$N97))</f>
        <v/>
      </c>
      <c r="I97" s="149" t="str">
        <f aca="false">IF($N97="","",INDEX(LEDGER_ENGINE!$G$2:$G$546,$N97))</f>
        <v/>
      </c>
      <c r="J97" s="149" t="str">
        <f aca="false">IFERROR(IF($N97="","",INDEX(LEDGER_ENGINE!$H$2:$H$546,$N97)),"")</f>
        <v/>
      </c>
      <c r="K97" s="150" t="str">
        <f aca="false">IF($N97="","",INDEX(LEDGER_ENGINE!$J$2:$J$546,$N97))</f>
        <v/>
      </c>
      <c r="M97" s="101" t="str">
        <f aca="false">IF(SUMIFS(LEDGER_ENGINE!$A$2:$A$546,LEDGER_ENGINE!$R$2:$R$546,$B$4&amp;"|"&amp;(ROW()-8))=0,"",SUMIFS(LEDGER_ENGINE!$A$2:$A$546,LEDGER_ENGINE!$R$2:$R$546,$B$4&amp;"|"&amp;(ROW()-8)))</f>
        <v/>
      </c>
      <c r="N97" s="101" t="str">
        <f aca="false">IF(SUMIFS(LEDGER_ENGINE!$A$2:$A$546,LEDGER_ENGINE!$S$2:$S$546,$B$4&amp;"|"&amp;(ROW()-8))=0,"",SUMIFS(LEDGER_ENGINE!$A$2:$A$546,LEDGER_ENGINE!$S$2:$S$546,$B$4&amp;"|"&amp;(ROW()-8)))</f>
        <v/>
      </c>
    </row>
    <row r="98" customFormat="false" ht="15" hidden="false" customHeight="true" outlineLevel="0" collapsed="false">
      <c r="A98" s="148" t="str">
        <f aca="false">IF($M98="","",INDEX(LEDGER_ENGINE!$B$2:$B$546,$M98))</f>
        <v/>
      </c>
      <c r="B98" s="149" t="str">
        <f aca="false">IF($M98="","",INDEX(LEDGER_ENGINE!$C$2:$C$546,$M98))</f>
        <v/>
      </c>
      <c r="C98" s="149" t="str">
        <f aca="false">IF($M98="","",INDEX(LEDGER_ENGINE!$G$2:$G$546,$M98))</f>
        <v/>
      </c>
      <c r="D98" s="149" t="str">
        <f aca="false">IF($M98="","",INDEX(LEDGER_ENGINE!$H$2:$H$546,$M98))</f>
        <v/>
      </c>
      <c r="E98" s="150" t="str">
        <f aca="false">IF($M98="","",INDEX(LEDGER_ENGINE!$I$2:$I$546,$M98))</f>
        <v/>
      </c>
      <c r="G98" s="148" t="str">
        <f aca="false">IF($N98="","",INDEX(LEDGER_ENGINE!$B$2:$B$546,$N98))</f>
        <v/>
      </c>
      <c r="H98" s="149" t="str">
        <f aca="false">IF($N98="","",INDEX(LEDGER_ENGINE!$C$2:$C$546,$N98))</f>
        <v/>
      </c>
      <c r="I98" s="149" t="str">
        <f aca="false">IF($N98="","",INDEX(LEDGER_ENGINE!$G$2:$G$546,$N98))</f>
        <v/>
      </c>
      <c r="J98" s="149" t="str">
        <f aca="false">IFERROR(IF($N98="","",INDEX(LEDGER_ENGINE!$H$2:$H$546,$N98)),"")</f>
        <v/>
      </c>
      <c r="K98" s="150" t="str">
        <f aca="false">IF($N98="","",INDEX(LEDGER_ENGINE!$J$2:$J$546,$N98))</f>
        <v/>
      </c>
      <c r="M98" s="101" t="str">
        <f aca="false">IF(SUMIFS(LEDGER_ENGINE!$A$2:$A$546,LEDGER_ENGINE!$R$2:$R$546,$B$4&amp;"|"&amp;(ROW()-8))=0,"",SUMIFS(LEDGER_ENGINE!$A$2:$A$546,LEDGER_ENGINE!$R$2:$R$546,$B$4&amp;"|"&amp;(ROW()-8)))</f>
        <v/>
      </c>
      <c r="N98" s="101" t="str">
        <f aca="false">IF(SUMIFS(LEDGER_ENGINE!$A$2:$A$546,LEDGER_ENGINE!$S$2:$S$546,$B$4&amp;"|"&amp;(ROW()-8))=0,"",SUMIFS(LEDGER_ENGINE!$A$2:$A$546,LEDGER_ENGINE!$S$2:$S$546,$B$4&amp;"|"&amp;(ROW()-8)))</f>
        <v/>
      </c>
    </row>
    <row r="99" customFormat="false" ht="15" hidden="false" customHeight="true" outlineLevel="0" collapsed="false">
      <c r="A99" s="148" t="str">
        <f aca="false">IF($M99="","",INDEX(LEDGER_ENGINE!$B$2:$B$546,$M99))</f>
        <v/>
      </c>
      <c r="B99" s="149" t="str">
        <f aca="false">IF($M99="","",INDEX(LEDGER_ENGINE!$C$2:$C$546,$M99))</f>
        <v/>
      </c>
      <c r="C99" s="149" t="str">
        <f aca="false">IF($M99="","",INDEX(LEDGER_ENGINE!$G$2:$G$546,$M99))</f>
        <v/>
      </c>
      <c r="D99" s="149" t="str">
        <f aca="false">IF($M99="","",INDEX(LEDGER_ENGINE!$H$2:$H$546,$M99))</f>
        <v/>
      </c>
      <c r="E99" s="150" t="str">
        <f aca="false">IF($M99="","",INDEX(LEDGER_ENGINE!$I$2:$I$546,$M99))</f>
        <v/>
      </c>
      <c r="G99" s="148" t="str">
        <f aca="false">IF($N99="","",INDEX(LEDGER_ENGINE!$B$2:$B$546,$N99))</f>
        <v/>
      </c>
      <c r="H99" s="149" t="str">
        <f aca="false">IF($N99="","",INDEX(LEDGER_ENGINE!$C$2:$C$546,$N99))</f>
        <v/>
      </c>
      <c r="I99" s="149" t="str">
        <f aca="false">IF($N99="","",INDEX(LEDGER_ENGINE!$G$2:$G$546,$N99))</f>
        <v/>
      </c>
      <c r="J99" s="149" t="str">
        <f aca="false">IFERROR(IF($N99="","",INDEX(LEDGER_ENGINE!$H$2:$H$546,$N99)),"")</f>
        <v/>
      </c>
      <c r="K99" s="150" t="str">
        <f aca="false">IF($N99="","",INDEX(LEDGER_ENGINE!$J$2:$J$546,$N99))</f>
        <v/>
      </c>
      <c r="M99" s="101" t="str">
        <f aca="false">IF(SUMIFS(LEDGER_ENGINE!$A$2:$A$546,LEDGER_ENGINE!$R$2:$R$546,$B$4&amp;"|"&amp;(ROW()-8))=0,"",SUMIFS(LEDGER_ENGINE!$A$2:$A$546,LEDGER_ENGINE!$R$2:$R$546,$B$4&amp;"|"&amp;(ROW()-8)))</f>
        <v/>
      </c>
      <c r="N99" s="101" t="str">
        <f aca="false">IF(SUMIFS(LEDGER_ENGINE!$A$2:$A$546,LEDGER_ENGINE!$S$2:$S$546,$B$4&amp;"|"&amp;(ROW()-8))=0,"",SUMIFS(LEDGER_ENGINE!$A$2:$A$546,LEDGER_ENGINE!$S$2:$S$546,$B$4&amp;"|"&amp;(ROW()-8)))</f>
        <v/>
      </c>
    </row>
    <row r="100" customFormat="false" ht="15" hidden="false" customHeight="true" outlineLevel="0" collapsed="false">
      <c r="A100" s="148" t="str">
        <f aca="false">IF($M100="","",INDEX(LEDGER_ENGINE!$B$2:$B$546,$M100))</f>
        <v/>
      </c>
      <c r="B100" s="149" t="str">
        <f aca="false">IF($M100="","",INDEX(LEDGER_ENGINE!$C$2:$C$546,$M100))</f>
        <v/>
      </c>
      <c r="C100" s="149" t="str">
        <f aca="false">IF($M100="","",INDEX(LEDGER_ENGINE!$G$2:$G$546,$M100))</f>
        <v/>
      </c>
      <c r="D100" s="149" t="str">
        <f aca="false">IF($M100="","",INDEX(LEDGER_ENGINE!$H$2:$H$546,$M100))</f>
        <v/>
      </c>
      <c r="E100" s="150" t="str">
        <f aca="false">IF($M100="","",INDEX(LEDGER_ENGINE!$I$2:$I$546,$M100))</f>
        <v/>
      </c>
      <c r="G100" s="148" t="str">
        <f aca="false">IF($N100="","",INDEX(LEDGER_ENGINE!$B$2:$B$546,$N100))</f>
        <v/>
      </c>
      <c r="H100" s="149" t="str">
        <f aca="false">IF($N100="","",INDEX(LEDGER_ENGINE!$C$2:$C$546,$N100))</f>
        <v/>
      </c>
      <c r="I100" s="149" t="str">
        <f aca="false">IF($N100="","",INDEX(LEDGER_ENGINE!$G$2:$G$546,$N100))</f>
        <v/>
      </c>
      <c r="J100" s="149" t="str">
        <f aca="false">IFERROR(IF($N100="","",INDEX(LEDGER_ENGINE!$H$2:$H$546,$N100)),"")</f>
        <v/>
      </c>
      <c r="K100" s="150" t="str">
        <f aca="false">IF($N100="","",INDEX(LEDGER_ENGINE!$J$2:$J$546,$N100))</f>
        <v/>
      </c>
      <c r="M100" s="101" t="str">
        <f aca="false">IF(SUMIFS(LEDGER_ENGINE!$A$2:$A$546,LEDGER_ENGINE!$R$2:$R$546,$B$4&amp;"|"&amp;(ROW()-8))=0,"",SUMIFS(LEDGER_ENGINE!$A$2:$A$546,LEDGER_ENGINE!$R$2:$R$546,$B$4&amp;"|"&amp;(ROW()-8)))</f>
        <v/>
      </c>
      <c r="N100" s="101" t="str">
        <f aca="false">IF(SUMIFS(LEDGER_ENGINE!$A$2:$A$546,LEDGER_ENGINE!$S$2:$S$546,$B$4&amp;"|"&amp;(ROW()-8))=0,"",SUMIFS(LEDGER_ENGINE!$A$2:$A$546,LEDGER_ENGINE!$S$2:$S$546,$B$4&amp;"|"&amp;(ROW()-8)))</f>
        <v/>
      </c>
    </row>
    <row r="101" customFormat="false" ht="15" hidden="false" customHeight="true" outlineLevel="0" collapsed="false">
      <c r="A101" s="148" t="str">
        <f aca="false">IF($M101="","",INDEX(LEDGER_ENGINE!$B$2:$B$546,$M101))</f>
        <v/>
      </c>
      <c r="B101" s="149" t="str">
        <f aca="false">IF($M101="","",INDEX(LEDGER_ENGINE!$C$2:$C$546,$M101))</f>
        <v/>
      </c>
      <c r="C101" s="149" t="str">
        <f aca="false">IF($M101="","",INDEX(LEDGER_ENGINE!$G$2:$G$546,$M101))</f>
        <v/>
      </c>
      <c r="D101" s="149" t="str">
        <f aca="false">IF($M101="","",INDEX(LEDGER_ENGINE!$H$2:$H$546,$M101))</f>
        <v/>
      </c>
      <c r="E101" s="150" t="str">
        <f aca="false">IF($M101="","",INDEX(LEDGER_ENGINE!$I$2:$I$546,$M101))</f>
        <v/>
      </c>
      <c r="G101" s="148" t="str">
        <f aca="false">IF($N101="","",INDEX(LEDGER_ENGINE!$B$2:$B$546,$N101))</f>
        <v/>
      </c>
      <c r="H101" s="149" t="str">
        <f aca="false">IF($N101="","",INDEX(LEDGER_ENGINE!$C$2:$C$546,$N101))</f>
        <v/>
      </c>
      <c r="I101" s="149" t="str">
        <f aca="false">IF($N101="","",INDEX(LEDGER_ENGINE!$G$2:$G$546,$N101))</f>
        <v/>
      </c>
      <c r="J101" s="149" t="str">
        <f aca="false">IFERROR(IF($N101="","",INDEX(LEDGER_ENGINE!$H$2:$H$546,$N101)),"")</f>
        <v/>
      </c>
      <c r="K101" s="150" t="str">
        <f aca="false">IF($N101="","",INDEX(LEDGER_ENGINE!$J$2:$J$546,$N101))</f>
        <v/>
      </c>
      <c r="M101" s="101" t="str">
        <f aca="false">IF(SUMIFS(LEDGER_ENGINE!$A$2:$A$546,LEDGER_ENGINE!$R$2:$R$546,$B$4&amp;"|"&amp;(ROW()-8))=0,"",SUMIFS(LEDGER_ENGINE!$A$2:$A$546,LEDGER_ENGINE!$R$2:$R$546,$B$4&amp;"|"&amp;(ROW()-8)))</f>
        <v/>
      </c>
      <c r="N101" s="101" t="str">
        <f aca="false">IF(SUMIFS(LEDGER_ENGINE!$A$2:$A$546,LEDGER_ENGINE!$S$2:$S$546,$B$4&amp;"|"&amp;(ROW()-8))=0,"",SUMIFS(LEDGER_ENGINE!$A$2:$A$546,LEDGER_ENGINE!$S$2:$S$546,$B$4&amp;"|"&amp;(ROW()-8)))</f>
        <v/>
      </c>
    </row>
    <row r="102" customFormat="false" ht="15" hidden="false" customHeight="true" outlineLevel="0" collapsed="false">
      <c r="A102" s="148" t="str">
        <f aca="false">IF($M102="","",INDEX(LEDGER_ENGINE!$B$2:$B$546,$M102))</f>
        <v/>
      </c>
      <c r="B102" s="149" t="str">
        <f aca="false">IF($M102="","",INDEX(LEDGER_ENGINE!$C$2:$C$546,$M102))</f>
        <v/>
      </c>
      <c r="C102" s="149" t="str">
        <f aca="false">IF($M102="","",INDEX(LEDGER_ENGINE!$G$2:$G$546,$M102))</f>
        <v/>
      </c>
      <c r="D102" s="149" t="str">
        <f aca="false">IF($M102="","",INDEX(LEDGER_ENGINE!$H$2:$H$546,$M102))</f>
        <v/>
      </c>
      <c r="E102" s="150" t="str">
        <f aca="false">IF($M102="","",INDEX(LEDGER_ENGINE!$I$2:$I$546,$M102))</f>
        <v/>
      </c>
      <c r="G102" s="148" t="str">
        <f aca="false">IF($N102="","",INDEX(LEDGER_ENGINE!$B$2:$B$546,$N102))</f>
        <v/>
      </c>
      <c r="H102" s="149" t="str">
        <f aca="false">IF($N102="","",INDEX(LEDGER_ENGINE!$C$2:$C$546,$N102))</f>
        <v/>
      </c>
      <c r="I102" s="149" t="str">
        <f aca="false">IF($N102="","",INDEX(LEDGER_ENGINE!$G$2:$G$546,$N102))</f>
        <v/>
      </c>
      <c r="J102" s="149" t="str">
        <f aca="false">IFERROR(IF($N102="","",INDEX(LEDGER_ENGINE!$H$2:$H$546,$N102)),"")</f>
        <v/>
      </c>
      <c r="K102" s="150" t="str">
        <f aca="false">IF($N102="","",INDEX(LEDGER_ENGINE!$J$2:$J$546,$N102))</f>
        <v/>
      </c>
      <c r="M102" s="101" t="str">
        <f aca="false">IF(SUMIFS(LEDGER_ENGINE!$A$2:$A$546,LEDGER_ENGINE!$R$2:$R$546,$B$4&amp;"|"&amp;(ROW()-8))=0,"",SUMIFS(LEDGER_ENGINE!$A$2:$A$546,LEDGER_ENGINE!$R$2:$R$546,$B$4&amp;"|"&amp;(ROW()-8)))</f>
        <v/>
      </c>
      <c r="N102" s="101" t="str">
        <f aca="false">IF(SUMIFS(LEDGER_ENGINE!$A$2:$A$546,LEDGER_ENGINE!$S$2:$S$546,$B$4&amp;"|"&amp;(ROW()-8))=0,"",SUMIFS(LEDGER_ENGINE!$A$2:$A$546,LEDGER_ENGINE!$S$2:$S$546,$B$4&amp;"|"&amp;(ROW()-8)))</f>
        <v/>
      </c>
    </row>
    <row r="103" customFormat="false" ht="15" hidden="false" customHeight="true" outlineLevel="0" collapsed="false">
      <c r="A103" s="148" t="str">
        <f aca="false">IF($M103="","",INDEX(LEDGER_ENGINE!$B$2:$B$546,$M103))</f>
        <v/>
      </c>
      <c r="B103" s="149" t="str">
        <f aca="false">IF($M103="","",INDEX(LEDGER_ENGINE!$C$2:$C$546,$M103))</f>
        <v/>
      </c>
      <c r="C103" s="149" t="str">
        <f aca="false">IF($M103="","",INDEX(LEDGER_ENGINE!$G$2:$G$546,$M103))</f>
        <v/>
      </c>
      <c r="D103" s="149" t="str">
        <f aca="false">IF($M103="","",INDEX(LEDGER_ENGINE!$H$2:$H$546,$M103))</f>
        <v/>
      </c>
      <c r="E103" s="150" t="str">
        <f aca="false">IF($M103="","",INDEX(LEDGER_ENGINE!$I$2:$I$546,$M103))</f>
        <v/>
      </c>
      <c r="G103" s="148" t="str">
        <f aca="false">IF($N103="","",INDEX(LEDGER_ENGINE!$B$2:$B$546,$N103))</f>
        <v/>
      </c>
      <c r="H103" s="149" t="str">
        <f aca="false">IF($N103="","",INDEX(LEDGER_ENGINE!$C$2:$C$546,$N103))</f>
        <v/>
      </c>
      <c r="I103" s="149" t="str">
        <f aca="false">IF($N103="","",INDEX(LEDGER_ENGINE!$G$2:$G$546,$N103))</f>
        <v/>
      </c>
      <c r="J103" s="149" t="str">
        <f aca="false">IFERROR(IF($N103="","",INDEX(LEDGER_ENGINE!$H$2:$H$546,$N103)),"")</f>
        <v/>
      </c>
      <c r="K103" s="150" t="str">
        <f aca="false">IF($N103="","",INDEX(LEDGER_ENGINE!$J$2:$J$546,$N103))</f>
        <v/>
      </c>
      <c r="M103" s="101" t="str">
        <f aca="false">IF(SUMIFS(LEDGER_ENGINE!$A$2:$A$546,LEDGER_ENGINE!$R$2:$R$546,$B$4&amp;"|"&amp;(ROW()-8))=0,"",SUMIFS(LEDGER_ENGINE!$A$2:$A$546,LEDGER_ENGINE!$R$2:$R$546,$B$4&amp;"|"&amp;(ROW()-8)))</f>
        <v/>
      </c>
      <c r="N103" s="101" t="str">
        <f aca="false">IF(SUMIFS(LEDGER_ENGINE!$A$2:$A$546,LEDGER_ENGINE!$S$2:$S$546,$B$4&amp;"|"&amp;(ROW()-8))=0,"",SUMIFS(LEDGER_ENGINE!$A$2:$A$546,LEDGER_ENGINE!$S$2:$S$546,$B$4&amp;"|"&amp;(ROW()-8)))</f>
        <v/>
      </c>
    </row>
    <row r="104" customFormat="false" ht="15" hidden="false" customHeight="true" outlineLevel="0" collapsed="false">
      <c r="A104" s="148" t="str">
        <f aca="false">IF($M104="","",INDEX(LEDGER_ENGINE!$B$2:$B$546,$M104))</f>
        <v/>
      </c>
      <c r="B104" s="149" t="str">
        <f aca="false">IF($M104="","",INDEX(LEDGER_ENGINE!$C$2:$C$546,$M104))</f>
        <v/>
      </c>
      <c r="C104" s="149" t="str">
        <f aca="false">IF($M104="","",INDEX(LEDGER_ENGINE!$G$2:$G$546,$M104))</f>
        <v/>
      </c>
      <c r="D104" s="149" t="str">
        <f aca="false">IF($M104="","",INDEX(LEDGER_ENGINE!$H$2:$H$546,$M104))</f>
        <v/>
      </c>
      <c r="E104" s="150" t="str">
        <f aca="false">IF($M104="","",INDEX(LEDGER_ENGINE!$I$2:$I$546,$M104))</f>
        <v/>
      </c>
      <c r="G104" s="148" t="str">
        <f aca="false">IF($N104="","",INDEX(LEDGER_ENGINE!$B$2:$B$546,$N104))</f>
        <v/>
      </c>
      <c r="H104" s="149" t="str">
        <f aca="false">IF($N104="","",INDEX(LEDGER_ENGINE!$C$2:$C$546,$N104))</f>
        <v/>
      </c>
      <c r="I104" s="149" t="str">
        <f aca="false">IF($N104="","",INDEX(LEDGER_ENGINE!$G$2:$G$546,$N104))</f>
        <v/>
      </c>
      <c r="J104" s="149" t="str">
        <f aca="false">IFERROR(IF($N104="","",INDEX(LEDGER_ENGINE!$H$2:$H$546,$N104)),"")</f>
        <v/>
      </c>
      <c r="K104" s="150" t="str">
        <f aca="false">IF($N104="","",INDEX(LEDGER_ENGINE!$J$2:$J$546,$N104))</f>
        <v/>
      </c>
      <c r="M104" s="101" t="str">
        <f aca="false">IF(SUMIFS(LEDGER_ENGINE!$A$2:$A$546,LEDGER_ENGINE!$R$2:$R$546,$B$4&amp;"|"&amp;(ROW()-8))=0,"",SUMIFS(LEDGER_ENGINE!$A$2:$A$546,LEDGER_ENGINE!$R$2:$R$546,$B$4&amp;"|"&amp;(ROW()-8)))</f>
        <v/>
      </c>
      <c r="N104" s="101" t="str">
        <f aca="false">IF(SUMIFS(LEDGER_ENGINE!$A$2:$A$546,LEDGER_ENGINE!$S$2:$S$546,$B$4&amp;"|"&amp;(ROW()-8))=0,"",SUMIFS(LEDGER_ENGINE!$A$2:$A$546,LEDGER_ENGINE!$S$2:$S$546,$B$4&amp;"|"&amp;(ROW()-8)))</f>
        <v/>
      </c>
    </row>
    <row r="105" customFormat="false" ht="15" hidden="false" customHeight="true" outlineLevel="0" collapsed="false">
      <c r="A105" s="148" t="str">
        <f aca="false">IF($M105="","",INDEX(LEDGER_ENGINE!$B$2:$B$546,$M105))</f>
        <v/>
      </c>
      <c r="B105" s="149" t="str">
        <f aca="false">IF($M105="","",INDEX(LEDGER_ENGINE!$C$2:$C$546,$M105))</f>
        <v/>
      </c>
      <c r="C105" s="149" t="str">
        <f aca="false">IF($M105="","",INDEX(LEDGER_ENGINE!$G$2:$G$546,$M105))</f>
        <v/>
      </c>
      <c r="D105" s="149" t="str">
        <f aca="false">IF($M105="","",INDEX(LEDGER_ENGINE!$H$2:$H$546,$M105))</f>
        <v/>
      </c>
      <c r="E105" s="150" t="str">
        <f aca="false">IF($M105="","",INDEX(LEDGER_ENGINE!$I$2:$I$546,$M105))</f>
        <v/>
      </c>
      <c r="G105" s="148" t="str">
        <f aca="false">IF($N105="","",INDEX(LEDGER_ENGINE!$B$2:$B$546,$N105))</f>
        <v/>
      </c>
      <c r="H105" s="149" t="str">
        <f aca="false">IF($N105="","",INDEX(LEDGER_ENGINE!$C$2:$C$546,$N105))</f>
        <v/>
      </c>
      <c r="I105" s="149" t="str">
        <f aca="false">IF($N105="","",INDEX(LEDGER_ENGINE!$G$2:$G$546,$N105))</f>
        <v/>
      </c>
      <c r="J105" s="149" t="str">
        <f aca="false">IFERROR(IF($N105="","",INDEX(LEDGER_ENGINE!$H$2:$H$546,$N105)),"")</f>
        <v/>
      </c>
      <c r="K105" s="150" t="str">
        <f aca="false">IF($N105="","",INDEX(LEDGER_ENGINE!$J$2:$J$546,$N105))</f>
        <v/>
      </c>
      <c r="M105" s="101" t="str">
        <f aca="false">IF(SUMIFS(LEDGER_ENGINE!$A$2:$A$546,LEDGER_ENGINE!$R$2:$R$546,$B$4&amp;"|"&amp;(ROW()-8))=0,"",SUMIFS(LEDGER_ENGINE!$A$2:$A$546,LEDGER_ENGINE!$R$2:$R$546,$B$4&amp;"|"&amp;(ROW()-8)))</f>
        <v/>
      </c>
      <c r="N105" s="101" t="str">
        <f aca="false">IF(SUMIFS(LEDGER_ENGINE!$A$2:$A$546,LEDGER_ENGINE!$S$2:$S$546,$B$4&amp;"|"&amp;(ROW()-8))=0,"",SUMIFS(LEDGER_ENGINE!$A$2:$A$546,LEDGER_ENGINE!$S$2:$S$546,$B$4&amp;"|"&amp;(ROW()-8)))</f>
        <v/>
      </c>
    </row>
    <row r="106" customFormat="false" ht="15" hidden="false" customHeight="true" outlineLevel="0" collapsed="false">
      <c r="A106" s="148" t="str">
        <f aca="false">IF($M106="","",INDEX(LEDGER_ENGINE!$B$2:$B$546,$M106))</f>
        <v/>
      </c>
      <c r="B106" s="149" t="str">
        <f aca="false">IF($M106="","",INDEX(LEDGER_ENGINE!$C$2:$C$546,$M106))</f>
        <v/>
      </c>
      <c r="C106" s="149" t="str">
        <f aca="false">IF($M106="","",INDEX(LEDGER_ENGINE!$G$2:$G$546,$M106))</f>
        <v/>
      </c>
      <c r="D106" s="149" t="str">
        <f aca="false">IF($M106="","",INDEX(LEDGER_ENGINE!$H$2:$H$546,$M106))</f>
        <v/>
      </c>
      <c r="E106" s="150" t="str">
        <f aca="false">IF($M106="","",INDEX(LEDGER_ENGINE!$I$2:$I$546,$M106))</f>
        <v/>
      </c>
      <c r="G106" s="148" t="str">
        <f aca="false">IF($N106="","",INDEX(LEDGER_ENGINE!$B$2:$B$546,$N106))</f>
        <v/>
      </c>
      <c r="H106" s="149" t="str">
        <f aca="false">IF($N106="","",INDEX(LEDGER_ENGINE!$C$2:$C$546,$N106))</f>
        <v/>
      </c>
      <c r="I106" s="149" t="str">
        <f aca="false">IF($N106="","",INDEX(LEDGER_ENGINE!$G$2:$G$546,$N106))</f>
        <v/>
      </c>
      <c r="J106" s="149" t="str">
        <f aca="false">IFERROR(IF($N106="","",INDEX(LEDGER_ENGINE!$H$2:$H$546,$N106)),"")</f>
        <v/>
      </c>
      <c r="K106" s="150" t="str">
        <f aca="false">IF($N106="","",INDEX(LEDGER_ENGINE!$J$2:$J$546,$N106))</f>
        <v/>
      </c>
      <c r="M106" s="101" t="str">
        <f aca="false">IF(SUMIFS(LEDGER_ENGINE!$A$2:$A$546,LEDGER_ENGINE!$R$2:$R$546,$B$4&amp;"|"&amp;(ROW()-8))=0,"",SUMIFS(LEDGER_ENGINE!$A$2:$A$546,LEDGER_ENGINE!$R$2:$R$546,$B$4&amp;"|"&amp;(ROW()-8)))</f>
        <v/>
      </c>
      <c r="N106" s="101" t="str">
        <f aca="false">IF(SUMIFS(LEDGER_ENGINE!$A$2:$A$546,LEDGER_ENGINE!$S$2:$S$546,$B$4&amp;"|"&amp;(ROW()-8))=0,"",SUMIFS(LEDGER_ENGINE!$A$2:$A$546,LEDGER_ENGINE!$S$2:$S$546,$B$4&amp;"|"&amp;(ROW()-8)))</f>
        <v/>
      </c>
    </row>
    <row r="107" customFormat="false" ht="15" hidden="false" customHeight="true" outlineLevel="0" collapsed="false">
      <c r="A107" s="148" t="str">
        <f aca="false">IF($M107="","",INDEX(LEDGER_ENGINE!$B$2:$B$546,$M107))</f>
        <v/>
      </c>
      <c r="B107" s="149" t="str">
        <f aca="false">IF($M107="","",INDEX(LEDGER_ENGINE!$C$2:$C$546,$M107))</f>
        <v/>
      </c>
      <c r="C107" s="149" t="str">
        <f aca="false">IF($M107="","",INDEX(LEDGER_ENGINE!$G$2:$G$546,$M107))</f>
        <v/>
      </c>
      <c r="D107" s="149" t="str">
        <f aca="false">IF($M107="","",INDEX(LEDGER_ENGINE!$H$2:$H$546,$M107))</f>
        <v/>
      </c>
      <c r="E107" s="150" t="str">
        <f aca="false">IF($M107="","",INDEX(LEDGER_ENGINE!$I$2:$I$546,$M107))</f>
        <v/>
      </c>
      <c r="G107" s="148" t="str">
        <f aca="false">IF($N107="","",INDEX(LEDGER_ENGINE!$B$2:$B$546,$N107))</f>
        <v/>
      </c>
      <c r="H107" s="149" t="str">
        <f aca="false">IF($N107="","",INDEX(LEDGER_ENGINE!$C$2:$C$546,$N107))</f>
        <v/>
      </c>
      <c r="I107" s="149" t="str">
        <f aca="false">IF($N107="","",INDEX(LEDGER_ENGINE!$G$2:$G$546,$N107))</f>
        <v/>
      </c>
      <c r="J107" s="149" t="str">
        <f aca="false">IFERROR(IF($N107="","",INDEX(LEDGER_ENGINE!$H$2:$H$546,$N107)),"")</f>
        <v/>
      </c>
      <c r="K107" s="150" t="str">
        <f aca="false">IF($N107="","",INDEX(LEDGER_ENGINE!$J$2:$J$546,$N107))</f>
        <v/>
      </c>
      <c r="M107" s="101" t="str">
        <f aca="false">IF(SUMIFS(LEDGER_ENGINE!$A$2:$A$546,LEDGER_ENGINE!$R$2:$R$546,$B$4&amp;"|"&amp;(ROW()-8))=0,"",SUMIFS(LEDGER_ENGINE!$A$2:$A$546,LEDGER_ENGINE!$R$2:$R$546,$B$4&amp;"|"&amp;(ROW()-8)))</f>
        <v/>
      </c>
      <c r="N107" s="101" t="str">
        <f aca="false">IF(SUMIFS(LEDGER_ENGINE!$A$2:$A$546,LEDGER_ENGINE!$S$2:$S$546,$B$4&amp;"|"&amp;(ROW()-8))=0,"",SUMIFS(LEDGER_ENGINE!$A$2:$A$546,LEDGER_ENGINE!$S$2:$S$546,$B$4&amp;"|"&amp;(ROW()-8)))</f>
        <v/>
      </c>
    </row>
    <row r="108" customFormat="false" ht="15" hidden="false" customHeight="true" outlineLevel="0" collapsed="false">
      <c r="A108" s="148" t="str">
        <f aca="false">IF($M108="","",INDEX(LEDGER_ENGINE!$B$2:$B$546,$M108))</f>
        <v/>
      </c>
      <c r="B108" s="149" t="str">
        <f aca="false">IF($M108="","",INDEX(LEDGER_ENGINE!$C$2:$C$546,$M108))</f>
        <v/>
      </c>
      <c r="C108" s="149" t="str">
        <f aca="false">IF($M108="","",INDEX(LEDGER_ENGINE!$G$2:$G$546,$M108))</f>
        <v/>
      </c>
      <c r="D108" s="149" t="str">
        <f aca="false">IF($M108="","",INDEX(LEDGER_ENGINE!$H$2:$H$546,$M108))</f>
        <v/>
      </c>
      <c r="E108" s="150" t="str">
        <f aca="false">IF($M108="","",INDEX(LEDGER_ENGINE!$I$2:$I$546,$M108))</f>
        <v/>
      </c>
      <c r="G108" s="148" t="str">
        <f aca="false">IF($N108="","",INDEX(LEDGER_ENGINE!$B$2:$B$546,$N108))</f>
        <v/>
      </c>
      <c r="H108" s="149" t="str">
        <f aca="false">IF($N108="","",INDEX(LEDGER_ENGINE!$C$2:$C$546,$N108))</f>
        <v/>
      </c>
      <c r="I108" s="149" t="str">
        <f aca="false">IF($N108="","",INDEX(LEDGER_ENGINE!$G$2:$G$546,$N108))</f>
        <v/>
      </c>
      <c r="J108" s="149" t="str">
        <f aca="false">IFERROR(IF($N108="","",INDEX(LEDGER_ENGINE!$H$2:$H$546,$N108)),"")</f>
        <v/>
      </c>
      <c r="K108" s="150" t="str">
        <f aca="false">IF($N108="","",INDEX(LEDGER_ENGINE!$J$2:$J$546,$N108))</f>
        <v/>
      </c>
      <c r="M108" s="101" t="str">
        <f aca="false">IF(SUMIFS(LEDGER_ENGINE!$A$2:$A$546,LEDGER_ENGINE!$R$2:$R$546,$B$4&amp;"|"&amp;(ROW()-8))=0,"",SUMIFS(LEDGER_ENGINE!$A$2:$A$546,LEDGER_ENGINE!$R$2:$R$546,$B$4&amp;"|"&amp;(ROW()-8)))</f>
        <v/>
      </c>
      <c r="N108" s="101" t="str">
        <f aca="false">IF(SUMIFS(LEDGER_ENGINE!$A$2:$A$546,LEDGER_ENGINE!$S$2:$S$546,$B$4&amp;"|"&amp;(ROW()-8))=0,"",SUMIFS(LEDGER_ENGINE!$A$2:$A$546,LEDGER_ENGINE!$S$2:$S$546,$B$4&amp;"|"&amp;(ROW()-8)))</f>
        <v/>
      </c>
    </row>
    <row r="109" customFormat="false" ht="15" hidden="false" customHeight="true" outlineLevel="0" collapsed="false">
      <c r="A109" s="148" t="str">
        <f aca="false">IF($M109="","",INDEX(LEDGER_ENGINE!$B$2:$B$546,$M109))</f>
        <v/>
      </c>
      <c r="B109" s="149" t="str">
        <f aca="false">IF($M109="","",INDEX(LEDGER_ENGINE!$C$2:$C$546,$M109))</f>
        <v/>
      </c>
      <c r="C109" s="149" t="str">
        <f aca="false">IF($M109="","",INDEX(LEDGER_ENGINE!$G$2:$G$546,$M109))</f>
        <v/>
      </c>
      <c r="D109" s="149" t="str">
        <f aca="false">IF($M109="","",INDEX(LEDGER_ENGINE!$H$2:$H$546,$M109))</f>
        <v/>
      </c>
      <c r="E109" s="150" t="str">
        <f aca="false">IF($M109="","",INDEX(LEDGER_ENGINE!$I$2:$I$546,$M109))</f>
        <v/>
      </c>
      <c r="G109" s="148" t="str">
        <f aca="false">IF($N109="","",INDEX(LEDGER_ENGINE!$B$2:$B$546,$N109))</f>
        <v/>
      </c>
      <c r="H109" s="149" t="str">
        <f aca="false">IF($N109="","",INDEX(LEDGER_ENGINE!$C$2:$C$546,$N109))</f>
        <v/>
      </c>
      <c r="I109" s="149" t="str">
        <f aca="false">IF($N109="","",INDEX(LEDGER_ENGINE!$G$2:$G$546,$N109))</f>
        <v/>
      </c>
      <c r="J109" s="149" t="str">
        <f aca="false">IFERROR(IF($N109="","",INDEX(LEDGER_ENGINE!$H$2:$H$546,$N109)),"")</f>
        <v/>
      </c>
      <c r="K109" s="150" t="str">
        <f aca="false">IF($N109="","",INDEX(LEDGER_ENGINE!$J$2:$J$546,$N109))</f>
        <v/>
      </c>
      <c r="M109" s="101" t="str">
        <f aca="false">IF(SUMIFS(LEDGER_ENGINE!$A$2:$A$546,LEDGER_ENGINE!$R$2:$R$546,$B$4&amp;"|"&amp;(ROW()-8))=0,"",SUMIFS(LEDGER_ENGINE!$A$2:$A$546,LEDGER_ENGINE!$R$2:$R$546,$B$4&amp;"|"&amp;(ROW()-8)))</f>
        <v/>
      </c>
      <c r="N109" s="101" t="str">
        <f aca="false">IF(SUMIFS(LEDGER_ENGINE!$A$2:$A$546,LEDGER_ENGINE!$S$2:$S$546,$B$4&amp;"|"&amp;(ROW()-8))=0,"",SUMIFS(LEDGER_ENGINE!$A$2:$A$546,LEDGER_ENGINE!$S$2:$S$546,$B$4&amp;"|"&amp;(ROW()-8)))</f>
        <v/>
      </c>
    </row>
    <row r="110" customFormat="false" ht="15" hidden="false" customHeight="true" outlineLevel="0" collapsed="false">
      <c r="A110" s="148" t="str">
        <f aca="false">IF($M110="","",INDEX(LEDGER_ENGINE!$B$2:$B$546,$M110))</f>
        <v/>
      </c>
      <c r="B110" s="149" t="str">
        <f aca="false">IF($M110="","",INDEX(LEDGER_ENGINE!$C$2:$C$546,$M110))</f>
        <v/>
      </c>
      <c r="C110" s="149" t="str">
        <f aca="false">IF($M110="","",INDEX(LEDGER_ENGINE!$G$2:$G$546,$M110))</f>
        <v/>
      </c>
      <c r="D110" s="149" t="str">
        <f aca="false">IF($M110="","",INDEX(LEDGER_ENGINE!$H$2:$H$546,$M110))</f>
        <v/>
      </c>
      <c r="E110" s="150" t="str">
        <f aca="false">IF($M110="","",INDEX(LEDGER_ENGINE!$I$2:$I$546,$M110))</f>
        <v/>
      </c>
      <c r="G110" s="148" t="str">
        <f aca="false">IF($N110="","",INDEX(LEDGER_ENGINE!$B$2:$B$546,$N110))</f>
        <v/>
      </c>
      <c r="H110" s="149" t="str">
        <f aca="false">IF($N110="","",INDEX(LEDGER_ENGINE!$C$2:$C$546,$N110))</f>
        <v/>
      </c>
      <c r="I110" s="149" t="str">
        <f aca="false">IF($N110="","",INDEX(LEDGER_ENGINE!$G$2:$G$546,$N110))</f>
        <v/>
      </c>
      <c r="J110" s="149" t="str">
        <f aca="false">IFERROR(IF($N110="","",INDEX(LEDGER_ENGINE!$H$2:$H$546,$N110)),"")</f>
        <v/>
      </c>
      <c r="K110" s="150" t="str">
        <f aca="false">IF($N110="","",INDEX(LEDGER_ENGINE!$J$2:$J$546,$N110))</f>
        <v/>
      </c>
      <c r="M110" s="101" t="str">
        <f aca="false">IF(SUMIFS(LEDGER_ENGINE!$A$2:$A$546,LEDGER_ENGINE!$R$2:$R$546,$B$4&amp;"|"&amp;(ROW()-8))=0,"",SUMIFS(LEDGER_ENGINE!$A$2:$A$546,LEDGER_ENGINE!$R$2:$R$546,$B$4&amp;"|"&amp;(ROW()-8)))</f>
        <v/>
      </c>
      <c r="N110" s="101" t="str">
        <f aca="false">IF(SUMIFS(LEDGER_ENGINE!$A$2:$A$546,LEDGER_ENGINE!$S$2:$S$546,$B$4&amp;"|"&amp;(ROW()-8))=0,"",SUMIFS(LEDGER_ENGINE!$A$2:$A$546,LEDGER_ENGINE!$S$2:$S$546,$B$4&amp;"|"&amp;(ROW()-8)))</f>
        <v/>
      </c>
    </row>
    <row r="111" customFormat="false" ht="15" hidden="false" customHeight="true" outlineLevel="0" collapsed="false">
      <c r="A111" s="148" t="str">
        <f aca="false">IF($M111="","",INDEX(LEDGER_ENGINE!$B$2:$B$546,$M111))</f>
        <v/>
      </c>
      <c r="B111" s="149" t="str">
        <f aca="false">IF($M111="","",INDEX(LEDGER_ENGINE!$C$2:$C$546,$M111))</f>
        <v/>
      </c>
      <c r="C111" s="149" t="str">
        <f aca="false">IF($M111="","",INDEX(LEDGER_ENGINE!$G$2:$G$546,$M111))</f>
        <v/>
      </c>
      <c r="D111" s="149" t="str">
        <f aca="false">IF($M111="","",INDEX(LEDGER_ENGINE!$H$2:$H$546,$M111))</f>
        <v/>
      </c>
      <c r="E111" s="150" t="str">
        <f aca="false">IF($M111="","",INDEX(LEDGER_ENGINE!$I$2:$I$546,$M111))</f>
        <v/>
      </c>
      <c r="G111" s="148" t="str">
        <f aca="false">IF($N111="","",INDEX(LEDGER_ENGINE!$B$2:$B$546,$N111))</f>
        <v/>
      </c>
      <c r="H111" s="149" t="str">
        <f aca="false">IF($N111="","",INDEX(LEDGER_ENGINE!$C$2:$C$546,$N111))</f>
        <v/>
      </c>
      <c r="I111" s="149" t="str">
        <f aca="false">IF($N111="","",INDEX(LEDGER_ENGINE!$G$2:$G$546,$N111))</f>
        <v/>
      </c>
      <c r="J111" s="149" t="str">
        <f aca="false">IFERROR(IF($N111="","",INDEX(LEDGER_ENGINE!$H$2:$H$546,$N111)),"")</f>
        <v/>
      </c>
      <c r="K111" s="150" t="str">
        <f aca="false">IF($N111="","",INDEX(LEDGER_ENGINE!$J$2:$J$546,$N111))</f>
        <v/>
      </c>
      <c r="M111" s="101" t="str">
        <f aca="false">IF(SUMIFS(LEDGER_ENGINE!$A$2:$A$546,LEDGER_ENGINE!$R$2:$R$546,$B$4&amp;"|"&amp;(ROW()-8))=0,"",SUMIFS(LEDGER_ENGINE!$A$2:$A$546,LEDGER_ENGINE!$R$2:$R$546,$B$4&amp;"|"&amp;(ROW()-8)))</f>
        <v/>
      </c>
      <c r="N111" s="101" t="str">
        <f aca="false">IF(SUMIFS(LEDGER_ENGINE!$A$2:$A$546,LEDGER_ENGINE!$S$2:$S$546,$B$4&amp;"|"&amp;(ROW()-8))=0,"",SUMIFS(LEDGER_ENGINE!$A$2:$A$546,LEDGER_ENGINE!$S$2:$S$546,$B$4&amp;"|"&amp;(ROW()-8)))</f>
        <v/>
      </c>
    </row>
    <row r="112" customFormat="false" ht="15" hidden="false" customHeight="true" outlineLevel="0" collapsed="false">
      <c r="A112" s="148" t="str">
        <f aca="false">IF($M112="","",INDEX(LEDGER_ENGINE!$B$2:$B$546,$M112))</f>
        <v/>
      </c>
      <c r="B112" s="149" t="str">
        <f aca="false">IF($M112="","",INDEX(LEDGER_ENGINE!$C$2:$C$546,$M112))</f>
        <v/>
      </c>
      <c r="C112" s="149" t="str">
        <f aca="false">IF($M112="","",INDEX(LEDGER_ENGINE!$G$2:$G$546,$M112))</f>
        <v/>
      </c>
      <c r="D112" s="149" t="str">
        <f aca="false">IF($M112="","",INDEX(LEDGER_ENGINE!$H$2:$H$546,$M112))</f>
        <v/>
      </c>
      <c r="E112" s="150" t="str">
        <f aca="false">IF($M112="","",INDEX(LEDGER_ENGINE!$I$2:$I$546,$M112))</f>
        <v/>
      </c>
      <c r="G112" s="148" t="str">
        <f aca="false">IF($N112="","",INDEX(LEDGER_ENGINE!$B$2:$B$546,$N112))</f>
        <v/>
      </c>
      <c r="H112" s="149" t="str">
        <f aca="false">IF($N112="","",INDEX(LEDGER_ENGINE!$C$2:$C$546,$N112))</f>
        <v/>
      </c>
      <c r="I112" s="149" t="str">
        <f aca="false">IF($N112="","",INDEX(LEDGER_ENGINE!$G$2:$G$546,$N112))</f>
        <v/>
      </c>
      <c r="J112" s="149" t="str">
        <f aca="false">IFERROR(IF($N112="","",INDEX(LEDGER_ENGINE!$H$2:$H$546,$N112)),"")</f>
        <v/>
      </c>
      <c r="K112" s="150" t="str">
        <f aca="false">IF($N112="","",INDEX(LEDGER_ENGINE!$J$2:$J$546,$N112))</f>
        <v/>
      </c>
      <c r="M112" s="101" t="str">
        <f aca="false">IF(SUMIFS(LEDGER_ENGINE!$A$2:$A$546,LEDGER_ENGINE!$R$2:$R$546,$B$4&amp;"|"&amp;(ROW()-8))=0,"",SUMIFS(LEDGER_ENGINE!$A$2:$A$546,LEDGER_ENGINE!$R$2:$R$546,$B$4&amp;"|"&amp;(ROW()-8)))</f>
        <v/>
      </c>
      <c r="N112" s="101" t="str">
        <f aca="false">IF(SUMIFS(LEDGER_ENGINE!$A$2:$A$546,LEDGER_ENGINE!$S$2:$S$546,$B$4&amp;"|"&amp;(ROW()-8))=0,"",SUMIFS(LEDGER_ENGINE!$A$2:$A$546,LEDGER_ENGINE!$S$2:$S$546,$B$4&amp;"|"&amp;(ROW()-8)))</f>
        <v/>
      </c>
    </row>
    <row r="113" customFormat="false" ht="15" hidden="false" customHeight="true" outlineLevel="0" collapsed="false">
      <c r="A113" s="148" t="str">
        <f aca="false">IF($M113="","",INDEX(LEDGER_ENGINE!$B$2:$B$546,$M113))</f>
        <v/>
      </c>
      <c r="B113" s="149" t="str">
        <f aca="false">IF($M113="","",INDEX(LEDGER_ENGINE!$C$2:$C$546,$M113))</f>
        <v/>
      </c>
      <c r="C113" s="149" t="str">
        <f aca="false">IF($M113="","",INDEX(LEDGER_ENGINE!$G$2:$G$546,$M113))</f>
        <v/>
      </c>
      <c r="D113" s="149" t="str">
        <f aca="false">IF($M113="","",INDEX(LEDGER_ENGINE!$H$2:$H$546,$M113))</f>
        <v/>
      </c>
      <c r="E113" s="150" t="str">
        <f aca="false">IF($M113="","",INDEX(LEDGER_ENGINE!$I$2:$I$546,$M113))</f>
        <v/>
      </c>
      <c r="G113" s="148" t="str">
        <f aca="false">IF($N113="","",INDEX(LEDGER_ENGINE!$B$2:$B$546,$N113))</f>
        <v/>
      </c>
      <c r="H113" s="149" t="str">
        <f aca="false">IF($N113="","",INDEX(LEDGER_ENGINE!$C$2:$C$546,$N113))</f>
        <v/>
      </c>
      <c r="I113" s="149" t="str">
        <f aca="false">IF($N113="","",INDEX(LEDGER_ENGINE!$G$2:$G$546,$N113))</f>
        <v/>
      </c>
      <c r="J113" s="149" t="str">
        <f aca="false">IFERROR(IF($N113="","",INDEX(LEDGER_ENGINE!$H$2:$H$546,$N113)),"")</f>
        <v/>
      </c>
      <c r="K113" s="150" t="str">
        <f aca="false">IF($N113="","",INDEX(LEDGER_ENGINE!$J$2:$J$546,$N113))</f>
        <v/>
      </c>
      <c r="M113" s="101" t="str">
        <f aca="false">IF(SUMIFS(LEDGER_ENGINE!$A$2:$A$546,LEDGER_ENGINE!$R$2:$R$546,$B$4&amp;"|"&amp;(ROW()-8))=0,"",SUMIFS(LEDGER_ENGINE!$A$2:$A$546,LEDGER_ENGINE!$R$2:$R$546,$B$4&amp;"|"&amp;(ROW()-8)))</f>
        <v/>
      </c>
      <c r="N113" s="101" t="str">
        <f aca="false">IF(SUMIFS(LEDGER_ENGINE!$A$2:$A$546,LEDGER_ENGINE!$S$2:$S$546,$B$4&amp;"|"&amp;(ROW()-8))=0,"",SUMIFS(LEDGER_ENGINE!$A$2:$A$546,LEDGER_ENGINE!$S$2:$S$546,$B$4&amp;"|"&amp;(ROW()-8)))</f>
        <v/>
      </c>
    </row>
    <row r="114" customFormat="false" ht="15" hidden="false" customHeight="true" outlineLevel="0" collapsed="false">
      <c r="A114" s="148" t="str">
        <f aca="false">IF($M114="","",INDEX(LEDGER_ENGINE!$B$2:$B$546,$M114))</f>
        <v/>
      </c>
      <c r="B114" s="149" t="str">
        <f aca="false">IF($M114="","",INDEX(LEDGER_ENGINE!$C$2:$C$546,$M114))</f>
        <v/>
      </c>
      <c r="C114" s="149" t="str">
        <f aca="false">IF($M114="","",INDEX(LEDGER_ENGINE!$G$2:$G$546,$M114))</f>
        <v/>
      </c>
      <c r="D114" s="149" t="str">
        <f aca="false">IF($M114="","",INDEX(LEDGER_ENGINE!$H$2:$H$546,$M114))</f>
        <v/>
      </c>
      <c r="E114" s="150" t="str">
        <f aca="false">IF($M114="","",INDEX(LEDGER_ENGINE!$I$2:$I$546,$M114))</f>
        <v/>
      </c>
      <c r="G114" s="148" t="str">
        <f aca="false">IF($N114="","",INDEX(LEDGER_ENGINE!$B$2:$B$546,$N114))</f>
        <v/>
      </c>
      <c r="H114" s="149" t="str">
        <f aca="false">IF($N114="","",INDEX(LEDGER_ENGINE!$C$2:$C$546,$N114))</f>
        <v/>
      </c>
      <c r="I114" s="149" t="str">
        <f aca="false">IF($N114="","",INDEX(LEDGER_ENGINE!$G$2:$G$546,$N114))</f>
        <v/>
      </c>
      <c r="J114" s="149" t="str">
        <f aca="false">IFERROR(IF($N114="","",INDEX(LEDGER_ENGINE!$H$2:$H$546,$N114)),"")</f>
        <v/>
      </c>
      <c r="K114" s="150" t="str">
        <f aca="false">IF($N114="","",INDEX(LEDGER_ENGINE!$J$2:$J$546,$N114))</f>
        <v/>
      </c>
      <c r="M114" s="101" t="str">
        <f aca="false">IF(SUMIFS(LEDGER_ENGINE!$A$2:$A$546,LEDGER_ENGINE!$R$2:$R$546,$B$4&amp;"|"&amp;(ROW()-8))=0,"",SUMIFS(LEDGER_ENGINE!$A$2:$A$546,LEDGER_ENGINE!$R$2:$R$546,$B$4&amp;"|"&amp;(ROW()-8)))</f>
        <v/>
      </c>
      <c r="N114" s="101" t="str">
        <f aca="false">IF(SUMIFS(LEDGER_ENGINE!$A$2:$A$546,LEDGER_ENGINE!$S$2:$S$546,$B$4&amp;"|"&amp;(ROW()-8))=0,"",SUMIFS(LEDGER_ENGINE!$A$2:$A$546,LEDGER_ENGINE!$S$2:$S$546,$B$4&amp;"|"&amp;(ROW()-8)))</f>
        <v/>
      </c>
    </row>
    <row r="115" customFormat="false" ht="15" hidden="false" customHeight="true" outlineLevel="0" collapsed="false">
      <c r="A115" s="148" t="str">
        <f aca="false">IF($M115="","",INDEX(LEDGER_ENGINE!$B$2:$B$546,$M115))</f>
        <v/>
      </c>
      <c r="B115" s="149" t="str">
        <f aca="false">IF($M115="","",INDEX(LEDGER_ENGINE!$C$2:$C$546,$M115))</f>
        <v/>
      </c>
      <c r="C115" s="149" t="str">
        <f aca="false">IF($M115="","",INDEX(LEDGER_ENGINE!$G$2:$G$546,$M115))</f>
        <v/>
      </c>
      <c r="D115" s="149" t="str">
        <f aca="false">IF($M115="","",INDEX(LEDGER_ENGINE!$H$2:$H$546,$M115))</f>
        <v/>
      </c>
      <c r="E115" s="150" t="str">
        <f aca="false">IF($M115="","",INDEX(LEDGER_ENGINE!$I$2:$I$546,$M115))</f>
        <v/>
      </c>
      <c r="G115" s="148" t="str">
        <f aca="false">IF($N115="","",INDEX(LEDGER_ENGINE!$B$2:$B$546,$N115))</f>
        <v/>
      </c>
      <c r="H115" s="149" t="str">
        <f aca="false">IF($N115="","",INDEX(LEDGER_ENGINE!$C$2:$C$546,$N115))</f>
        <v/>
      </c>
      <c r="I115" s="149" t="str">
        <f aca="false">IF($N115="","",INDEX(LEDGER_ENGINE!$G$2:$G$546,$N115))</f>
        <v/>
      </c>
      <c r="J115" s="149" t="str">
        <f aca="false">IFERROR(IF($N115="","",INDEX(LEDGER_ENGINE!$H$2:$H$546,$N115)),"")</f>
        <v/>
      </c>
      <c r="K115" s="150" t="str">
        <f aca="false">IF($N115="","",INDEX(LEDGER_ENGINE!$J$2:$J$546,$N115))</f>
        <v/>
      </c>
      <c r="M115" s="101" t="str">
        <f aca="false">IF(SUMIFS(LEDGER_ENGINE!$A$2:$A$546,LEDGER_ENGINE!$R$2:$R$546,$B$4&amp;"|"&amp;(ROW()-8))=0,"",SUMIFS(LEDGER_ENGINE!$A$2:$A$546,LEDGER_ENGINE!$R$2:$R$546,$B$4&amp;"|"&amp;(ROW()-8)))</f>
        <v/>
      </c>
      <c r="N115" s="101" t="str">
        <f aca="false">IF(SUMIFS(LEDGER_ENGINE!$A$2:$A$546,LEDGER_ENGINE!$S$2:$S$546,$B$4&amp;"|"&amp;(ROW()-8))=0,"",SUMIFS(LEDGER_ENGINE!$A$2:$A$546,LEDGER_ENGINE!$S$2:$S$546,$B$4&amp;"|"&amp;(ROW()-8)))</f>
        <v/>
      </c>
    </row>
    <row r="116" customFormat="false" ht="15" hidden="false" customHeight="true" outlineLevel="0" collapsed="false">
      <c r="A116" s="148" t="str">
        <f aca="false">IF($M116="","",INDEX(LEDGER_ENGINE!$B$2:$B$546,$M116))</f>
        <v/>
      </c>
      <c r="B116" s="149" t="str">
        <f aca="false">IF($M116="","",INDEX(LEDGER_ENGINE!$C$2:$C$546,$M116))</f>
        <v/>
      </c>
      <c r="C116" s="149" t="str">
        <f aca="false">IF($M116="","",INDEX(LEDGER_ENGINE!$G$2:$G$546,$M116))</f>
        <v/>
      </c>
      <c r="D116" s="149" t="str">
        <f aca="false">IF($M116="","",INDEX(LEDGER_ENGINE!$H$2:$H$546,$M116))</f>
        <v/>
      </c>
      <c r="E116" s="150" t="str">
        <f aca="false">IF($M116="","",INDEX(LEDGER_ENGINE!$I$2:$I$546,$M116))</f>
        <v/>
      </c>
      <c r="G116" s="148" t="str">
        <f aca="false">IF($N116="","",INDEX(LEDGER_ENGINE!$B$2:$B$546,$N116))</f>
        <v/>
      </c>
      <c r="H116" s="149" t="str">
        <f aca="false">IF($N116="","",INDEX(LEDGER_ENGINE!$C$2:$C$546,$N116))</f>
        <v/>
      </c>
      <c r="I116" s="149" t="str">
        <f aca="false">IF($N116="","",INDEX(LEDGER_ENGINE!$G$2:$G$546,$N116))</f>
        <v/>
      </c>
      <c r="J116" s="149" t="str">
        <f aca="false">IFERROR(IF($N116="","",INDEX(LEDGER_ENGINE!$H$2:$H$546,$N116)),"")</f>
        <v/>
      </c>
      <c r="K116" s="150" t="str">
        <f aca="false">IF($N116="","",INDEX(LEDGER_ENGINE!$J$2:$J$546,$N116))</f>
        <v/>
      </c>
      <c r="M116" s="101" t="str">
        <f aca="false">IF(SUMIFS(LEDGER_ENGINE!$A$2:$A$546,LEDGER_ENGINE!$R$2:$R$546,$B$4&amp;"|"&amp;(ROW()-8))=0,"",SUMIFS(LEDGER_ENGINE!$A$2:$A$546,LEDGER_ENGINE!$R$2:$R$546,$B$4&amp;"|"&amp;(ROW()-8)))</f>
        <v/>
      </c>
      <c r="N116" s="101" t="str">
        <f aca="false">IF(SUMIFS(LEDGER_ENGINE!$A$2:$A$546,LEDGER_ENGINE!$S$2:$S$546,$B$4&amp;"|"&amp;(ROW()-8))=0,"",SUMIFS(LEDGER_ENGINE!$A$2:$A$546,LEDGER_ENGINE!$S$2:$S$546,$B$4&amp;"|"&amp;(ROW()-8)))</f>
        <v/>
      </c>
    </row>
    <row r="117" customFormat="false" ht="15" hidden="false" customHeight="true" outlineLevel="0" collapsed="false">
      <c r="A117" s="148" t="str">
        <f aca="false">IF($M117="","",INDEX(LEDGER_ENGINE!$B$2:$B$546,$M117))</f>
        <v/>
      </c>
      <c r="B117" s="149" t="str">
        <f aca="false">IF($M117="","",INDEX(LEDGER_ENGINE!$C$2:$C$546,$M117))</f>
        <v/>
      </c>
      <c r="C117" s="149" t="str">
        <f aca="false">IF($M117="","",INDEX(LEDGER_ENGINE!$G$2:$G$546,$M117))</f>
        <v/>
      </c>
      <c r="D117" s="149" t="str">
        <f aca="false">IF($M117="","",INDEX(LEDGER_ENGINE!$H$2:$H$546,$M117))</f>
        <v/>
      </c>
      <c r="E117" s="150" t="str">
        <f aca="false">IF($M117="","",INDEX(LEDGER_ENGINE!$I$2:$I$546,$M117))</f>
        <v/>
      </c>
      <c r="G117" s="148" t="str">
        <f aca="false">IF($N117="","",INDEX(LEDGER_ENGINE!$B$2:$B$546,$N117))</f>
        <v/>
      </c>
      <c r="H117" s="149" t="str">
        <f aca="false">IF($N117="","",INDEX(LEDGER_ENGINE!$C$2:$C$546,$N117))</f>
        <v/>
      </c>
      <c r="I117" s="149" t="str">
        <f aca="false">IF($N117="","",INDEX(LEDGER_ENGINE!$G$2:$G$546,$N117))</f>
        <v/>
      </c>
      <c r="J117" s="149" t="str">
        <f aca="false">IFERROR(IF($N117="","",INDEX(LEDGER_ENGINE!$H$2:$H$546,$N117)),"")</f>
        <v/>
      </c>
      <c r="K117" s="150" t="str">
        <f aca="false">IF($N117="","",INDEX(LEDGER_ENGINE!$J$2:$J$546,$N117))</f>
        <v/>
      </c>
      <c r="M117" s="101" t="str">
        <f aca="false">IF(SUMIFS(LEDGER_ENGINE!$A$2:$A$546,LEDGER_ENGINE!$R$2:$R$546,$B$4&amp;"|"&amp;(ROW()-8))=0,"",SUMIFS(LEDGER_ENGINE!$A$2:$A$546,LEDGER_ENGINE!$R$2:$R$546,$B$4&amp;"|"&amp;(ROW()-8)))</f>
        <v/>
      </c>
      <c r="N117" s="101" t="str">
        <f aca="false">IF(SUMIFS(LEDGER_ENGINE!$A$2:$A$546,LEDGER_ENGINE!$S$2:$S$546,$B$4&amp;"|"&amp;(ROW()-8))=0,"",SUMIFS(LEDGER_ENGINE!$A$2:$A$546,LEDGER_ENGINE!$S$2:$S$546,$B$4&amp;"|"&amp;(ROW()-8)))</f>
        <v/>
      </c>
    </row>
    <row r="118" customFormat="false" ht="15" hidden="false" customHeight="true" outlineLevel="0" collapsed="false">
      <c r="A118" s="148" t="str">
        <f aca="false">IF($M118="","",INDEX(LEDGER_ENGINE!$B$2:$B$546,$M118))</f>
        <v/>
      </c>
      <c r="B118" s="149" t="str">
        <f aca="false">IF($M118="","",INDEX(LEDGER_ENGINE!$C$2:$C$546,$M118))</f>
        <v/>
      </c>
      <c r="C118" s="149" t="str">
        <f aca="false">IF($M118="","",INDEX(LEDGER_ENGINE!$G$2:$G$546,$M118))</f>
        <v/>
      </c>
      <c r="D118" s="149" t="str">
        <f aca="false">IF($M118="","",INDEX(LEDGER_ENGINE!$H$2:$H$546,$M118))</f>
        <v/>
      </c>
      <c r="E118" s="150" t="str">
        <f aca="false">IF($M118="","",INDEX(LEDGER_ENGINE!$I$2:$I$546,$M118))</f>
        <v/>
      </c>
      <c r="G118" s="148" t="str">
        <f aca="false">IF($N118="","",INDEX(LEDGER_ENGINE!$B$2:$B$546,$N118))</f>
        <v/>
      </c>
      <c r="H118" s="149" t="str">
        <f aca="false">IF($N118="","",INDEX(LEDGER_ENGINE!$C$2:$C$546,$N118))</f>
        <v/>
      </c>
      <c r="I118" s="149" t="str">
        <f aca="false">IF($N118="","",INDEX(LEDGER_ENGINE!$G$2:$G$546,$N118))</f>
        <v/>
      </c>
      <c r="J118" s="149" t="str">
        <f aca="false">IFERROR(IF($N118="","",INDEX(LEDGER_ENGINE!$H$2:$H$546,$N118)),"")</f>
        <v/>
      </c>
      <c r="K118" s="150" t="str">
        <f aca="false">IF($N118="","",INDEX(LEDGER_ENGINE!$J$2:$J$546,$N118))</f>
        <v/>
      </c>
      <c r="M118" s="101" t="str">
        <f aca="false">IF(SUMIFS(LEDGER_ENGINE!$A$2:$A$546,LEDGER_ENGINE!$R$2:$R$546,$B$4&amp;"|"&amp;(ROW()-8))=0,"",SUMIFS(LEDGER_ENGINE!$A$2:$A$546,LEDGER_ENGINE!$R$2:$R$546,$B$4&amp;"|"&amp;(ROW()-8)))</f>
        <v/>
      </c>
      <c r="N118" s="101" t="str">
        <f aca="false">IF(SUMIFS(LEDGER_ENGINE!$A$2:$A$546,LEDGER_ENGINE!$S$2:$S$546,$B$4&amp;"|"&amp;(ROW()-8))=0,"",SUMIFS(LEDGER_ENGINE!$A$2:$A$546,LEDGER_ENGINE!$S$2:$S$546,$B$4&amp;"|"&amp;(ROW()-8)))</f>
        <v/>
      </c>
    </row>
    <row r="119" customFormat="false" ht="15" hidden="false" customHeight="true" outlineLevel="0" collapsed="false">
      <c r="A119" s="148" t="str">
        <f aca="false">IF($M119="","",INDEX(LEDGER_ENGINE!$B$2:$B$546,$M119))</f>
        <v/>
      </c>
      <c r="B119" s="149" t="str">
        <f aca="false">IF($M119="","",INDEX(LEDGER_ENGINE!$C$2:$C$546,$M119))</f>
        <v/>
      </c>
      <c r="C119" s="149" t="str">
        <f aca="false">IF($M119="","",INDEX(LEDGER_ENGINE!$G$2:$G$546,$M119))</f>
        <v/>
      </c>
      <c r="D119" s="149" t="str">
        <f aca="false">IF($M119="","",INDEX(LEDGER_ENGINE!$H$2:$H$546,$M119))</f>
        <v/>
      </c>
      <c r="E119" s="150" t="str">
        <f aca="false">IF($M119="","",INDEX(LEDGER_ENGINE!$I$2:$I$546,$M119))</f>
        <v/>
      </c>
      <c r="G119" s="148" t="str">
        <f aca="false">IF($N119="","",INDEX(LEDGER_ENGINE!$B$2:$B$546,$N119))</f>
        <v/>
      </c>
      <c r="H119" s="149" t="str">
        <f aca="false">IF($N119="","",INDEX(LEDGER_ENGINE!$C$2:$C$546,$N119))</f>
        <v/>
      </c>
      <c r="I119" s="149" t="str">
        <f aca="false">IF($N119="","",INDEX(LEDGER_ENGINE!$G$2:$G$546,$N119))</f>
        <v/>
      </c>
      <c r="J119" s="149" t="str">
        <f aca="false">IFERROR(IF($N119="","",INDEX(LEDGER_ENGINE!$H$2:$H$546,$N119)),"")</f>
        <v/>
      </c>
      <c r="K119" s="150" t="str">
        <f aca="false">IF($N119="","",INDEX(LEDGER_ENGINE!$J$2:$J$546,$N119))</f>
        <v/>
      </c>
      <c r="M119" s="101" t="str">
        <f aca="false">IF(SUMIFS(LEDGER_ENGINE!$A$2:$A$546,LEDGER_ENGINE!$R$2:$R$546,$B$4&amp;"|"&amp;(ROW()-8))=0,"",SUMIFS(LEDGER_ENGINE!$A$2:$A$546,LEDGER_ENGINE!$R$2:$R$546,$B$4&amp;"|"&amp;(ROW()-8)))</f>
        <v/>
      </c>
      <c r="N119" s="101" t="str">
        <f aca="false">IF(SUMIFS(LEDGER_ENGINE!$A$2:$A$546,LEDGER_ENGINE!$S$2:$S$546,$B$4&amp;"|"&amp;(ROW()-8))=0,"",SUMIFS(LEDGER_ENGINE!$A$2:$A$546,LEDGER_ENGINE!$S$2:$S$546,$B$4&amp;"|"&amp;(ROW()-8)))</f>
        <v/>
      </c>
    </row>
    <row r="120" customFormat="false" ht="15" hidden="false" customHeight="true" outlineLevel="0" collapsed="false">
      <c r="A120" s="148" t="str">
        <f aca="false">IF($M120="","",INDEX(LEDGER_ENGINE!$B$2:$B$546,$M120))</f>
        <v/>
      </c>
      <c r="B120" s="149" t="str">
        <f aca="false">IF($M120="","",INDEX(LEDGER_ENGINE!$C$2:$C$546,$M120))</f>
        <v/>
      </c>
      <c r="C120" s="149" t="str">
        <f aca="false">IF($M120="","",INDEX(LEDGER_ENGINE!$G$2:$G$546,$M120))</f>
        <v/>
      </c>
      <c r="D120" s="149" t="str">
        <f aca="false">IF($M120="","",INDEX(LEDGER_ENGINE!$H$2:$H$546,$M120))</f>
        <v/>
      </c>
      <c r="E120" s="150" t="str">
        <f aca="false">IF($M120="","",INDEX(LEDGER_ENGINE!$I$2:$I$546,$M120))</f>
        <v/>
      </c>
      <c r="G120" s="148" t="str">
        <f aca="false">IF($N120="","",INDEX(LEDGER_ENGINE!$B$2:$B$546,$N120))</f>
        <v/>
      </c>
      <c r="H120" s="149" t="str">
        <f aca="false">IF($N120="","",INDEX(LEDGER_ENGINE!$C$2:$C$546,$N120))</f>
        <v/>
      </c>
      <c r="I120" s="149" t="str">
        <f aca="false">IF($N120="","",INDEX(LEDGER_ENGINE!$G$2:$G$546,$N120))</f>
        <v/>
      </c>
      <c r="J120" s="149" t="str">
        <f aca="false">IFERROR(IF($N120="","",INDEX(LEDGER_ENGINE!$H$2:$H$546,$N120)),"")</f>
        <v/>
      </c>
      <c r="K120" s="150" t="str">
        <f aca="false">IF($N120="","",INDEX(LEDGER_ENGINE!$J$2:$J$546,$N120))</f>
        <v/>
      </c>
      <c r="M120" s="101" t="str">
        <f aca="false">IF(SUMIFS(LEDGER_ENGINE!$A$2:$A$546,LEDGER_ENGINE!$R$2:$R$546,$B$4&amp;"|"&amp;(ROW()-8))=0,"",SUMIFS(LEDGER_ENGINE!$A$2:$A$546,LEDGER_ENGINE!$R$2:$R$546,$B$4&amp;"|"&amp;(ROW()-8)))</f>
        <v/>
      </c>
      <c r="N120" s="101" t="str">
        <f aca="false">IF(SUMIFS(LEDGER_ENGINE!$A$2:$A$546,LEDGER_ENGINE!$S$2:$S$546,$B$4&amp;"|"&amp;(ROW()-8))=0,"",SUMIFS(LEDGER_ENGINE!$A$2:$A$546,LEDGER_ENGINE!$S$2:$S$546,$B$4&amp;"|"&amp;(ROW()-8)))</f>
        <v/>
      </c>
    </row>
    <row r="121" customFormat="false" ht="15" hidden="false" customHeight="true" outlineLevel="0" collapsed="false">
      <c r="A121" s="148" t="str">
        <f aca="false">IF($M121="","",INDEX(LEDGER_ENGINE!$B$2:$B$546,$M121))</f>
        <v/>
      </c>
      <c r="B121" s="149" t="str">
        <f aca="false">IF($M121="","",INDEX(LEDGER_ENGINE!$C$2:$C$546,$M121))</f>
        <v/>
      </c>
      <c r="C121" s="149" t="str">
        <f aca="false">IF($M121="","",INDEX(LEDGER_ENGINE!$G$2:$G$546,$M121))</f>
        <v/>
      </c>
      <c r="D121" s="149" t="str">
        <f aca="false">IF($M121="","",INDEX(LEDGER_ENGINE!$H$2:$H$546,$M121))</f>
        <v/>
      </c>
      <c r="E121" s="150" t="str">
        <f aca="false">IF($M121="","",INDEX(LEDGER_ENGINE!$I$2:$I$546,$M121))</f>
        <v/>
      </c>
      <c r="G121" s="148" t="str">
        <f aca="false">IF($N121="","",INDEX(LEDGER_ENGINE!$B$2:$B$546,$N121))</f>
        <v/>
      </c>
      <c r="H121" s="149" t="str">
        <f aca="false">IF($N121="","",INDEX(LEDGER_ENGINE!$C$2:$C$546,$N121))</f>
        <v/>
      </c>
      <c r="I121" s="149" t="str">
        <f aca="false">IF($N121="","",INDEX(LEDGER_ENGINE!$G$2:$G$546,$N121))</f>
        <v/>
      </c>
      <c r="J121" s="149" t="str">
        <f aca="false">IFERROR(IF($N121="","",INDEX(LEDGER_ENGINE!$H$2:$H$546,$N121)),"")</f>
        <v/>
      </c>
      <c r="K121" s="150" t="str">
        <f aca="false">IF($N121="","",INDEX(LEDGER_ENGINE!$J$2:$J$546,$N121))</f>
        <v/>
      </c>
      <c r="M121" s="101" t="str">
        <f aca="false">IF(SUMIFS(LEDGER_ENGINE!$A$2:$A$546,LEDGER_ENGINE!$R$2:$R$546,$B$4&amp;"|"&amp;(ROW()-8))=0,"",SUMIFS(LEDGER_ENGINE!$A$2:$A$546,LEDGER_ENGINE!$R$2:$R$546,$B$4&amp;"|"&amp;(ROW()-8)))</f>
        <v/>
      </c>
      <c r="N121" s="101" t="str">
        <f aca="false">IF(SUMIFS(LEDGER_ENGINE!$A$2:$A$546,LEDGER_ENGINE!$S$2:$S$546,$B$4&amp;"|"&amp;(ROW()-8))=0,"",SUMIFS(LEDGER_ENGINE!$A$2:$A$546,LEDGER_ENGINE!$S$2:$S$546,$B$4&amp;"|"&amp;(ROW()-8)))</f>
        <v/>
      </c>
    </row>
    <row r="122" customFormat="false" ht="15" hidden="false" customHeight="true" outlineLevel="0" collapsed="false">
      <c r="A122" s="148" t="str">
        <f aca="false">IF($M122="","",INDEX(LEDGER_ENGINE!$B$2:$B$546,$M122))</f>
        <v/>
      </c>
      <c r="B122" s="149" t="str">
        <f aca="false">IF($M122="","",INDEX(LEDGER_ENGINE!$C$2:$C$546,$M122))</f>
        <v/>
      </c>
      <c r="C122" s="149" t="str">
        <f aca="false">IF($M122="","",INDEX(LEDGER_ENGINE!$G$2:$G$546,$M122))</f>
        <v/>
      </c>
      <c r="D122" s="149" t="str">
        <f aca="false">IF($M122="","",INDEX(LEDGER_ENGINE!$H$2:$H$546,$M122))</f>
        <v/>
      </c>
      <c r="E122" s="150" t="str">
        <f aca="false">IF($M122="","",INDEX(LEDGER_ENGINE!$I$2:$I$546,$M122))</f>
        <v/>
      </c>
      <c r="G122" s="148" t="str">
        <f aca="false">IF($N122="","",INDEX(LEDGER_ENGINE!$B$2:$B$546,$N122))</f>
        <v/>
      </c>
      <c r="H122" s="149" t="str">
        <f aca="false">IF($N122="","",INDEX(LEDGER_ENGINE!$C$2:$C$546,$N122))</f>
        <v/>
      </c>
      <c r="I122" s="149" t="str">
        <f aca="false">IF($N122="","",INDEX(LEDGER_ENGINE!$G$2:$G$546,$N122))</f>
        <v/>
      </c>
      <c r="J122" s="149" t="str">
        <f aca="false">IFERROR(IF($N122="","",INDEX(LEDGER_ENGINE!$H$2:$H$546,$N122)),"")</f>
        <v/>
      </c>
      <c r="K122" s="150" t="str">
        <f aca="false">IF($N122="","",INDEX(LEDGER_ENGINE!$J$2:$J$546,$N122))</f>
        <v/>
      </c>
      <c r="M122" s="101" t="str">
        <f aca="false">IF(SUMIFS(LEDGER_ENGINE!$A$2:$A$546,LEDGER_ENGINE!$R$2:$R$546,$B$4&amp;"|"&amp;(ROW()-8))=0,"",SUMIFS(LEDGER_ENGINE!$A$2:$A$546,LEDGER_ENGINE!$R$2:$R$546,$B$4&amp;"|"&amp;(ROW()-8)))</f>
        <v/>
      </c>
      <c r="N122" s="101" t="str">
        <f aca="false">IF(SUMIFS(LEDGER_ENGINE!$A$2:$A$546,LEDGER_ENGINE!$S$2:$S$546,$B$4&amp;"|"&amp;(ROW()-8))=0,"",SUMIFS(LEDGER_ENGINE!$A$2:$A$546,LEDGER_ENGINE!$S$2:$S$546,$B$4&amp;"|"&amp;(ROW()-8)))</f>
        <v/>
      </c>
    </row>
    <row r="123" customFormat="false" ht="15" hidden="false" customHeight="true" outlineLevel="0" collapsed="false">
      <c r="A123" s="148" t="str">
        <f aca="false">IF($M123="","",INDEX(LEDGER_ENGINE!$B$2:$B$546,$M123))</f>
        <v/>
      </c>
      <c r="B123" s="149" t="str">
        <f aca="false">IF($M123="","",INDEX(LEDGER_ENGINE!$C$2:$C$546,$M123))</f>
        <v/>
      </c>
      <c r="C123" s="149" t="str">
        <f aca="false">IF($M123="","",INDEX(LEDGER_ENGINE!$G$2:$G$546,$M123))</f>
        <v/>
      </c>
      <c r="D123" s="149" t="str">
        <f aca="false">IF($M123="","",INDEX(LEDGER_ENGINE!$H$2:$H$546,$M123))</f>
        <v/>
      </c>
      <c r="E123" s="150" t="str">
        <f aca="false">IF($M123="","",INDEX(LEDGER_ENGINE!$I$2:$I$546,$M123))</f>
        <v/>
      </c>
      <c r="G123" s="148" t="str">
        <f aca="false">IF($N123="","",INDEX(LEDGER_ENGINE!$B$2:$B$546,$N123))</f>
        <v/>
      </c>
      <c r="H123" s="149" t="str">
        <f aca="false">IF($N123="","",INDEX(LEDGER_ENGINE!$C$2:$C$546,$N123))</f>
        <v/>
      </c>
      <c r="I123" s="149" t="str">
        <f aca="false">IF($N123="","",INDEX(LEDGER_ENGINE!$G$2:$G$546,$N123))</f>
        <v/>
      </c>
      <c r="J123" s="149" t="str">
        <f aca="false">IFERROR(IF($N123="","",INDEX(LEDGER_ENGINE!$H$2:$H$546,$N123)),"")</f>
        <v/>
      </c>
      <c r="K123" s="150" t="str">
        <f aca="false">IF($N123="","",INDEX(LEDGER_ENGINE!$J$2:$J$546,$N123))</f>
        <v/>
      </c>
      <c r="M123" s="101" t="str">
        <f aca="false">IF(SUMIFS(LEDGER_ENGINE!$A$2:$A$546,LEDGER_ENGINE!$R$2:$R$546,$B$4&amp;"|"&amp;(ROW()-8))=0,"",SUMIFS(LEDGER_ENGINE!$A$2:$A$546,LEDGER_ENGINE!$R$2:$R$546,$B$4&amp;"|"&amp;(ROW()-8)))</f>
        <v/>
      </c>
      <c r="N123" s="101" t="str">
        <f aca="false">IF(SUMIFS(LEDGER_ENGINE!$A$2:$A$546,LEDGER_ENGINE!$S$2:$S$546,$B$4&amp;"|"&amp;(ROW()-8))=0,"",SUMIFS(LEDGER_ENGINE!$A$2:$A$546,LEDGER_ENGINE!$S$2:$S$546,$B$4&amp;"|"&amp;(ROW()-8)))</f>
        <v/>
      </c>
    </row>
    <row r="124" customFormat="false" ht="15" hidden="false" customHeight="true" outlineLevel="0" collapsed="false">
      <c r="A124" s="148" t="str">
        <f aca="false">IF($M124="","",INDEX(LEDGER_ENGINE!$B$2:$B$546,$M124))</f>
        <v/>
      </c>
      <c r="B124" s="149" t="str">
        <f aca="false">IF($M124="","",INDEX(LEDGER_ENGINE!$C$2:$C$546,$M124))</f>
        <v/>
      </c>
      <c r="C124" s="149" t="str">
        <f aca="false">IF($M124="","",INDEX(LEDGER_ENGINE!$G$2:$G$546,$M124))</f>
        <v/>
      </c>
      <c r="D124" s="149" t="str">
        <f aca="false">IF($M124="","",INDEX(LEDGER_ENGINE!$H$2:$H$546,$M124))</f>
        <v/>
      </c>
      <c r="E124" s="150" t="str">
        <f aca="false">IF($M124="","",INDEX(LEDGER_ENGINE!$I$2:$I$546,$M124))</f>
        <v/>
      </c>
      <c r="G124" s="148" t="str">
        <f aca="false">IF($N124="","",INDEX(LEDGER_ENGINE!$B$2:$B$546,$N124))</f>
        <v/>
      </c>
      <c r="H124" s="149" t="str">
        <f aca="false">IF($N124="","",INDEX(LEDGER_ENGINE!$C$2:$C$546,$N124))</f>
        <v/>
      </c>
      <c r="I124" s="149" t="str">
        <f aca="false">IF($N124="","",INDEX(LEDGER_ENGINE!$G$2:$G$546,$N124))</f>
        <v/>
      </c>
      <c r="J124" s="149" t="str">
        <f aca="false">IFERROR(IF($N124="","",INDEX(LEDGER_ENGINE!$H$2:$H$546,$N124)),"")</f>
        <v/>
      </c>
      <c r="K124" s="150" t="str">
        <f aca="false">IF($N124="","",INDEX(LEDGER_ENGINE!$J$2:$J$546,$N124))</f>
        <v/>
      </c>
      <c r="M124" s="101" t="str">
        <f aca="false">IF(SUMIFS(LEDGER_ENGINE!$A$2:$A$546,LEDGER_ENGINE!$R$2:$R$546,$B$4&amp;"|"&amp;(ROW()-8))=0,"",SUMIFS(LEDGER_ENGINE!$A$2:$A$546,LEDGER_ENGINE!$R$2:$R$546,$B$4&amp;"|"&amp;(ROW()-8)))</f>
        <v/>
      </c>
      <c r="N124" s="101" t="str">
        <f aca="false">IF(SUMIFS(LEDGER_ENGINE!$A$2:$A$546,LEDGER_ENGINE!$S$2:$S$546,$B$4&amp;"|"&amp;(ROW()-8))=0,"",SUMIFS(LEDGER_ENGINE!$A$2:$A$546,LEDGER_ENGINE!$S$2:$S$546,$B$4&amp;"|"&amp;(ROW()-8)))</f>
        <v/>
      </c>
    </row>
    <row r="125" customFormat="false" ht="15" hidden="false" customHeight="true" outlineLevel="0" collapsed="false">
      <c r="A125" s="148" t="str">
        <f aca="false">IF($M125="","",INDEX(LEDGER_ENGINE!$B$2:$B$546,$M125))</f>
        <v/>
      </c>
      <c r="B125" s="149" t="str">
        <f aca="false">IF($M125="","",INDEX(LEDGER_ENGINE!$C$2:$C$546,$M125))</f>
        <v/>
      </c>
      <c r="C125" s="149" t="str">
        <f aca="false">IF($M125="","",INDEX(LEDGER_ENGINE!$G$2:$G$546,$M125))</f>
        <v/>
      </c>
      <c r="D125" s="149" t="str">
        <f aca="false">IF($M125="","",INDEX(LEDGER_ENGINE!$H$2:$H$546,$M125))</f>
        <v/>
      </c>
      <c r="E125" s="150" t="str">
        <f aca="false">IF($M125="","",INDEX(LEDGER_ENGINE!$I$2:$I$546,$M125))</f>
        <v/>
      </c>
      <c r="G125" s="148" t="str">
        <f aca="false">IF($N125="","",INDEX(LEDGER_ENGINE!$B$2:$B$546,$N125))</f>
        <v/>
      </c>
      <c r="H125" s="149" t="str">
        <f aca="false">IF($N125="","",INDEX(LEDGER_ENGINE!$C$2:$C$546,$N125))</f>
        <v/>
      </c>
      <c r="I125" s="149" t="str">
        <f aca="false">IF($N125="","",INDEX(LEDGER_ENGINE!$G$2:$G$546,$N125))</f>
        <v/>
      </c>
      <c r="J125" s="149" t="str">
        <f aca="false">IFERROR(IF($N125="","",INDEX(LEDGER_ENGINE!$H$2:$H$546,$N125)),"")</f>
        <v/>
      </c>
      <c r="K125" s="150" t="str">
        <f aca="false">IF($N125="","",INDEX(LEDGER_ENGINE!$J$2:$J$546,$N125))</f>
        <v/>
      </c>
      <c r="M125" s="101" t="str">
        <f aca="false">IF(SUMIFS(LEDGER_ENGINE!$A$2:$A$546,LEDGER_ENGINE!$R$2:$R$546,$B$4&amp;"|"&amp;(ROW()-8))=0,"",SUMIFS(LEDGER_ENGINE!$A$2:$A$546,LEDGER_ENGINE!$R$2:$R$546,$B$4&amp;"|"&amp;(ROW()-8)))</f>
        <v/>
      </c>
      <c r="N125" s="101" t="str">
        <f aca="false">IF(SUMIFS(LEDGER_ENGINE!$A$2:$A$546,LEDGER_ENGINE!$S$2:$S$546,$B$4&amp;"|"&amp;(ROW()-8))=0,"",SUMIFS(LEDGER_ENGINE!$A$2:$A$546,LEDGER_ENGINE!$S$2:$S$546,$B$4&amp;"|"&amp;(ROW()-8)))</f>
        <v/>
      </c>
    </row>
    <row r="126" customFormat="false" ht="15" hidden="false" customHeight="true" outlineLevel="0" collapsed="false">
      <c r="A126" s="148" t="str">
        <f aca="false">IF($M126="","",INDEX(LEDGER_ENGINE!$B$2:$B$546,$M126))</f>
        <v/>
      </c>
      <c r="B126" s="149" t="str">
        <f aca="false">IF($M126="","",INDEX(LEDGER_ENGINE!$C$2:$C$546,$M126))</f>
        <v/>
      </c>
      <c r="C126" s="149" t="str">
        <f aca="false">IF($M126="","",INDEX(LEDGER_ENGINE!$G$2:$G$546,$M126))</f>
        <v/>
      </c>
      <c r="D126" s="149" t="str">
        <f aca="false">IF($M126="","",INDEX(LEDGER_ENGINE!$H$2:$H$546,$M126))</f>
        <v/>
      </c>
      <c r="E126" s="150" t="str">
        <f aca="false">IF($M126="","",INDEX(LEDGER_ENGINE!$I$2:$I$546,$M126))</f>
        <v/>
      </c>
      <c r="G126" s="148" t="str">
        <f aca="false">IF($N126="","",INDEX(LEDGER_ENGINE!$B$2:$B$546,$N126))</f>
        <v/>
      </c>
      <c r="H126" s="149" t="str">
        <f aca="false">IF($N126="","",INDEX(LEDGER_ENGINE!$C$2:$C$546,$N126))</f>
        <v/>
      </c>
      <c r="I126" s="149" t="str">
        <f aca="false">IF($N126="","",INDEX(LEDGER_ENGINE!$G$2:$G$546,$N126))</f>
        <v/>
      </c>
      <c r="J126" s="149" t="str">
        <f aca="false">IFERROR(IF($N126="","",INDEX(LEDGER_ENGINE!$H$2:$H$546,$N126)),"")</f>
        <v/>
      </c>
      <c r="K126" s="150" t="str">
        <f aca="false">IF($N126="","",INDEX(LEDGER_ENGINE!$J$2:$J$546,$N126))</f>
        <v/>
      </c>
      <c r="M126" s="101" t="str">
        <f aca="false">IF(SUMIFS(LEDGER_ENGINE!$A$2:$A$546,LEDGER_ENGINE!$R$2:$R$546,$B$4&amp;"|"&amp;(ROW()-8))=0,"",SUMIFS(LEDGER_ENGINE!$A$2:$A$546,LEDGER_ENGINE!$R$2:$R$546,$B$4&amp;"|"&amp;(ROW()-8)))</f>
        <v/>
      </c>
      <c r="N126" s="101" t="str">
        <f aca="false">IF(SUMIFS(LEDGER_ENGINE!$A$2:$A$546,LEDGER_ENGINE!$S$2:$S$546,$B$4&amp;"|"&amp;(ROW()-8))=0,"",SUMIFS(LEDGER_ENGINE!$A$2:$A$546,LEDGER_ENGINE!$S$2:$S$546,$B$4&amp;"|"&amp;(ROW()-8)))</f>
        <v/>
      </c>
    </row>
    <row r="127" customFormat="false" ht="15" hidden="false" customHeight="true" outlineLevel="0" collapsed="false">
      <c r="A127" s="148" t="str">
        <f aca="false">IF($M127="","",INDEX(LEDGER_ENGINE!$B$2:$B$546,$M127))</f>
        <v/>
      </c>
      <c r="B127" s="149" t="str">
        <f aca="false">IF($M127="","",INDEX(LEDGER_ENGINE!$C$2:$C$546,$M127))</f>
        <v/>
      </c>
      <c r="C127" s="149" t="str">
        <f aca="false">IF($M127="","",INDEX(LEDGER_ENGINE!$G$2:$G$546,$M127))</f>
        <v/>
      </c>
      <c r="D127" s="149" t="str">
        <f aca="false">IF($M127="","",INDEX(LEDGER_ENGINE!$H$2:$H$546,$M127))</f>
        <v/>
      </c>
      <c r="E127" s="150" t="str">
        <f aca="false">IF($M127="","",INDEX(LEDGER_ENGINE!$I$2:$I$546,$M127))</f>
        <v/>
      </c>
      <c r="G127" s="148" t="str">
        <f aca="false">IF($N127="","",INDEX(LEDGER_ENGINE!$B$2:$B$546,$N127))</f>
        <v/>
      </c>
      <c r="H127" s="149" t="str">
        <f aca="false">IF($N127="","",INDEX(LEDGER_ENGINE!$C$2:$C$546,$N127))</f>
        <v/>
      </c>
      <c r="I127" s="149" t="str">
        <f aca="false">IF($N127="","",INDEX(LEDGER_ENGINE!$G$2:$G$546,$N127))</f>
        <v/>
      </c>
      <c r="J127" s="149" t="str">
        <f aca="false">IFERROR(IF($N127="","",INDEX(LEDGER_ENGINE!$H$2:$H$546,$N127)),"")</f>
        <v/>
      </c>
      <c r="K127" s="150" t="str">
        <f aca="false">IF($N127="","",INDEX(LEDGER_ENGINE!$J$2:$J$546,$N127))</f>
        <v/>
      </c>
      <c r="M127" s="101" t="str">
        <f aca="false">IF(SUMIFS(LEDGER_ENGINE!$A$2:$A$546,LEDGER_ENGINE!$R$2:$R$546,$B$4&amp;"|"&amp;(ROW()-8))=0,"",SUMIFS(LEDGER_ENGINE!$A$2:$A$546,LEDGER_ENGINE!$R$2:$R$546,$B$4&amp;"|"&amp;(ROW()-8)))</f>
        <v/>
      </c>
      <c r="N127" s="101" t="str">
        <f aca="false">IF(SUMIFS(LEDGER_ENGINE!$A$2:$A$546,LEDGER_ENGINE!$S$2:$S$546,$B$4&amp;"|"&amp;(ROW()-8))=0,"",SUMIFS(LEDGER_ENGINE!$A$2:$A$546,LEDGER_ENGINE!$S$2:$S$546,$B$4&amp;"|"&amp;(ROW()-8)))</f>
        <v/>
      </c>
    </row>
    <row r="128" customFormat="false" ht="15" hidden="false" customHeight="true" outlineLevel="0" collapsed="false">
      <c r="A128" s="148" t="str">
        <f aca="false">IF($M128="","",INDEX(LEDGER_ENGINE!$B$2:$B$546,$M128))</f>
        <v/>
      </c>
      <c r="B128" s="149" t="str">
        <f aca="false">IF($M128="","",INDEX(LEDGER_ENGINE!$C$2:$C$546,$M128))</f>
        <v/>
      </c>
      <c r="C128" s="149" t="str">
        <f aca="false">IF($M128="","",INDEX(LEDGER_ENGINE!$G$2:$G$546,$M128))</f>
        <v/>
      </c>
      <c r="D128" s="149" t="str">
        <f aca="false">IF($M128="","",INDEX(LEDGER_ENGINE!$H$2:$H$546,$M128))</f>
        <v/>
      </c>
      <c r="E128" s="150" t="str">
        <f aca="false">IF($M128="","",INDEX(LEDGER_ENGINE!$I$2:$I$546,$M128))</f>
        <v/>
      </c>
      <c r="G128" s="148" t="str">
        <f aca="false">IF($N128="","",INDEX(LEDGER_ENGINE!$B$2:$B$546,$N128))</f>
        <v/>
      </c>
      <c r="H128" s="149" t="str">
        <f aca="false">IF($N128="","",INDEX(LEDGER_ENGINE!$C$2:$C$546,$N128))</f>
        <v/>
      </c>
      <c r="I128" s="149" t="str">
        <f aca="false">IF($N128="","",INDEX(LEDGER_ENGINE!$G$2:$G$546,$N128))</f>
        <v/>
      </c>
      <c r="J128" s="149" t="str">
        <f aca="false">IFERROR(IF($N128="","",INDEX(LEDGER_ENGINE!$H$2:$H$546,$N128)),"")</f>
        <v/>
      </c>
      <c r="K128" s="150" t="str">
        <f aca="false">IF($N128="","",INDEX(LEDGER_ENGINE!$J$2:$J$546,$N128))</f>
        <v/>
      </c>
      <c r="M128" s="101" t="str">
        <f aca="false">IF(SUMIFS(LEDGER_ENGINE!$A$2:$A$546,LEDGER_ENGINE!$R$2:$R$546,$B$4&amp;"|"&amp;(ROW()-8))=0,"",SUMIFS(LEDGER_ENGINE!$A$2:$A$546,LEDGER_ENGINE!$R$2:$R$546,$B$4&amp;"|"&amp;(ROW()-8)))</f>
        <v/>
      </c>
      <c r="N128" s="101" t="str">
        <f aca="false">IF(SUMIFS(LEDGER_ENGINE!$A$2:$A$546,LEDGER_ENGINE!$S$2:$S$546,$B$4&amp;"|"&amp;(ROW()-8))=0,"",SUMIFS(LEDGER_ENGINE!$A$2:$A$546,LEDGER_ENGINE!$S$2:$S$546,$B$4&amp;"|"&amp;(ROW()-8)))</f>
        <v/>
      </c>
    </row>
    <row r="129" customFormat="false" ht="15" hidden="false" customHeight="true" outlineLevel="0" collapsed="false">
      <c r="A129" s="148" t="str">
        <f aca="false">IF($M129="","",INDEX(LEDGER_ENGINE!$B$2:$B$546,$M129))</f>
        <v/>
      </c>
      <c r="B129" s="149" t="str">
        <f aca="false">IF($M129="","",INDEX(LEDGER_ENGINE!$C$2:$C$546,$M129))</f>
        <v/>
      </c>
      <c r="C129" s="149" t="str">
        <f aca="false">IF($M129="","",INDEX(LEDGER_ENGINE!$G$2:$G$546,$M129))</f>
        <v/>
      </c>
      <c r="D129" s="149" t="str">
        <f aca="false">IF($M129="","",INDEX(LEDGER_ENGINE!$H$2:$H$546,$M129))</f>
        <v/>
      </c>
      <c r="E129" s="150" t="str">
        <f aca="false">IF($M129="","",INDEX(LEDGER_ENGINE!$I$2:$I$546,$M129))</f>
        <v/>
      </c>
      <c r="G129" s="148" t="str">
        <f aca="false">IF($N129="","",INDEX(LEDGER_ENGINE!$B$2:$B$546,$N129))</f>
        <v/>
      </c>
      <c r="H129" s="149" t="str">
        <f aca="false">IF($N129="","",INDEX(LEDGER_ENGINE!$C$2:$C$546,$N129))</f>
        <v/>
      </c>
      <c r="I129" s="149" t="str">
        <f aca="false">IF($N129="","",INDEX(LEDGER_ENGINE!$G$2:$G$546,$N129))</f>
        <v/>
      </c>
      <c r="J129" s="149" t="str">
        <f aca="false">IFERROR(IF($N129="","",INDEX(LEDGER_ENGINE!$H$2:$H$546,$N129)),"")</f>
        <v/>
      </c>
      <c r="K129" s="150" t="str">
        <f aca="false">IF($N129="","",INDEX(LEDGER_ENGINE!$J$2:$J$546,$N129))</f>
        <v/>
      </c>
      <c r="M129" s="101" t="str">
        <f aca="false">IF(SUMIFS(LEDGER_ENGINE!$A$2:$A$546,LEDGER_ENGINE!$R$2:$R$546,$B$4&amp;"|"&amp;(ROW()-8))=0,"",SUMIFS(LEDGER_ENGINE!$A$2:$A$546,LEDGER_ENGINE!$R$2:$R$546,$B$4&amp;"|"&amp;(ROW()-8)))</f>
        <v/>
      </c>
      <c r="N129" s="101" t="str">
        <f aca="false">IF(SUMIFS(LEDGER_ENGINE!$A$2:$A$546,LEDGER_ENGINE!$S$2:$S$546,$B$4&amp;"|"&amp;(ROW()-8))=0,"",SUMIFS(LEDGER_ENGINE!$A$2:$A$546,LEDGER_ENGINE!$S$2:$S$546,$B$4&amp;"|"&amp;(ROW()-8)))</f>
        <v/>
      </c>
    </row>
    <row r="130" customFormat="false" ht="15" hidden="false" customHeight="true" outlineLevel="0" collapsed="false">
      <c r="A130" s="148" t="str">
        <f aca="false">IF($M130="","",INDEX(LEDGER_ENGINE!$B$2:$B$546,$M130))</f>
        <v/>
      </c>
      <c r="B130" s="149" t="str">
        <f aca="false">IF($M130="","",INDEX(LEDGER_ENGINE!$C$2:$C$546,$M130))</f>
        <v/>
      </c>
      <c r="C130" s="149" t="str">
        <f aca="false">IF($M130="","",INDEX(LEDGER_ENGINE!$G$2:$G$546,$M130))</f>
        <v/>
      </c>
      <c r="D130" s="149" t="str">
        <f aca="false">IF($M130="","",INDEX(LEDGER_ENGINE!$H$2:$H$546,$M130))</f>
        <v/>
      </c>
      <c r="E130" s="150" t="str">
        <f aca="false">IF($M130="","",INDEX(LEDGER_ENGINE!$I$2:$I$546,$M130))</f>
        <v/>
      </c>
      <c r="G130" s="148" t="str">
        <f aca="false">IF($N130="","",INDEX(LEDGER_ENGINE!$B$2:$B$546,$N130))</f>
        <v/>
      </c>
      <c r="H130" s="149" t="str">
        <f aca="false">IF($N130="","",INDEX(LEDGER_ENGINE!$C$2:$C$546,$N130))</f>
        <v/>
      </c>
      <c r="I130" s="149" t="str">
        <f aca="false">IF($N130="","",INDEX(LEDGER_ENGINE!$G$2:$G$546,$N130))</f>
        <v/>
      </c>
      <c r="J130" s="149" t="str">
        <f aca="false">IFERROR(IF($N130="","",INDEX(LEDGER_ENGINE!$H$2:$H$546,$N130)),"")</f>
        <v/>
      </c>
      <c r="K130" s="150" t="str">
        <f aca="false">IF($N130="","",INDEX(LEDGER_ENGINE!$J$2:$J$546,$N130))</f>
        <v/>
      </c>
      <c r="M130" s="101" t="str">
        <f aca="false">IF(SUMIFS(LEDGER_ENGINE!$A$2:$A$546,LEDGER_ENGINE!$R$2:$R$546,$B$4&amp;"|"&amp;(ROW()-8))=0,"",SUMIFS(LEDGER_ENGINE!$A$2:$A$546,LEDGER_ENGINE!$R$2:$R$546,$B$4&amp;"|"&amp;(ROW()-8)))</f>
        <v/>
      </c>
      <c r="N130" s="101" t="str">
        <f aca="false">IF(SUMIFS(LEDGER_ENGINE!$A$2:$A$546,LEDGER_ENGINE!$S$2:$S$546,$B$4&amp;"|"&amp;(ROW()-8))=0,"",SUMIFS(LEDGER_ENGINE!$A$2:$A$546,LEDGER_ENGINE!$S$2:$S$546,$B$4&amp;"|"&amp;(ROW()-8)))</f>
        <v/>
      </c>
    </row>
    <row r="131" customFormat="false" ht="15" hidden="false" customHeight="true" outlineLevel="0" collapsed="false">
      <c r="A131" s="148" t="str">
        <f aca="false">IF($M131="","",INDEX(LEDGER_ENGINE!$B$2:$B$546,$M131))</f>
        <v/>
      </c>
      <c r="B131" s="149" t="str">
        <f aca="false">IF($M131="","",INDEX(LEDGER_ENGINE!$C$2:$C$546,$M131))</f>
        <v/>
      </c>
      <c r="C131" s="149" t="str">
        <f aca="false">IF($M131="","",INDEX(LEDGER_ENGINE!$G$2:$G$546,$M131))</f>
        <v/>
      </c>
      <c r="D131" s="149" t="str">
        <f aca="false">IF($M131="","",INDEX(LEDGER_ENGINE!$H$2:$H$546,$M131))</f>
        <v/>
      </c>
      <c r="E131" s="150" t="str">
        <f aca="false">IF($M131="","",INDEX(LEDGER_ENGINE!$I$2:$I$546,$M131))</f>
        <v/>
      </c>
      <c r="G131" s="148" t="str">
        <f aca="false">IF($N131="","",INDEX(LEDGER_ENGINE!$B$2:$B$546,$N131))</f>
        <v/>
      </c>
      <c r="H131" s="149" t="str">
        <f aca="false">IF($N131="","",INDEX(LEDGER_ENGINE!$C$2:$C$546,$N131))</f>
        <v/>
      </c>
      <c r="I131" s="149" t="str">
        <f aca="false">IF($N131="","",INDEX(LEDGER_ENGINE!$G$2:$G$546,$N131))</f>
        <v/>
      </c>
      <c r="J131" s="149" t="str">
        <f aca="false">IFERROR(IF($N131="","",INDEX(LEDGER_ENGINE!$H$2:$H$546,$N131)),"")</f>
        <v/>
      </c>
      <c r="K131" s="150" t="str">
        <f aca="false">IF($N131="","",INDEX(LEDGER_ENGINE!$J$2:$J$546,$N131))</f>
        <v/>
      </c>
      <c r="M131" s="101" t="str">
        <f aca="false">IF(SUMIFS(LEDGER_ENGINE!$A$2:$A$546,LEDGER_ENGINE!$R$2:$R$546,$B$4&amp;"|"&amp;(ROW()-8))=0,"",SUMIFS(LEDGER_ENGINE!$A$2:$A$546,LEDGER_ENGINE!$R$2:$R$546,$B$4&amp;"|"&amp;(ROW()-8)))</f>
        <v/>
      </c>
      <c r="N131" s="101" t="str">
        <f aca="false">IF(SUMIFS(LEDGER_ENGINE!$A$2:$A$546,LEDGER_ENGINE!$S$2:$S$546,$B$4&amp;"|"&amp;(ROW()-8))=0,"",SUMIFS(LEDGER_ENGINE!$A$2:$A$546,LEDGER_ENGINE!$S$2:$S$546,$B$4&amp;"|"&amp;(ROW()-8)))</f>
        <v/>
      </c>
    </row>
    <row r="132" customFormat="false" ht="15" hidden="false" customHeight="true" outlineLevel="0" collapsed="false">
      <c r="A132" s="148" t="str">
        <f aca="false">IF($M132="","",INDEX(LEDGER_ENGINE!$B$2:$B$546,$M132))</f>
        <v/>
      </c>
      <c r="B132" s="149" t="str">
        <f aca="false">IF($M132="","",INDEX(LEDGER_ENGINE!$C$2:$C$546,$M132))</f>
        <v/>
      </c>
      <c r="C132" s="149" t="str">
        <f aca="false">IF($M132="","",INDEX(LEDGER_ENGINE!$G$2:$G$546,$M132))</f>
        <v/>
      </c>
      <c r="D132" s="149" t="str">
        <f aca="false">IF($M132="","",INDEX(LEDGER_ENGINE!$H$2:$H$546,$M132))</f>
        <v/>
      </c>
      <c r="E132" s="150" t="str">
        <f aca="false">IF($M132="","",INDEX(LEDGER_ENGINE!$I$2:$I$546,$M132))</f>
        <v/>
      </c>
      <c r="G132" s="148" t="str">
        <f aca="false">IF($N132="","",INDEX(LEDGER_ENGINE!$B$2:$B$546,$N132))</f>
        <v/>
      </c>
      <c r="H132" s="149" t="str">
        <f aca="false">IF($N132="","",INDEX(LEDGER_ENGINE!$C$2:$C$546,$N132))</f>
        <v/>
      </c>
      <c r="I132" s="149" t="str">
        <f aca="false">IF($N132="","",INDEX(LEDGER_ENGINE!$G$2:$G$546,$N132))</f>
        <v/>
      </c>
      <c r="J132" s="149" t="str">
        <f aca="false">IFERROR(IF($N132="","",INDEX(LEDGER_ENGINE!$H$2:$H$546,$N132)),"")</f>
        <v/>
      </c>
      <c r="K132" s="150" t="str">
        <f aca="false">IF($N132="","",INDEX(LEDGER_ENGINE!$J$2:$J$546,$N132))</f>
        <v/>
      </c>
      <c r="M132" s="101" t="str">
        <f aca="false">IF(SUMIFS(LEDGER_ENGINE!$A$2:$A$546,LEDGER_ENGINE!$R$2:$R$546,$B$4&amp;"|"&amp;(ROW()-8))=0,"",SUMIFS(LEDGER_ENGINE!$A$2:$A$546,LEDGER_ENGINE!$R$2:$R$546,$B$4&amp;"|"&amp;(ROW()-8)))</f>
        <v/>
      </c>
      <c r="N132" s="101" t="str">
        <f aca="false">IF(SUMIFS(LEDGER_ENGINE!$A$2:$A$546,LEDGER_ENGINE!$S$2:$S$546,$B$4&amp;"|"&amp;(ROW()-8))=0,"",SUMIFS(LEDGER_ENGINE!$A$2:$A$546,LEDGER_ENGINE!$S$2:$S$546,$B$4&amp;"|"&amp;(ROW()-8)))</f>
        <v/>
      </c>
    </row>
    <row r="133" customFormat="false" ht="15" hidden="false" customHeight="true" outlineLevel="0" collapsed="false">
      <c r="A133" s="148" t="str">
        <f aca="false">IF($M133="","",INDEX(LEDGER_ENGINE!$B$2:$B$546,$M133))</f>
        <v/>
      </c>
      <c r="B133" s="149" t="str">
        <f aca="false">IF($M133="","",INDEX(LEDGER_ENGINE!$C$2:$C$546,$M133))</f>
        <v/>
      </c>
      <c r="C133" s="149" t="str">
        <f aca="false">IF($M133="","",INDEX(LEDGER_ENGINE!$G$2:$G$546,$M133))</f>
        <v/>
      </c>
      <c r="D133" s="149" t="str">
        <f aca="false">IF($M133="","",INDEX(LEDGER_ENGINE!$H$2:$H$546,$M133))</f>
        <v/>
      </c>
      <c r="E133" s="150" t="str">
        <f aca="false">IF($M133="","",INDEX(LEDGER_ENGINE!$I$2:$I$546,$M133))</f>
        <v/>
      </c>
      <c r="G133" s="148" t="str">
        <f aca="false">IF($N133="","",INDEX(LEDGER_ENGINE!$B$2:$B$546,$N133))</f>
        <v/>
      </c>
      <c r="H133" s="149" t="str">
        <f aca="false">IF($N133="","",INDEX(LEDGER_ENGINE!$C$2:$C$546,$N133))</f>
        <v/>
      </c>
      <c r="I133" s="149" t="str">
        <f aca="false">IF($N133="","",INDEX(LEDGER_ENGINE!$G$2:$G$546,$N133))</f>
        <v/>
      </c>
      <c r="J133" s="149" t="str">
        <f aca="false">IFERROR(IF($N133="","",INDEX(LEDGER_ENGINE!$H$2:$H$546,$N133)),"")</f>
        <v/>
      </c>
      <c r="K133" s="150" t="str">
        <f aca="false">IF($N133="","",INDEX(LEDGER_ENGINE!$J$2:$J$546,$N133))</f>
        <v/>
      </c>
      <c r="M133" s="101" t="str">
        <f aca="false">IF(SUMIFS(LEDGER_ENGINE!$A$2:$A$546,LEDGER_ENGINE!$R$2:$R$546,$B$4&amp;"|"&amp;(ROW()-8))=0,"",SUMIFS(LEDGER_ENGINE!$A$2:$A$546,LEDGER_ENGINE!$R$2:$R$546,$B$4&amp;"|"&amp;(ROW()-8)))</f>
        <v/>
      </c>
      <c r="N133" s="101" t="str">
        <f aca="false">IF(SUMIFS(LEDGER_ENGINE!$A$2:$A$546,LEDGER_ENGINE!$S$2:$S$546,$B$4&amp;"|"&amp;(ROW()-8))=0,"",SUMIFS(LEDGER_ENGINE!$A$2:$A$546,LEDGER_ENGINE!$S$2:$S$546,$B$4&amp;"|"&amp;(ROW()-8)))</f>
        <v/>
      </c>
    </row>
    <row r="134" customFormat="false" ht="15" hidden="false" customHeight="true" outlineLevel="0" collapsed="false">
      <c r="A134" s="148" t="str">
        <f aca="false">IF($M134="","",INDEX(LEDGER_ENGINE!$B$2:$B$546,$M134))</f>
        <v/>
      </c>
      <c r="B134" s="149" t="str">
        <f aca="false">IF($M134="","",INDEX(LEDGER_ENGINE!$C$2:$C$546,$M134))</f>
        <v/>
      </c>
      <c r="C134" s="149" t="str">
        <f aca="false">IF($M134="","",INDEX(LEDGER_ENGINE!$G$2:$G$546,$M134))</f>
        <v/>
      </c>
      <c r="D134" s="149" t="str">
        <f aca="false">IF($M134="","",INDEX(LEDGER_ENGINE!$H$2:$H$546,$M134))</f>
        <v/>
      </c>
      <c r="E134" s="150" t="str">
        <f aca="false">IF($M134="","",INDEX(LEDGER_ENGINE!$I$2:$I$546,$M134))</f>
        <v/>
      </c>
      <c r="G134" s="148" t="str">
        <f aca="false">IF($N134="","",INDEX(LEDGER_ENGINE!$B$2:$B$546,$N134))</f>
        <v/>
      </c>
      <c r="H134" s="149" t="str">
        <f aca="false">IF($N134="","",INDEX(LEDGER_ENGINE!$C$2:$C$546,$N134))</f>
        <v/>
      </c>
      <c r="I134" s="149" t="str">
        <f aca="false">IF($N134="","",INDEX(LEDGER_ENGINE!$G$2:$G$546,$N134))</f>
        <v/>
      </c>
      <c r="J134" s="149" t="str">
        <f aca="false">IFERROR(IF($N134="","",INDEX(LEDGER_ENGINE!$H$2:$H$546,$N134)),"")</f>
        <v/>
      </c>
      <c r="K134" s="150" t="str">
        <f aca="false">IF($N134="","",INDEX(LEDGER_ENGINE!$J$2:$J$546,$N134))</f>
        <v/>
      </c>
      <c r="M134" s="101" t="str">
        <f aca="false">IF(SUMIFS(LEDGER_ENGINE!$A$2:$A$546,LEDGER_ENGINE!$R$2:$R$546,$B$4&amp;"|"&amp;(ROW()-8))=0,"",SUMIFS(LEDGER_ENGINE!$A$2:$A$546,LEDGER_ENGINE!$R$2:$R$546,$B$4&amp;"|"&amp;(ROW()-8)))</f>
        <v/>
      </c>
      <c r="N134" s="101" t="str">
        <f aca="false">IF(SUMIFS(LEDGER_ENGINE!$A$2:$A$546,LEDGER_ENGINE!$S$2:$S$546,$B$4&amp;"|"&amp;(ROW()-8))=0,"",SUMIFS(LEDGER_ENGINE!$A$2:$A$546,LEDGER_ENGINE!$S$2:$S$546,$B$4&amp;"|"&amp;(ROW()-8)))</f>
        <v/>
      </c>
    </row>
    <row r="135" customFormat="false" ht="15" hidden="false" customHeight="true" outlineLevel="0" collapsed="false">
      <c r="A135" s="148" t="str">
        <f aca="false">IF($M135="","",INDEX(LEDGER_ENGINE!$B$2:$B$546,$M135))</f>
        <v/>
      </c>
      <c r="B135" s="149" t="str">
        <f aca="false">IF($M135="","",INDEX(LEDGER_ENGINE!$C$2:$C$546,$M135))</f>
        <v/>
      </c>
      <c r="C135" s="149" t="str">
        <f aca="false">IF($M135="","",INDEX(LEDGER_ENGINE!$G$2:$G$546,$M135))</f>
        <v/>
      </c>
      <c r="D135" s="149" t="str">
        <f aca="false">IF($M135="","",INDEX(LEDGER_ENGINE!$H$2:$H$546,$M135))</f>
        <v/>
      </c>
      <c r="E135" s="150" t="str">
        <f aca="false">IF($M135="","",INDEX(LEDGER_ENGINE!$I$2:$I$546,$M135))</f>
        <v/>
      </c>
      <c r="G135" s="148" t="str">
        <f aca="false">IF($N135="","",INDEX(LEDGER_ENGINE!$B$2:$B$546,$N135))</f>
        <v/>
      </c>
      <c r="H135" s="149" t="str">
        <f aca="false">IF($N135="","",INDEX(LEDGER_ENGINE!$C$2:$C$546,$N135))</f>
        <v/>
      </c>
      <c r="I135" s="149" t="str">
        <f aca="false">IF($N135="","",INDEX(LEDGER_ENGINE!$G$2:$G$546,$N135))</f>
        <v/>
      </c>
      <c r="J135" s="149" t="str">
        <f aca="false">IFERROR(IF($N135="","",INDEX(LEDGER_ENGINE!$H$2:$H$546,$N135)),"")</f>
        <v/>
      </c>
      <c r="K135" s="150" t="str">
        <f aca="false">IF($N135="","",INDEX(LEDGER_ENGINE!$J$2:$J$546,$N135))</f>
        <v/>
      </c>
      <c r="M135" s="101" t="str">
        <f aca="false">IF(SUMIFS(LEDGER_ENGINE!$A$2:$A$546,LEDGER_ENGINE!$R$2:$R$546,$B$4&amp;"|"&amp;(ROW()-8))=0,"",SUMIFS(LEDGER_ENGINE!$A$2:$A$546,LEDGER_ENGINE!$R$2:$R$546,$B$4&amp;"|"&amp;(ROW()-8)))</f>
        <v/>
      </c>
      <c r="N135" s="101" t="str">
        <f aca="false">IF(SUMIFS(LEDGER_ENGINE!$A$2:$A$546,LEDGER_ENGINE!$S$2:$S$546,$B$4&amp;"|"&amp;(ROW()-8))=0,"",SUMIFS(LEDGER_ENGINE!$A$2:$A$546,LEDGER_ENGINE!$S$2:$S$546,$B$4&amp;"|"&amp;(ROW()-8)))</f>
        <v/>
      </c>
    </row>
    <row r="136" customFormat="false" ht="15" hidden="false" customHeight="true" outlineLevel="0" collapsed="false">
      <c r="A136" s="148" t="str">
        <f aca="false">IF($M136="","",INDEX(LEDGER_ENGINE!$B$2:$B$546,$M136))</f>
        <v/>
      </c>
      <c r="B136" s="149" t="str">
        <f aca="false">IF($M136="","",INDEX(LEDGER_ENGINE!$C$2:$C$546,$M136))</f>
        <v/>
      </c>
      <c r="C136" s="149" t="str">
        <f aca="false">IF($M136="","",INDEX(LEDGER_ENGINE!$G$2:$G$546,$M136))</f>
        <v/>
      </c>
      <c r="D136" s="149" t="str">
        <f aca="false">IF($M136="","",INDEX(LEDGER_ENGINE!$H$2:$H$546,$M136))</f>
        <v/>
      </c>
      <c r="E136" s="150" t="str">
        <f aca="false">IF($M136="","",INDEX(LEDGER_ENGINE!$I$2:$I$546,$M136))</f>
        <v/>
      </c>
      <c r="G136" s="148" t="str">
        <f aca="false">IF($N136="","",INDEX(LEDGER_ENGINE!$B$2:$B$546,$N136))</f>
        <v/>
      </c>
      <c r="H136" s="149" t="str">
        <f aca="false">IF($N136="","",INDEX(LEDGER_ENGINE!$C$2:$C$546,$N136))</f>
        <v/>
      </c>
      <c r="I136" s="149" t="str">
        <f aca="false">IF($N136="","",INDEX(LEDGER_ENGINE!$G$2:$G$546,$N136))</f>
        <v/>
      </c>
      <c r="J136" s="149" t="str">
        <f aca="false">IFERROR(IF($N136="","",INDEX(LEDGER_ENGINE!$H$2:$H$546,$N136)),"")</f>
        <v/>
      </c>
      <c r="K136" s="150" t="str">
        <f aca="false">IF($N136="","",INDEX(LEDGER_ENGINE!$J$2:$J$546,$N136))</f>
        <v/>
      </c>
      <c r="M136" s="101" t="str">
        <f aca="false">IF(SUMIFS(LEDGER_ENGINE!$A$2:$A$546,LEDGER_ENGINE!$R$2:$R$546,$B$4&amp;"|"&amp;(ROW()-8))=0,"",SUMIFS(LEDGER_ENGINE!$A$2:$A$546,LEDGER_ENGINE!$R$2:$R$546,$B$4&amp;"|"&amp;(ROW()-8)))</f>
        <v/>
      </c>
      <c r="N136" s="101" t="str">
        <f aca="false">IF(SUMIFS(LEDGER_ENGINE!$A$2:$A$546,LEDGER_ENGINE!$S$2:$S$546,$B$4&amp;"|"&amp;(ROW()-8))=0,"",SUMIFS(LEDGER_ENGINE!$A$2:$A$546,LEDGER_ENGINE!$S$2:$S$546,$B$4&amp;"|"&amp;(ROW()-8)))</f>
        <v/>
      </c>
    </row>
    <row r="137" customFormat="false" ht="15" hidden="false" customHeight="true" outlineLevel="0" collapsed="false">
      <c r="A137" s="148" t="str">
        <f aca="false">IF($M137="","",INDEX(LEDGER_ENGINE!$B$2:$B$546,$M137))</f>
        <v/>
      </c>
      <c r="B137" s="149" t="str">
        <f aca="false">IF($M137="","",INDEX(LEDGER_ENGINE!$C$2:$C$546,$M137))</f>
        <v/>
      </c>
      <c r="C137" s="149" t="str">
        <f aca="false">IF($M137="","",INDEX(LEDGER_ENGINE!$G$2:$G$546,$M137))</f>
        <v/>
      </c>
      <c r="D137" s="149" t="str">
        <f aca="false">IF($M137="","",INDEX(LEDGER_ENGINE!$H$2:$H$546,$M137))</f>
        <v/>
      </c>
      <c r="E137" s="150" t="str">
        <f aca="false">IF($M137="","",INDEX(LEDGER_ENGINE!$I$2:$I$546,$M137))</f>
        <v/>
      </c>
      <c r="G137" s="148" t="str">
        <f aca="false">IF($N137="","",INDEX(LEDGER_ENGINE!$B$2:$B$546,$N137))</f>
        <v/>
      </c>
      <c r="H137" s="149" t="str">
        <f aca="false">IF($N137="","",INDEX(LEDGER_ENGINE!$C$2:$C$546,$N137))</f>
        <v/>
      </c>
      <c r="I137" s="149" t="str">
        <f aca="false">IF($N137="","",INDEX(LEDGER_ENGINE!$G$2:$G$546,$N137))</f>
        <v/>
      </c>
      <c r="J137" s="149" t="str">
        <f aca="false">IFERROR(IF($N137="","",INDEX(LEDGER_ENGINE!$H$2:$H$546,$N137)),"")</f>
        <v/>
      </c>
      <c r="K137" s="150" t="str">
        <f aca="false">IF($N137="","",INDEX(LEDGER_ENGINE!$J$2:$J$546,$N137))</f>
        <v/>
      </c>
      <c r="M137" s="101" t="str">
        <f aca="false">IF(SUMIFS(LEDGER_ENGINE!$A$2:$A$546,LEDGER_ENGINE!$R$2:$R$546,$B$4&amp;"|"&amp;(ROW()-8))=0,"",SUMIFS(LEDGER_ENGINE!$A$2:$A$546,LEDGER_ENGINE!$R$2:$R$546,$B$4&amp;"|"&amp;(ROW()-8)))</f>
        <v/>
      </c>
      <c r="N137" s="101" t="str">
        <f aca="false">IF(SUMIFS(LEDGER_ENGINE!$A$2:$A$546,LEDGER_ENGINE!$S$2:$S$546,$B$4&amp;"|"&amp;(ROW()-8))=0,"",SUMIFS(LEDGER_ENGINE!$A$2:$A$546,LEDGER_ENGINE!$S$2:$S$546,$B$4&amp;"|"&amp;(ROW()-8)))</f>
        <v/>
      </c>
    </row>
    <row r="138" customFormat="false" ht="15" hidden="false" customHeight="true" outlineLevel="0" collapsed="false">
      <c r="A138" s="148" t="str">
        <f aca="false">IF($M138="","",INDEX(LEDGER_ENGINE!$B$2:$B$546,$M138))</f>
        <v/>
      </c>
      <c r="B138" s="149" t="str">
        <f aca="false">IF($M138="","",INDEX(LEDGER_ENGINE!$C$2:$C$546,$M138))</f>
        <v/>
      </c>
      <c r="C138" s="149" t="str">
        <f aca="false">IF($M138="","",INDEX(LEDGER_ENGINE!$G$2:$G$546,$M138))</f>
        <v/>
      </c>
      <c r="D138" s="149" t="str">
        <f aca="false">IF($M138="","",INDEX(LEDGER_ENGINE!$H$2:$H$546,$M138))</f>
        <v/>
      </c>
      <c r="E138" s="150" t="str">
        <f aca="false">IF($M138="","",INDEX(LEDGER_ENGINE!$I$2:$I$546,$M138))</f>
        <v/>
      </c>
      <c r="G138" s="148" t="str">
        <f aca="false">IF($N138="","",INDEX(LEDGER_ENGINE!$B$2:$B$546,$N138))</f>
        <v/>
      </c>
      <c r="H138" s="149" t="str">
        <f aca="false">IF($N138="","",INDEX(LEDGER_ENGINE!$C$2:$C$546,$N138))</f>
        <v/>
      </c>
      <c r="I138" s="149" t="str">
        <f aca="false">IF($N138="","",INDEX(LEDGER_ENGINE!$G$2:$G$546,$N138))</f>
        <v/>
      </c>
      <c r="J138" s="149" t="str">
        <f aca="false">IFERROR(IF($N138="","",INDEX(LEDGER_ENGINE!$H$2:$H$546,$N138)),"")</f>
        <v/>
      </c>
      <c r="K138" s="150" t="str">
        <f aca="false">IF($N138="","",INDEX(LEDGER_ENGINE!$J$2:$J$546,$N138))</f>
        <v/>
      </c>
      <c r="M138" s="101" t="str">
        <f aca="false">IF(SUMIFS(LEDGER_ENGINE!$A$2:$A$546,LEDGER_ENGINE!$R$2:$R$546,$B$4&amp;"|"&amp;(ROW()-8))=0,"",SUMIFS(LEDGER_ENGINE!$A$2:$A$546,LEDGER_ENGINE!$R$2:$R$546,$B$4&amp;"|"&amp;(ROW()-8)))</f>
        <v/>
      </c>
      <c r="N138" s="101" t="str">
        <f aca="false">IF(SUMIFS(LEDGER_ENGINE!$A$2:$A$546,LEDGER_ENGINE!$S$2:$S$546,$B$4&amp;"|"&amp;(ROW()-8))=0,"",SUMIFS(LEDGER_ENGINE!$A$2:$A$546,LEDGER_ENGINE!$S$2:$S$546,$B$4&amp;"|"&amp;(ROW()-8)))</f>
        <v/>
      </c>
    </row>
    <row r="139" customFormat="false" ht="15" hidden="false" customHeight="true" outlineLevel="0" collapsed="false">
      <c r="A139" s="148" t="str">
        <f aca="false">IF($M139="","",INDEX(LEDGER_ENGINE!$B$2:$B$546,$M139))</f>
        <v/>
      </c>
      <c r="B139" s="149" t="str">
        <f aca="false">IF($M139="","",INDEX(LEDGER_ENGINE!$C$2:$C$546,$M139))</f>
        <v/>
      </c>
      <c r="C139" s="149" t="str">
        <f aca="false">IF($M139="","",INDEX(LEDGER_ENGINE!$G$2:$G$546,$M139))</f>
        <v/>
      </c>
      <c r="D139" s="149" t="str">
        <f aca="false">IF($M139="","",INDEX(LEDGER_ENGINE!$H$2:$H$546,$M139))</f>
        <v/>
      </c>
      <c r="E139" s="150" t="str">
        <f aca="false">IF($M139="","",INDEX(LEDGER_ENGINE!$I$2:$I$546,$M139))</f>
        <v/>
      </c>
      <c r="G139" s="148" t="str">
        <f aca="false">IF($N139="","",INDEX(LEDGER_ENGINE!$B$2:$B$546,$N139))</f>
        <v/>
      </c>
      <c r="H139" s="149" t="str">
        <f aca="false">IF($N139="","",INDEX(LEDGER_ENGINE!$C$2:$C$546,$N139))</f>
        <v/>
      </c>
      <c r="I139" s="149" t="str">
        <f aca="false">IF($N139="","",INDEX(LEDGER_ENGINE!$G$2:$G$546,$N139))</f>
        <v/>
      </c>
      <c r="J139" s="149" t="str">
        <f aca="false">IFERROR(IF($N139="","",INDEX(LEDGER_ENGINE!$H$2:$H$546,$N139)),"")</f>
        <v/>
      </c>
      <c r="K139" s="150" t="str">
        <f aca="false">IF($N139="","",INDEX(LEDGER_ENGINE!$J$2:$J$546,$N139))</f>
        <v/>
      </c>
      <c r="M139" s="101" t="str">
        <f aca="false">IF(SUMIFS(LEDGER_ENGINE!$A$2:$A$546,LEDGER_ENGINE!$R$2:$R$546,$B$4&amp;"|"&amp;(ROW()-8))=0,"",SUMIFS(LEDGER_ENGINE!$A$2:$A$546,LEDGER_ENGINE!$R$2:$R$546,$B$4&amp;"|"&amp;(ROW()-8)))</f>
        <v/>
      </c>
      <c r="N139" s="101" t="str">
        <f aca="false">IF(SUMIFS(LEDGER_ENGINE!$A$2:$A$546,LEDGER_ENGINE!$S$2:$S$546,$B$4&amp;"|"&amp;(ROW()-8))=0,"",SUMIFS(LEDGER_ENGINE!$A$2:$A$546,LEDGER_ENGINE!$S$2:$S$546,$B$4&amp;"|"&amp;(ROW()-8)))</f>
        <v/>
      </c>
    </row>
    <row r="140" customFormat="false" ht="15" hidden="false" customHeight="true" outlineLevel="0" collapsed="false">
      <c r="A140" s="148" t="str">
        <f aca="false">IF($M140="","",INDEX(LEDGER_ENGINE!$B$2:$B$546,$M140))</f>
        <v/>
      </c>
      <c r="B140" s="149" t="str">
        <f aca="false">IF($M140="","",INDEX(LEDGER_ENGINE!$C$2:$C$546,$M140))</f>
        <v/>
      </c>
      <c r="C140" s="149" t="str">
        <f aca="false">IF($M140="","",INDEX(LEDGER_ENGINE!$G$2:$G$546,$M140))</f>
        <v/>
      </c>
      <c r="D140" s="149" t="str">
        <f aca="false">IF($M140="","",INDEX(LEDGER_ENGINE!$H$2:$H$546,$M140))</f>
        <v/>
      </c>
      <c r="E140" s="150" t="str">
        <f aca="false">IF($M140="","",INDEX(LEDGER_ENGINE!$I$2:$I$546,$M140))</f>
        <v/>
      </c>
      <c r="G140" s="148" t="str">
        <f aca="false">IF($N140="","",INDEX(LEDGER_ENGINE!$B$2:$B$546,$N140))</f>
        <v/>
      </c>
      <c r="H140" s="149" t="str">
        <f aca="false">IF($N140="","",INDEX(LEDGER_ENGINE!$C$2:$C$546,$N140))</f>
        <v/>
      </c>
      <c r="I140" s="149" t="str">
        <f aca="false">IF($N140="","",INDEX(LEDGER_ENGINE!$G$2:$G$546,$N140))</f>
        <v/>
      </c>
      <c r="J140" s="149" t="str">
        <f aca="false">IFERROR(IF($N140="","",INDEX(LEDGER_ENGINE!$H$2:$H$546,$N140)),"")</f>
        <v/>
      </c>
      <c r="K140" s="150" t="str">
        <f aca="false">IF($N140="","",INDEX(LEDGER_ENGINE!$J$2:$J$546,$N140))</f>
        <v/>
      </c>
      <c r="M140" s="101" t="str">
        <f aca="false">IF(SUMIFS(LEDGER_ENGINE!$A$2:$A$546,LEDGER_ENGINE!$R$2:$R$546,$B$4&amp;"|"&amp;(ROW()-8))=0,"",SUMIFS(LEDGER_ENGINE!$A$2:$A$546,LEDGER_ENGINE!$R$2:$R$546,$B$4&amp;"|"&amp;(ROW()-8)))</f>
        <v/>
      </c>
      <c r="N140" s="101" t="str">
        <f aca="false">IF(SUMIFS(LEDGER_ENGINE!$A$2:$A$546,LEDGER_ENGINE!$S$2:$S$546,$B$4&amp;"|"&amp;(ROW()-8))=0,"",SUMIFS(LEDGER_ENGINE!$A$2:$A$546,LEDGER_ENGINE!$S$2:$S$546,$B$4&amp;"|"&amp;(ROW()-8)))</f>
        <v/>
      </c>
    </row>
    <row r="141" customFormat="false" ht="15" hidden="false" customHeight="true" outlineLevel="0" collapsed="false">
      <c r="A141" s="148" t="str">
        <f aca="false">IF($M141="","",INDEX(LEDGER_ENGINE!$B$2:$B$546,$M141))</f>
        <v/>
      </c>
      <c r="B141" s="149" t="str">
        <f aca="false">IF($M141="","",INDEX(LEDGER_ENGINE!$C$2:$C$546,$M141))</f>
        <v/>
      </c>
      <c r="C141" s="149" t="str">
        <f aca="false">IF($M141="","",INDEX(LEDGER_ENGINE!$G$2:$G$546,$M141))</f>
        <v/>
      </c>
      <c r="D141" s="149" t="str">
        <f aca="false">IF($M141="","",INDEX(LEDGER_ENGINE!$H$2:$H$546,$M141))</f>
        <v/>
      </c>
      <c r="E141" s="150" t="str">
        <f aca="false">IF($M141="","",INDEX(LEDGER_ENGINE!$I$2:$I$546,$M141))</f>
        <v/>
      </c>
      <c r="G141" s="148" t="str">
        <f aca="false">IF($N141="","",INDEX(LEDGER_ENGINE!$B$2:$B$546,$N141))</f>
        <v/>
      </c>
      <c r="H141" s="149" t="str">
        <f aca="false">IF($N141="","",INDEX(LEDGER_ENGINE!$C$2:$C$546,$N141))</f>
        <v/>
      </c>
      <c r="I141" s="149" t="str">
        <f aca="false">IF($N141="","",INDEX(LEDGER_ENGINE!$G$2:$G$546,$N141))</f>
        <v/>
      </c>
      <c r="J141" s="149" t="str">
        <f aca="false">IFERROR(IF($N141="","",INDEX(LEDGER_ENGINE!$H$2:$H$546,$N141)),"")</f>
        <v/>
      </c>
      <c r="K141" s="150" t="str">
        <f aca="false">IF($N141="","",INDEX(LEDGER_ENGINE!$J$2:$J$546,$N141))</f>
        <v/>
      </c>
      <c r="M141" s="101" t="str">
        <f aca="false">IF(SUMIFS(LEDGER_ENGINE!$A$2:$A$546,LEDGER_ENGINE!$R$2:$R$546,$B$4&amp;"|"&amp;(ROW()-8))=0,"",SUMIFS(LEDGER_ENGINE!$A$2:$A$546,LEDGER_ENGINE!$R$2:$R$546,$B$4&amp;"|"&amp;(ROW()-8)))</f>
        <v/>
      </c>
      <c r="N141" s="101" t="str">
        <f aca="false">IF(SUMIFS(LEDGER_ENGINE!$A$2:$A$546,LEDGER_ENGINE!$S$2:$S$546,$B$4&amp;"|"&amp;(ROW()-8))=0,"",SUMIFS(LEDGER_ENGINE!$A$2:$A$546,LEDGER_ENGINE!$S$2:$S$546,$B$4&amp;"|"&amp;(ROW()-8)))</f>
        <v/>
      </c>
    </row>
    <row r="142" customFormat="false" ht="15" hidden="false" customHeight="true" outlineLevel="0" collapsed="false">
      <c r="A142" s="148" t="str">
        <f aca="false">IF($M142="","",INDEX(LEDGER_ENGINE!$B$2:$B$546,$M142))</f>
        <v/>
      </c>
      <c r="B142" s="149" t="str">
        <f aca="false">IF($M142="","",INDEX(LEDGER_ENGINE!$C$2:$C$546,$M142))</f>
        <v/>
      </c>
      <c r="C142" s="149" t="str">
        <f aca="false">IF($M142="","",INDEX(LEDGER_ENGINE!$G$2:$G$546,$M142))</f>
        <v/>
      </c>
      <c r="D142" s="149" t="str">
        <f aca="false">IF($M142="","",INDEX(LEDGER_ENGINE!$H$2:$H$546,$M142))</f>
        <v/>
      </c>
      <c r="E142" s="150" t="str">
        <f aca="false">IF($M142="","",INDEX(LEDGER_ENGINE!$I$2:$I$546,$M142))</f>
        <v/>
      </c>
      <c r="G142" s="148" t="str">
        <f aca="false">IF($N142="","",INDEX(LEDGER_ENGINE!$B$2:$B$546,$N142))</f>
        <v/>
      </c>
      <c r="H142" s="149" t="str">
        <f aca="false">IF($N142="","",INDEX(LEDGER_ENGINE!$C$2:$C$546,$N142))</f>
        <v/>
      </c>
      <c r="I142" s="149" t="str">
        <f aca="false">IF($N142="","",INDEX(LEDGER_ENGINE!$G$2:$G$546,$N142))</f>
        <v/>
      </c>
      <c r="J142" s="149" t="str">
        <f aca="false">IFERROR(IF($N142="","",INDEX(LEDGER_ENGINE!$H$2:$H$546,$N142)),"")</f>
        <v/>
      </c>
      <c r="K142" s="150" t="str">
        <f aca="false">IF($N142="","",INDEX(LEDGER_ENGINE!$J$2:$J$546,$N142))</f>
        <v/>
      </c>
      <c r="M142" s="101" t="str">
        <f aca="false">IF(SUMIFS(LEDGER_ENGINE!$A$2:$A$546,LEDGER_ENGINE!$R$2:$R$546,$B$4&amp;"|"&amp;(ROW()-8))=0,"",SUMIFS(LEDGER_ENGINE!$A$2:$A$546,LEDGER_ENGINE!$R$2:$R$546,$B$4&amp;"|"&amp;(ROW()-8)))</f>
        <v/>
      </c>
      <c r="N142" s="101" t="str">
        <f aca="false">IF(SUMIFS(LEDGER_ENGINE!$A$2:$A$546,LEDGER_ENGINE!$S$2:$S$546,$B$4&amp;"|"&amp;(ROW()-8))=0,"",SUMIFS(LEDGER_ENGINE!$A$2:$A$546,LEDGER_ENGINE!$S$2:$S$546,$B$4&amp;"|"&amp;(ROW()-8)))</f>
        <v/>
      </c>
    </row>
    <row r="143" customFormat="false" ht="15" hidden="false" customHeight="true" outlineLevel="0" collapsed="false">
      <c r="A143" s="148" t="str">
        <f aca="false">IF($M143="","",INDEX(LEDGER_ENGINE!$B$2:$B$546,$M143))</f>
        <v/>
      </c>
      <c r="B143" s="149" t="str">
        <f aca="false">IF($M143="","",INDEX(LEDGER_ENGINE!$C$2:$C$546,$M143))</f>
        <v/>
      </c>
      <c r="C143" s="149" t="str">
        <f aca="false">IF($M143="","",INDEX(LEDGER_ENGINE!$G$2:$G$546,$M143))</f>
        <v/>
      </c>
      <c r="D143" s="149" t="str">
        <f aca="false">IF($M143="","",INDEX(LEDGER_ENGINE!$H$2:$H$546,$M143))</f>
        <v/>
      </c>
      <c r="E143" s="150" t="str">
        <f aca="false">IF($M143="","",INDEX(LEDGER_ENGINE!$I$2:$I$546,$M143))</f>
        <v/>
      </c>
      <c r="G143" s="148" t="str">
        <f aca="false">IF($N143="","",INDEX(LEDGER_ENGINE!$B$2:$B$546,$N143))</f>
        <v/>
      </c>
      <c r="H143" s="149" t="str">
        <f aca="false">IF($N143="","",INDEX(LEDGER_ENGINE!$C$2:$C$546,$N143))</f>
        <v/>
      </c>
      <c r="I143" s="149" t="str">
        <f aca="false">IF($N143="","",INDEX(LEDGER_ENGINE!$G$2:$G$546,$N143))</f>
        <v/>
      </c>
      <c r="J143" s="149" t="str">
        <f aca="false">IFERROR(IF($N143="","",INDEX(LEDGER_ENGINE!$H$2:$H$546,$N143)),"")</f>
        <v/>
      </c>
      <c r="K143" s="150" t="str">
        <f aca="false">IF($N143="","",INDEX(LEDGER_ENGINE!$J$2:$J$546,$N143))</f>
        <v/>
      </c>
      <c r="M143" s="101" t="str">
        <f aca="false">IF(SUMIFS(LEDGER_ENGINE!$A$2:$A$546,LEDGER_ENGINE!$R$2:$R$546,$B$4&amp;"|"&amp;(ROW()-8))=0,"",SUMIFS(LEDGER_ENGINE!$A$2:$A$546,LEDGER_ENGINE!$R$2:$R$546,$B$4&amp;"|"&amp;(ROW()-8)))</f>
        <v/>
      </c>
      <c r="N143" s="101" t="str">
        <f aca="false">IF(SUMIFS(LEDGER_ENGINE!$A$2:$A$546,LEDGER_ENGINE!$S$2:$S$546,$B$4&amp;"|"&amp;(ROW()-8))=0,"",SUMIFS(LEDGER_ENGINE!$A$2:$A$546,LEDGER_ENGINE!$S$2:$S$546,$B$4&amp;"|"&amp;(ROW()-8)))</f>
        <v/>
      </c>
    </row>
    <row r="144" customFormat="false" ht="15" hidden="false" customHeight="true" outlineLevel="0" collapsed="false">
      <c r="A144" s="148" t="str">
        <f aca="false">IF($M144="","",INDEX(LEDGER_ENGINE!$B$2:$B$546,$M144))</f>
        <v/>
      </c>
      <c r="B144" s="149" t="str">
        <f aca="false">IF($M144="","",INDEX(LEDGER_ENGINE!$C$2:$C$546,$M144))</f>
        <v/>
      </c>
      <c r="C144" s="149" t="str">
        <f aca="false">IF($M144="","",INDEX(LEDGER_ENGINE!$G$2:$G$546,$M144))</f>
        <v/>
      </c>
      <c r="D144" s="149" t="str">
        <f aca="false">IF($M144="","",INDEX(LEDGER_ENGINE!$H$2:$H$546,$M144))</f>
        <v/>
      </c>
      <c r="E144" s="150" t="str">
        <f aca="false">IF($M144="","",INDEX(LEDGER_ENGINE!$I$2:$I$546,$M144))</f>
        <v/>
      </c>
      <c r="G144" s="148" t="str">
        <f aca="false">IF($N144="","",INDEX(LEDGER_ENGINE!$B$2:$B$546,$N144))</f>
        <v/>
      </c>
      <c r="H144" s="149" t="str">
        <f aca="false">IF($N144="","",INDEX(LEDGER_ENGINE!$C$2:$C$546,$N144))</f>
        <v/>
      </c>
      <c r="I144" s="149" t="str">
        <f aca="false">IF($N144="","",INDEX(LEDGER_ENGINE!$G$2:$G$546,$N144))</f>
        <v/>
      </c>
      <c r="J144" s="149" t="str">
        <f aca="false">IFERROR(IF($N144="","",INDEX(LEDGER_ENGINE!$H$2:$H$546,$N144)),"")</f>
        <v/>
      </c>
      <c r="K144" s="150" t="str">
        <f aca="false">IF($N144="","",INDEX(LEDGER_ENGINE!$J$2:$J$546,$N144))</f>
        <v/>
      </c>
      <c r="M144" s="101" t="str">
        <f aca="false">IF(SUMIFS(LEDGER_ENGINE!$A$2:$A$546,LEDGER_ENGINE!$R$2:$R$546,$B$4&amp;"|"&amp;(ROW()-8))=0,"",SUMIFS(LEDGER_ENGINE!$A$2:$A$546,LEDGER_ENGINE!$R$2:$R$546,$B$4&amp;"|"&amp;(ROW()-8)))</f>
        <v/>
      </c>
      <c r="N144" s="101" t="str">
        <f aca="false">IF(SUMIFS(LEDGER_ENGINE!$A$2:$A$546,LEDGER_ENGINE!$S$2:$S$546,$B$4&amp;"|"&amp;(ROW()-8))=0,"",SUMIFS(LEDGER_ENGINE!$A$2:$A$546,LEDGER_ENGINE!$S$2:$S$546,$B$4&amp;"|"&amp;(ROW()-8)))</f>
        <v/>
      </c>
    </row>
    <row r="145" customFormat="false" ht="15" hidden="false" customHeight="true" outlineLevel="0" collapsed="false">
      <c r="A145" s="148" t="str">
        <f aca="false">IF($M145="","",INDEX(LEDGER_ENGINE!$B$2:$B$546,$M145))</f>
        <v/>
      </c>
      <c r="B145" s="149" t="str">
        <f aca="false">IF($M145="","",INDEX(LEDGER_ENGINE!$C$2:$C$546,$M145))</f>
        <v/>
      </c>
      <c r="C145" s="149" t="str">
        <f aca="false">IF($M145="","",INDEX(LEDGER_ENGINE!$G$2:$G$546,$M145))</f>
        <v/>
      </c>
      <c r="D145" s="149" t="str">
        <f aca="false">IF($M145="","",INDEX(LEDGER_ENGINE!$H$2:$H$546,$M145))</f>
        <v/>
      </c>
      <c r="E145" s="150" t="str">
        <f aca="false">IF($M145="","",INDEX(LEDGER_ENGINE!$I$2:$I$546,$M145))</f>
        <v/>
      </c>
      <c r="G145" s="148" t="str">
        <f aca="false">IF($N145="","",INDEX(LEDGER_ENGINE!$B$2:$B$546,$N145))</f>
        <v/>
      </c>
      <c r="H145" s="149" t="str">
        <f aca="false">IF($N145="","",INDEX(LEDGER_ENGINE!$C$2:$C$546,$N145))</f>
        <v/>
      </c>
      <c r="I145" s="149" t="str">
        <f aca="false">IF($N145="","",INDEX(LEDGER_ENGINE!$G$2:$G$546,$N145))</f>
        <v/>
      </c>
      <c r="J145" s="149" t="str">
        <f aca="false">IFERROR(IF($N145="","",INDEX(LEDGER_ENGINE!$H$2:$H$546,$N145)),"")</f>
        <v/>
      </c>
      <c r="K145" s="150" t="str">
        <f aca="false">IF($N145="","",INDEX(LEDGER_ENGINE!$J$2:$J$546,$N145))</f>
        <v/>
      </c>
      <c r="M145" s="101" t="str">
        <f aca="false">IF(SUMIFS(LEDGER_ENGINE!$A$2:$A$546,LEDGER_ENGINE!$R$2:$R$546,$B$4&amp;"|"&amp;(ROW()-8))=0,"",SUMIFS(LEDGER_ENGINE!$A$2:$A$546,LEDGER_ENGINE!$R$2:$R$546,$B$4&amp;"|"&amp;(ROW()-8)))</f>
        <v/>
      </c>
      <c r="N145" s="101" t="str">
        <f aca="false">IF(SUMIFS(LEDGER_ENGINE!$A$2:$A$546,LEDGER_ENGINE!$S$2:$S$546,$B$4&amp;"|"&amp;(ROW()-8))=0,"",SUMIFS(LEDGER_ENGINE!$A$2:$A$546,LEDGER_ENGINE!$S$2:$S$546,$B$4&amp;"|"&amp;(ROW()-8)))</f>
        <v/>
      </c>
    </row>
    <row r="146" customFormat="false" ht="15" hidden="false" customHeight="true" outlineLevel="0" collapsed="false">
      <c r="A146" s="148" t="str">
        <f aca="false">IF($M146="","",INDEX(LEDGER_ENGINE!$B$2:$B$546,$M146))</f>
        <v/>
      </c>
      <c r="B146" s="149" t="str">
        <f aca="false">IF($M146="","",INDEX(LEDGER_ENGINE!$C$2:$C$546,$M146))</f>
        <v/>
      </c>
      <c r="C146" s="149" t="str">
        <f aca="false">IF($M146="","",INDEX(LEDGER_ENGINE!$G$2:$G$546,$M146))</f>
        <v/>
      </c>
      <c r="D146" s="149" t="str">
        <f aca="false">IF($M146="","",INDEX(LEDGER_ENGINE!$H$2:$H$546,$M146))</f>
        <v/>
      </c>
      <c r="E146" s="150" t="str">
        <f aca="false">IF($M146="","",INDEX(LEDGER_ENGINE!$I$2:$I$546,$M146))</f>
        <v/>
      </c>
      <c r="G146" s="148" t="str">
        <f aca="false">IF($N146="","",INDEX(LEDGER_ENGINE!$B$2:$B$546,$N146))</f>
        <v/>
      </c>
      <c r="H146" s="149" t="str">
        <f aca="false">IF($N146="","",INDEX(LEDGER_ENGINE!$C$2:$C$546,$N146))</f>
        <v/>
      </c>
      <c r="I146" s="149" t="str">
        <f aca="false">IF($N146="","",INDEX(LEDGER_ENGINE!$G$2:$G$546,$N146))</f>
        <v/>
      </c>
      <c r="J146" s="149" t="str">
        <f aca="false">IFERROR(IF($N146="","",INDEX(LEDGER_ENGINE!$H$2:$H$546,$N146)),"")</f>
        <v/>
      </c>
      <c r="K146" s="150" t="str">
        <f aca="false">IF($N146="","",INDEX(LEDGER_ENGINE!$J$2:$J$546,$N146))</f>
        <v/>
      </c>
      <c r="M146" s="101" t="str">
        <f aca="false">IF(SUMIFS(LEDGER_ENGINE!$A$2:$A$546,LEDGER_ENGINE!$R$2:$R$546,$B$4&amp;"|"&amp;(ROW()-8))=0,"",SUMIFS(LEDGER_ENGINE!$A$2:$A$546,LEDGER_ENGINE!$R$2:$R$546,$B$4&amp;"|"&amp;(ROW()-8)))</f>
        <v/>
      </c>
      <c r="N146" s="101" t="str">
        <f aca="false">IF(SUMIFS(LEDGER_ENGINE!$A$2:$A$546,LEDGER_ENGINE!$S$2:$S$546,$B$4&amp;"|"&amp;(ROW()-8))=0,"",SUMIFS(LEDGER_ENGINE!$A$2:$A$546,LEDGER_ENGINE!$S$2:$S$546,$B$4&amp;"|"&amp;(ROW()-8)))</f>
        <v/>
      </c>
    </row>
    <row r="147" customFormat="false" ht="15" hidden="false" customHeight="true" outlineLevel="0" collapsed="false">
      <c r="A147" s="148" t="str">
        <f aca="false">IF($M147="","",INDEX(LEDGER_ENGINE!$B$2:$B$546,$M147))</f>
        <v/>
      </c>
      <c r="B147" s="149" t="str">
        <f aca="false">IF($M147="","",INDEX(LEDGER_ENGINE!$C$2:$C$546,$M147))</f>
        <v/>
      </c>
      <c r="C147" s="149" t="str">
        <f aca="false">IF($M147="","",INDEX(LEDGER_ENGINE!$G$2:$G$546,$M147))</f>
        <v/>
      </c>
      <c r="D147" s="149" t="str">
        <f aca="false">IF($M147="","",INDEX(LEDGER_ENGINE!$H$2:$H$546,$M147))</f>
        <v/>
      </c>
      <c r="E147" s="150" t="str">
        <f aca="false">IF($M147="","",INDEX(LEDGER_ENGINE!$I$2:$I$546,$M147))</f>
        <v/>
      </c>
      <c r="G147" s="148" t="str">
        <f aca="false">IF($N147="","",INDEX(LEDGER_ENGINE!$B$2:$B$546,$N147))</f>
        <v/>
      </c>
      <c r="H147" s="149" t="str">
        <f aca="false">IF($N147="","",INDEX(LEDGER_ENGINE!$C$2:$C$546,$N147))</f>
        <v/>
      </c>
      <c r="I147" s="149" t="str">
        <f aca="false">IF($N147="","",INDEX(LEDGER_ENGINE!$G$2:$G$546,$N147))</f>
        <v/>
      </c>
      <c r="J147" s="149" t="str">
        <f aca="false">IFERROR(IF($N147="","",INDEX(LEDGER_ENGINE!$H$2:$H$546,$N147)),"")</f>
        <v/>
      </c>
      <c r="K147" s="150" t="str">
        <f aca="false">IF($N147="","",INDEX(LEDGER_ENGINE!$J$2:$J$546,$N147))</f>
        <v/>
      </c>
      <c r="M147" s="101" t="str">
        <f aca="false">IF(SUMIFS(LEDGER_ENGINE!$A$2:$A$546,LEDGER_ENGINE!$R$2:$R$546,$B$4&amp;"|"&amp;(ROW()-8))=0,"",SUMIFS(LEDGER_ENGINE!$A$2:$A$546,LEDGER_ENGINE!$R$2:$R$546,$B$4&amp;"|"&amp;(ROW()-8)))</f>
        <v/>
      </c>
      <c r="N147" s="101" t="str">
        <f aca="false">IF(SUMIFS(LEDGER_ENGINE!$A$2:$A$546,LEDGER_ENGINE!$S$2:$S$546,$B$4&amp;"|"&amp;(ROW()-8))=0,"",SUMIFS(LEDGER_ENGINE!$A$2:$A$546,LEDGER_ENGINE!$S$2:$S$546,$B$4&amp;"|"&amp;(ROW()-8)))</f>
        <v/>
      </c>
    </row>
    <row r="148" customFormat="false" ht="15" hidden="false" customHeight="true" outlineLevel="0" collapsed="false">
      <c r="A148" s="148" t="str">
        <f aca="false">IF($M148="","",INDEX(LEDGER_ENGINE!$B$2:$B$546,$M148))</f>
        <v/>
      </c>
      <c r="B148" s="149" t="str">
        <f aca="false">IF($M148="","",INDEX(LEDGER_ENGINE!$C$2:$C$546,$M148))</f>
        <v/>
      </c>
      <c r="C148" s="149" t="str">
        <f aca="false">IF($M148="","",INDEX(LEDGER_ENGINE!$G$2:$G$546,$M148))</f>
        <v/>
      </c>
      <c r="D148" s="149" t="str">
        <f aca="false">IF($M148="","",INDEX(LEDGER_ENGINE!$H$2:$H$546,$M148))</f>
        <v/>
      </c>
      <c r="E148" s="150" t="str">
        <f aca="false">IF($M148="","",INDEX(LEDGER_ENGINE!$I$2:$I$546,$M148))</f>
        <v/>
      </c>
      <c r="G148" s="148" t="str">
        <f aca="false">IF($N148="","",INDEX(LEDGER_ENGINE!$B$2:$B$546,$N148))</f>
        <v/>
      </c>
      <c r="H148" s="149" t="str">
        <f aca="false">IF($N148="","",INDEX(LEDGER_ENGINE!$C$2:$C$546,$N148))</f>
        <v/>
      </c>
      <c r="I148" s="149" t="str">
        <f aca="false">IF($N148="","",INDEX(LEDGER_ENGINE!$G$2:$G$546,$N148))</f>
        <v/>
      </c>
      <c r="J148" s="149" t="str">
        <f aca="false">IFERROR(IF($N148="","",INDEX(LEDGER_ENGINE!$H$2:$H$546,$N148)),"")</f>
        <v/>
      </c>
      <c r="K148" s="150" t="str">
        <f aca="false">IF($N148="","",INDEX(LEDGER_ENGINE!$J$2:$J$546,$N148))</f>
        <v/>
      </c>
      <c r="M148" s="101" t="str">
        <f aca="false">IF(SUMIFS(LEDGER_ENGINE!$A$2:$A$546,LEDGER_ENGINE!$R$2:$R$546,$B$4&amp;"|"&amp;(ROW()-8))=0,"",SUMIFS(LEDGER_ENGINE!$A$2:$A$546,LEDGER_ENGINE!$R$2:$R$546,$B$4&amp;"|"&amp;(ROW()-8)))</f>
        <v/>
      </c>
      <c r="N148" s="101" t="str">
        <f aca="false">IF(SUMIFS(LEDGER_ENGINE!$A$2:$A$546,LEDGER_ENGINE!$S$2:$S$546,$B$4&amp;"|"&amp;(ROW()-8))=0,"",SUMIFS(LEDGER_ENGINE!$A$2:$A$546,LEDGER_ENGINE!$S$2:$S$546,$B$4&amp;"|"&amp;(ROW()-8)))</f>
        <v/>
      </c>
    </row>
    <row r="149" customFormat="false" ht="15" hidden="false" customHeight="true" outlineLevel="0" collapsed="false">
      <c r="A149" s="148" t="str">
        <f aca="false">IF($M149="","",INDEX(LEDGER_ENGINE!$B$2:$B$546,$M149))</f>
        <v/>
      </c>
      <c r="B149" s="149" t="str">
        <f aca="false">IF($M149="","",INDEX(LEDGER_ENGINE!$C$2:$C$546,$M149))</f>
        <v/>
      </c>
      <c r="C149" s="149" t="str">
        <f aca="false">IF($M149="","",INDEX(LEDGER_ENGINE!$G$2:$G$546,$M149))</f>
        <v/>
      </c>
      <c r="D149" s="149" t="str">
        <f aca="false">IF($M149="","",INDEX(LEDGER_ENGINE!$H$2:$H$546,$M149))</f>
        <v/>
      </c>
      <c r="E149" s="150" t="str">
        <f aca="false">IF($M149="","",INDEX(LEDGER_ENGINE!$I$2:$I$546,$M149))</f>
        <v/>
      </c>
      <c r="G149" s="148" t="str">
        <f aca="false">IF($N149="","",INDEX(LEDGER_ENGINE!$B$2:$B$546,$N149))</f>
        <v/>
      </c>
      <c r="H149" s="149" t="str">
        <f aca="false">IF($N149="","",INDEX(LEDGER_ENGINE!$C$2:$C$546,$N149))</f>
        <v/>
      </c>
      <c r="I149" s="149" t="str">
        <f aca="false">IF($N149="","",INDEX(LEDGER_ENGINE!$G$2:$G$546,$N149))</f>
        <v/>
      </c>
      <c r="J149" s="149" t="str">
        <f aca="false">IFERROR(IF($N149="","",INDEX(LEDGER_ENGINE!$H$2:$H$546,$N149)),"")</f>
        <v/>
      </c>
      <c r="K149" s="150" t="str">
        <f aca="false">IF($N149="","",INDEX(LEDGER_ENGINE!$J$2:$J$546,$N149))</f>
        <v/>
      </c>
      <c r="M149" s="101" t="str">
        <f aca="false">IF(SUMIFS(LEDGER_ENGINE!$A$2:$A$546,LEDGER_ENGINE!$R$2:$R$546,$B$4&amp;"|"&amp;(ROW()-8))=0,"",SUMIFS(LEDGER_ENGINE!$A$2:$A$546,LEDGER_ENGINE!$R$2:$R$546,$B$4&amp;"|"&amp;(ROW()-8)))</f>
        <v/>
      </c>
      <c r="N149" s="101" t="str">
        <f aca="false">IF(SUMIFS(LEDGER_ENGINE!$A$2:$A$546,LEDGER_ENGINE!$S$2:$S$546,$B$4&amp;"|"&amp;(ROW()-8))=0,"",SUMIFS(LEDGER_ENGINE!$A$2:$A$546,LEDGER_ENGINE!$S$2:$S$546,$B$4&amp;"|"&amp;(ROW()-8)))</f>
        <v/>
      </c>
    </row>
    <row r="150" customFormat="false" ht="15" hidden="false" customHeight="true" outlineLevel="0" collapsed="false">
      <c r="A150" s="148" t="str">
        <f aca="false">IF($M150="","",INDEX(LEDGER_ENGINE!$B$2:$B$546,$M150))</f>
        <v/>
      </c>
      <c r="B150" s="149" t="str">
        <f aca="false">IF($M150="","",INDEX(LEDGER_ENGINE!$C$2:$C$546,$M150))</f>
        <v/>
      </c>
      <c r="C150" s="149" t="str">
        <f aca="false">IF($M150="","",INDEX(LEDGER_ENGINE!$G$2:$G$546,$M150))</f>
        <v/>
      </c>
      <c r="D150" s="149" t="str">
        <f aca="false">IF($M150="","",INDEX(LEDGER_ENGINE!$H$2:$H$546,$M150))</f>
        <v/>
      </c>
      <c r="E150" s="150" t="str">
        <f aca="false">IF($M150="","",INDEX(LEDGER_ENGINE!$I$2:$I$546,$M150))</f>
        <v/>
      </c>
      <c r="G150" s="148" t="str">
        <f aca="false">IF($N150="","",INDEX(LEDGER_ENGINE!$B$2:$B$546,$N150))</f>
        <v/>
      </c>
      <c r="H150" s="149" t="str">
        <f aca="false">IF($N150="","",INDEX(LEDGER_ENGINE!$C$2:$C$546,$N150))</f>
        <v/>
      </c>
      <c r="I150" s="149" t="str">
        <f aca="false">IF($N150="","",INDEX(LEDGER_ENGINE!$G$2:$G$546,$N150))</f>
        <v/>
      </c>
      <c r="J150" s="149" t="str">
        <f aca="false">IFERROR(IF($N150="","",INDEX(LEDGER_ENGINE!$H$2:$H$546,$N150)),"")</f>
        <v/>
      </c>
      <c r="K150" s="150" t="str">
        <f aca="false">IF($N150="","",INDEX(LEDGER_ENGINE!$J$2:$J$546,$N150))</f>
        <v/>
      </c>
      <c r="M150" s="101" t="str">
        <f aca="false">IF(SUMIFS(LEDGER_ENGINE!$A$2:$A$546,LEDGER_ENGINE!$R$2:$R$546,$B$4&amp;"|"&amp;(ROW()-8))=0,"",SUMIFS(LEDGER_ENGINE!$A$2:$A$546,LEDGER_ENGINE!$R$2:$R$546,$B$4&amp;"|"&amp;(ROW()-8)))</f>
        <v/>
      </c>
      <c r="N150" s="101" t="str">
        <f aca="false">IF(SUMIFS(LEDGER_ENGINE!$A$2:$A$546,LEDGER_ENGINE!$S$2:$S$546,$B$4&amp;"|"&amp;(ROW()-8))=0,"",SUMIFS(LEDGER_ENGINE!$A$2:$A$546,LEDGER_ENGINE!$S$2:$S$546,$B$4&amp;"|"&amp;(ROW()-8)))</f>
        <v/>
      </c>
    </row>
    <row r="151" customFormat="false" ht="15" hidden="false" customHeight="true" outlineLevel="0" collapsed="false">
      <c r="A151" s="148" t="str">
        <f aca="false">IF($M151="","",INDEX(LEDGER_ENGINE!$B$2:$B$546,$M151))</f>
        <v/>
      </c>
      <c r="B151" s="149" t="str">
        <f aca="false">IF($M151="","",INDEX(LEDGER_ENGINE!$C$2:$C$546,$M151))</f>
        <v/>
      </c>
      <c r="C151" s="149" t="str">
        <f aca="false">IF($M151="","",INDEX(LEDGER_ENGINE!$G$2:$G$546,$M151))</f>
        <v/>
      </c>
      <c r="D151" s="149" t="str">
        <f aca="false">IF($M151="","",INDEX(LEDGER_ENGINE!$H$2:$H$546,$M151))</f>
        <v/>
      </c>
      <c r="E151" s="150" t="str">
        <f aca="false">IF($M151="","",INDEX(LEDGER_ENGINE!$I$2:$I$546,$M151))</f>
        <v/>
      </c>
      <c r="G151" s="148" t="str">
        <f aca="false">IF($N151="","",INDEX(LEDGER_ENGINE!$B$2:$B$546,$N151))</f>
        <v/>
      </c>
      <c r="H151" s="149" t="str">
        <f aca="false">IF($N151="","",INDEX(LEDGER_ENGINE!$C$2:$C$546,$N151))</f>
        <v/>
      </c>
      <c r="I151" s="149" t="str">
        <f aca="false">IF($N151="","",INDEX(LEDGER_ENGINE!$G$2:$G$546,$N151))</f>
        <v/>
      </c>
      <c r="J151" s="149" t="str">
        <f aca="false">IFERROR(IF($N151="","",INDEX(LEDGER_ENGINE!$H$2:$H$546,$N151)),"")</f>
        <v/>
      </c>
      <c r="K151" s="150" t="str">
        <f aca="false">IF($N151="","",INDEX(LEDGER_ENGINE!$J$2:$J$546,$N151))</f>
        <v/>
      </c>
      <c r="M151" s="101" t="str">
        <f aca="false">IF(SUMIFS(LEDGER_ENGINE!$A$2:$A$546,LEDGER_ENGINE!$R$2:$R$546,$B$4&amp;"|"&amp;(ROW()-8))=0,"",SUMIFS(LEDGER_ENGINE!$A$2:$A$546,LEDGER_ENGINE!$R$2:$R$546,$B$4&amp;"|"&amp;(ROW()-8)))</f>
        <v/>
      </c>
      <c r="N151" s="101" t="str">
        <f aca="false">IF(SUMIFS(LEDGER_ENGINE!$A$2:$A$546,LEDGER_ENGINE!$S$2:$S$546,$B$4&amp;"|"&amp;(ROW()-8))=0,"",SUMIFS(LEDGER_ENGINE!$A$2:$A$546,LEDGER_ENGINE!$S$2:$S$546,$B$4&amp;"|"&amp;(ROW()-8)))</f>
        <v/>
      </c>
    </row>
    <row r="152" customFormat="false" ht="15" hidden="false" customHeight="true" outlineLevel="0" collapsed="false">
      <c r="A152" s="148" t="str">
        <f aca="false">IF($M152="","",INDEX(LEDGER_ENGINE!$B$2:$B$546,$M152))</f>
        <v/>
      </c>
      <c r="B152" s="149" t="str">
        <f aca="false">IF($M152="","",INDEX(LEDGER_ENGINE!$C$2:$C$546,$M152))</f>
        <v/>
      </c>
      <c r="C152" s="149" t="str">
        <f aca="false">IF($M152="","",INDEX(LEDGER_ENGINE!$G$2:$G$546,$M152))</f>
        <v/>
      </c>
      <c r="D152" s="149" t="str">
        <f aca="false">IF($M152="","",INDEX(LEDGER_ENGINE!$H$2:$H$546,$M152))</f>
        <v/>
      </c>
      <c r="E152" s="150" t="str">
        <f aca="false">IF($M152="","",INDEX(LEDGER_ENGINE!$I$2:$I$546,$M152))</f>
        <v/>
      </c>
      <c r="G152" s="148" t="str">
        <f aca="false">IF($N152="","",INDEX(LEDGER_ENGINE!$B$2:$B$546,$N152))</f>
        <v/>
      </c>
      <c r="H152" s="149" t="str">
        <f aca="false">IF($N152="","",INDEX(LEDGER_ENGINE!$C$2:$C$546,$N152))</f>
        <v/>
      </c>
      <c r="I152" s="149" t="str">
        <f aca="false">IF($N152="","",INDEX(LEDGER_ENGINE!$G$2:$G$546,$N152))</f>
        <v/>
      </c>
      <c r="J152" s="149" t="str">
        <f aca="false">IFERROR(IF($N152="","",INDEX(LEDGER_ENGINE!$H$2:$H$546,$N152)),"")</f>
        <v/>
      </c>
      <c r="K152" s="150" t="str">
        <f aca="false">IF($N152="","",INDEX(LEDGER_ENGINE!$J$2:$J$546,$N152))</f>
        <v/>
      </c>
      <c r="M152" s="101" t="str">
        <f aca="false">IF(SUMIFS(LEDGER_ENGINE!$A$2:$A$546,LEDGER_ENGINE!$R$2:$R$546,$B$4&amp;"|"&amp;(ROW()-8))=0,"",SUMIFS(LEDGER_ENGINE!$A$2:$A$546,LEDGER_ENGINE!$R$2:$R$546,$B$4&amp;"|"&amp;(ROW()-8)))</f>
        <v/>
      </c>
      <c r="N152" s="101" t="str">
        <f aca="false">IF(SUMIFS(LEDGER_ENGINE!$A$2:$A$546,LEDGER_ENGINE!$S$2:$S$546,$B$4&amp;"|"&amp;(ROW()-8))=0,"",SUMIFS(LEDGER_ENGINE!$A$2:$A$546,LEDGER_ENGINE!$S$2:$S$546,$B$4&amp;"|"&amp;(ROW()-8)))</f>
        <v/>
      </c>
    </row>
    <row r="153" customFormat="false" ht="15" hidden="false" customHeight="true" outlineLevel="0" collapsed="false">
      <c r="A153" s="148" t="str">
        <f aca="false">IF($M153="","",INDEX(LEDGER_ENGINE!$B$2:$B$546,$M153))</f>
        <v/>
      </c>
      <c r="B153" s="149" t="str">
        <f aca="false">IF($M153="","",INDEX(LEDGER_ENGINE!$C$2:$C$546,$M153))</f>
        <v/>
      </c>
      <c r="C153" s="149" t="str">
        <f aca="false">IF($M153="","",INDEX(LEDGER_ENGINE!$G$2:$G$546,$M153))</f>
        <v/>
      </c>
      <c r="D153" s="149" t="str">
        <f aca="false">IF($M153="","",INDEX(LEDGER_ENGINE!$H$2:$H$546,$M153))</f>
        <v/>
      </c>
      <c r="E153" s="150" t="str">
        <f aca="false">IF($M153="","",INDEX(LEDGER_ENGINE!$I$2:$I$546,$M153))</f>
        <v/>
      </c>
      <c r="G153" s="148" t="str">
        <f aca="false">IF($N153="","",INDEX(LEDGER_ENGINE!$B$2:$B$546,$N153))</f>
        <v/>
      </c>
      <c r="H153" s="149" t="str">
        <f aca="false">IF($N153="","",INDEX(LEDGER_ENGINE!$C$2:$C$546,$N153))</f>
        <v/>
      </c>
      <c r="I153" s="149" t="str">
        <f aca="false">IF($N153="","",INDEX(LEDGER_ENGINE!$G$2:$G$546,$N153))</f>
        <v/>
      </c>
      <c r="J153" s="149" t="str">
        <f aca="false">IFERROR(IF($N153="","",INDEX(LEDGER_ENGINE!$H$2:$H$546,$N153)),"")</f>
        <v/>
      </c>
      <c r="K153" s="150" t="str">
        <f aca="false">IF($N153="","",INDEX(LEDGER_ENGINE!$J$2:$J$546,$N153))</f>
        <v/>
      </c>
      <c r="M153" s="101" t="str">
        <f aca="false">IF(SUMIFS(LEDGER_ENGINE!$A$2:$A$546,LEDGER_ENGINE!$R$2:$R$546,$B$4&amp;"|"&amp;(ROW()-8))=0,"",SUMIFS(LEDGER_ENGINE!$A$2:$A$546,LEDGER_ENGINE!$R$2:$R$546,$B$4&amp;"|"&amp;(ROW()-8)))</f>
        <v/>
      </c>
      <c r="N153" s="101" t="str">
        <f aca="false">IF(SUMIFS(LEDGER_ENGINE!$A$2:$A$546,LEDGER_ENGINE!$S$2:$S$546,$B$4&amp;"|"&amp;(ROW()-8))=0,"",SUMIFS(LEDGER_ENGINE!$A$2:$A$546,LEDGER_ENGINE!$S$2:$S$546,$B$4&amp;"|"&amp;(ROW()-8)))</f>
        <v/>
      </c>
    </row>
    <row r="154" customFormat="false" ht="15" hidden="false" customHeight="true" outlineLevel="0" collapsed="false">
      <c r="A154" s="148" t="str">
        <f aca="false">IF($M154="","",INDEX(LEDGER_ENGINE!$B$2:$B$546,$M154))</f>
        <v/>
      </c>
      <c r="B154" s="149" t="str">
        <f aca="false">IF($M154="","",INDEX(LEDGER_ENGINE!$C$2:$C$546,$M154))</f>
        <v/>
      </c>
      <c r="C154" s="149" t="str">
        <f aca="false">IF($M154="","",INDEX(LEDGER_ENGINE!$G$2:$G$546,$M154))</f>
        <v/>
      </c>
      <c r="D154" s="149" t="str">
        <f aca="false">IF($M154="","",INDEX(LEDGER_ENGINE!$H$2:$H$546,$M154))</f>
        <v/>
      </c>
      <c r="E154" s="150" t="str">
        <f aca="false">IF($M154="","",INDEX(LEDGER_ENGINE!$I$2:$I$546,$M154))</f>
        <v/>
      </c>
      <c r="G154" s="148" t="str">
        <f aca="false">IF($N154="","",INDEX(LEDGER_ENGINE!$B$2:$B$546,$N154))</f>
        <v/>
      </c>
      <c r="H154" s="149" t="str">
        <f aca="false">IF($N154="","",INDEX(LEDGER_ENGINE!$C$2:$C$546,$N154))</f>
        <v/>
      </c>
      <c r="I154" s="149" t="str">
        <f aca="false">IF($N154="","",INDEX(LEDGER_ENGINE!$G$2:$G$546,$N154))</f>
        <v/>
      </c>
      <c r="J154" s="149" t="str">
        <f aca="false">IFERROR(IF($N154="","",INDEX(LEDGER_ENGINE!$H$2:$H$546,$N154)),"")</f>
        <v/>
      </c>
      <c r="K154" s="150" t="str">
        <f aca="false">IF($N154="","",INDEX(LEDGER_ENGINE!$J$2:$J$546,$N154))</f>
        <v/>
      </c>
      <c r="M154" s="101" t="str">
        <f aca="false">IF(SUMIFS(LEDGER_ENGINE!$A$2:$A$546,LEDGER_ENGINE!$R$2:$R$546,$B$4&amp;"|"&amp;(ROW()-8))=0,"",SUMIFS(LEDGER_ENGINE!$A$2:$A$546,LEDGER_ENGINE!$R$2:$R$546,$B$4&amp;"|"&amp;(ROW()-8)))</f>
        <v/>
      </c>
      <c r="N154" s="101" t="str">
        <f aca="false">IF(SUMIFS(LEDGER_ENGINE!$A$2:$A$546,LEDGER_ENGINE!$S$2:$S$546,$B$4&amp;"|"&amp;(ROW()-8))=0,"",SUMIFS(LEDGER_ENGINE!$A$2:$A$546,LEDGER_ENGINE!$S$2:$S$546,$B$4&amp;"|"&amp;(ROW()-8)))</f>
        <v/>
      </c>
    </row>
    <row r="155" customFormat="false" ht="15" hidden="false" customHeight="true" outlineLevel="0" collapsed="false">
      <c r="A155" s="148" t="str">
        <f aca="false">IF($M155="","",INDEX(LEDGER_ENGINE!$B$2:$B$546,$M155))</f>
        <v/>
      </c>
      <c r="B155" s="149" t="str">
        <f aca="false">IF($M155="","",INDEX(LEDGER_ENGINE!$C$2:$C$546,$M155))</f>
        <v/>
      </c>
      <c r="C155" s="149" t="str">
        <f aca="false">IF($M155="","",INDEX(LEDGER_ENGINE!$G$2:$G$546,$M155))</f>
        <v/>
      </c>
      <c r="D155" s="149" t="str">
        <f aca="false">IF($M155="","",INDEX(LEDGER_ENGINE!$H$2:$H$546,$M155))</f>
        <v/>
      </c>
      <c r="E155" s="150" t="str">
        <f aca="false">IF($M155="","",INDEX(LEDGER_ENGINE!$I$2:$I$546,$M155))</f>
        <v/>
      </c>
      <c r="G155" s="148" t="str">
        <f aca="false">IF($N155="","",INDEX(LEDGER_ENGINE!$B$2:$B$546,$N155))</f>
        <v/>
      </c>
      <c r="H155" s="149" t="str">
        <f aca="false">IF($N155="","",INDEX(LEDGER_ENGINE!$C$2:$C$546,$N155))</f>
        <v/>
      </c>
      <c r="I155" s="149" t="str">
        <f aca="false">IF($N155="","",INDEX(LEDGER_ENGINE!$G$2:$G$546,$N155))</f>
        <v/>
      </c>
      <c r="J155" s="149" t="str">
        <f aca="false">IFERROR(IF($N155="","",INDEX(LEDGER_ENGINE!$H$2:$H$546,$N155)),"")</f>
        <v/>
      </c>
      <c r="K155" s="150" t="str">
        <f aca="false">IF($N155="","",INDEX(LEDGER_ENGINE!$J$2:$J$546,$N155))</f>
        <v/>
      </c>
      <c r="M155" s="101" t="str">
        <f aca="false">IF(SUMIFS(LEDGER_ENGINE!$A$2:$A$546,LEDGER_ENGINE!$R$2:$R$546,$B$4&amp;"|"&amp;(ROW()-8))=0,"",SUMIFS(LEDGER_ENGINE!$A$2:$A$546,LEDGER_ENGINE!$R$2:$R$546,$B$4&amp;"|"&amp;(ROW()-8)))</f>
        <v/>
      </c>
      <c r="N155" s="101" t="str">
        <f aca="false">IF(SUMIFS(LEDGER_ENGINE!$A$2:$A$546,LEDGER_ENGINE!$S$2:$S$546,$B$4&amp;"|"&amp;(ROW()-8))=0,"",SUMIFS(LEDGER_ENGINE!$A$2:$A$546,LEDGER_ENGINE!$S$2:$S$546,$B$4&amp;"|"&amp;(ROW()-8)))</f>
        <v/>
      </c>
    </row>
    <row r="156" customFormat="false" ht="15" hidden="false" customHeight="true" outlineLevel="0" collapsed="false">
      <c r="A156" s="148" t="str">
        <f aca="false">IF($M156="","",INDEX(LEDGER_ENGINE!$B$2:$B$546,$M156))</f>
        <v/>
      </c>
      <c r="B156" s="149" t="str">
        <f aca="false">IF($M156="","",INDEX(LEDGER_ENGINE!$C$2:$C$546,$M156))</f>
        <v/>
      </c>
      <c r="C156" s="149" t="str">
        <f aca="false">IF($M156="","",INDEX(LEDGER_ENGINE!$G$2:$G$546,$M156))</f>
        <v/>
      </c>
      <c r="D156" s="149" t="str">
        <f aca="false">IF($M156="","",INDEX(LEDGER_ENGINE!$H$2:$H$546,$M156))</f>
        <v/>
      </c>
      <c r="E156" s="150" t="str">
        <f aca="false">IF($M156="","",INDEX(LEDGER_ENGINE!$I$2:$I$546,$M156))</f>
        <v/>
      </c>
      <c r="G156" s="148" t="str">
        <f aca="false">IF($N156="","",INDEX(LEDGER_ENGINE!$B$2:$B$546,$N156))</f>
        <v/>
      </c>
      <c r="H156" s="149" t="str">
        <f aca="false">IF($N156="","",INDEX(LEDGER_ENGINE!$C$2:$C$546,$N156))</f>
        <v/>
      </c>
      <c r="I156" s="149" t="str">
        <f aca="false">IF($N156="","",INDEX(LEDGER_ENGINE!$G$2:$G$546,$N156))</f>
        <v/>
      </c>
      <c r="J156" s="149" t="str">
        <f aca="false">IFERROR(IF($N156="","",INDEX(LEDGER_ENGINE!$H$2:$H$546,$N156)),"")</f>
        <v/>
      </c>
      <c r="K156" s="150" t="str">
        <f aca="false">IF($N156="","",INDEX(LEDGER_ENGINE!$J$2:$J$546,$N156))</f>
        <v/>
      </c>
      <c r="M156" s="101" t="str">
        <f aca="false">IF(SUMIFS(LEDGER_ENGINE!$A$2:$A$546,LEDGER_ENGINE!$R$2:$R$546,$B$4&amp;"|"&amp;(ROW()-8))=0,"",SUMIFS(LEDGER_ENGINE!$A$2:$A$546,LEDGER_ENGINE!$R$2:$R$546,$B$4&amp;"|"&amp;(ROW()-8)))</f>
        <v/>
      </c>
      <c r="N156" s="101" t="str">
        <f aca="false">IF(SUMIFS(LEDGER_ENGINE!$A$2:$A$546,LEDGER_ENGINE!$S$2:$S$546,$B$4&amp;"|"&amp;(ROW()-8))=0,"",SUMIFS(LEDGER_ENGINE!$A$2:$A$546,LEDGER_ENGINE!$S$2:$S$546,$B$4&amp;"|"&amp;(ROW()-8)))</f>
        <v/>
      </c>
    </row>
    <row r="157" customFormat="false" ht="15" hidden="false" customHeight="true" outlineLevel="0" collapsed="false">
      <c r="A157" s="148" t="str">
        <f aca="false">IF($M157="","",INDEX(LEDGER_ENGINE!$B$2:$B$546,$M157))</f>
        <v/>
      </c>
      <c r="B157" s="149" t="str">
        <f aca="false">IF($M157="","",INDEX(LEDGER_ENGINE!$C$2:$C$546,$M157))</f>
        <v/>
      </c>
      <c r="C157" s="149" t="str">
        <f aca="false">IF($M157="","",INDEX(LEDGER_ENGINE!$G$2:$G$546,$M157))</f>
        <v/>
      </c>
      <c r="D157" s="149" t="str">
        <f aca="false">IF($M157="","",INDEX(LEDGER_ENGINE!$H$2:$H$546,$M157))</f>
        <v/>
      </c>
      <c r="E157" s="150" t="str">
        <f aca="false">IF($M157="","",INDEX(LEDGER_ENGINE!$I$2:$I$546,$M157))</f>
        <v/>
      </c>
      <c r="G157" s="148" t="str">
        <f aca="false">IF($N157="","",INDEX(LEDGER_ENGINE!$B$2:$B$546,$N157))</f>
        <v/>
      </c>
      <c r="H157" s="149" t="str">
        <f aca="false">IF($N157="","",INDEX(LEDGER_ENGINE!$C$2:$C$546,$N157))</f>
        <v/>
      </c>
      <c r="I157" s="149" t="str">
        <f aca="false">IF($N157="","",INDEX(LEDGER_ENGINE!$G$2:$G$546,$N157))</f>
        <v/>
      </c>
      <c r="J157" s="149" t="str">
        <f aca="false">IFERROR(IF($N157="","",INDEX(LEDGER_ENGINE!$H$2:$H$546,$N157)),"")</f>
        <v/>
      </c>
      <c r="K157" s="150" t="str">
        <f aca="false">IF($N157="","",INDEX(LEDGER_ENGINE!$J$2:$J$546,$N157))</f>
        <v/>
      </c>
      <c r="M157" s="101" t="str">
        <f aca="false">IF(SUMIFS(LEDGER_ENGINE!$A$2:$A$546,LEDGER_ENGINE!$R$2:$R$546,$B$4&amp;"|"&amp;(ROW()-8))=0,"",SUMIFS(LEDGER_ENGINE!$A$2:$A$546,LEDGER_ENGINE!$R$2:$R$546,$B$4&amp;"|"&amp;(ROW()-8)))</f>
        <v/>
      </c>
      <c r="N157" s="101" t="str">
        <f aca="false">IF(SUMIFS(LEDGER_ENGINE!$A$2:$A$546,LEDGER_ENGINE!$S$2:$S$546,$B$4&amp;"|"&amp;(ROW()-8))=0,"",SUMIFS(LEDGER_ENGINE!$A$2:$A$546,LEDGER_ENGINE!$S$2:$S$546,$B$4&amp;"|"&amp;(ROW()-8)))</f>
        <v/>
      </c>
    </row>
    <row r="158" customFormat="false" ht="15" hidden="false" customHeight="true" outlineLevel="0" collapsed="false">
      <c r="A158" s="148" t="str">
        <f aca="false">IF($M158="","",INDEX(LEDGER_ENGINE!$B$2:$B$546,$M158))</f>
        <v/>
      </c>
      <c r="B158" s="149" t="str">
        <f aca="false">IF($M158="","",INDEX(LEDGER_ENGINE!$C$2:$C$546,$M158))</f>
        <v/>
      </c>
      <c r="C158" s="149" t="str">
        <f aca="false">IF($M158="","",INDEX(LEDGER_ENGINE!$G$2:$G$546,$M158))</f>
        <v/>
      </c>
      <c r="D158" s="149" t="str">
        <f aca="false">IF($M158="","",INDEX(LEDGER_ENGINE!$H$2:$H$546,$M158))</f>
        <v/>
      </c>
      <c r="E158" s="150" t="str">
        <f aca="false">IF($M158="","",INDEX(LEDGER_ENGINE!$I$2:$I$546,$M158))</f>
        <v/>
      </c>
      <c r="G158" s="148" t="str">
        <f aca="false">IF($N158="","",INDEX(LEDGER_ENGINE!$B$2:$B$546,$N158))</f>
        <v/>
      </c>
      <c r="H158" s="149" t="str">
        <f aca="false">IF($N158="","",INDEX(LEDGER_ENGINE!$C$2:$C$546,$N158))</f>
        <v/>
      </c>
      <c r="I158" s="149" t="str">
        <f aca="false">IF($N158="","",INDEX(LEDGER_ENGINE!$G$2:$G$546,$N158))</f>
        <v/>
      </c>
      <c r="J158" s="149" t="str">
        <f aca="false">IFERROR(IF($N158="","",INDEX(LEDGER_ENGINE!$H$2:$H$546,$N158)),"")</f>
        <v/>
      </c>
      <c r="K158" s="150" t="str">
        <f aca="false">IF($N158="","",INDEX(LEDGER_ENGINE!$J$2:$J$546,$N158))</f>
        <v/>
      </c>
      <c r="M158" s="101" t="str">
        <f aca="false">IF(SUMIFS(LEDGER_ENGINE!$A$2:$A$546,LEDGER_ENGINE!$R$2:$R$546,$B$4&amp;"|"&amp;(ROW()-8))=0,"",SUMIFS(LEDGER_ENGINE!$A$2:$A$546,LEDGER_ENGINE!$R$2:$R$546,$B$4&amp;"|"&amp;(ROW()-8)))</f>
        <v/>
      </c>
      <c r="N158" s="101" t="str">
        <f aca="false">IF(SUMIFS(LEDGER_ENGINE!$A$2:$A$546,LEDGER_ENGINE!$S$2:$S$546,$B$4&amp;"|"&amp;(ROW()-8))=0,"",SUMIFS(LEDGER_ENGINE!$A$2:$A$546,LEDGER_ENGINE!$S$2:$S$546,$B$4&amp;"|"&amp;(ROW()-8)))</f>
        <v/>
      </c>
    </row>
    <row r="159" customFormat="false" ht="15" hidden="false" customHeight="true" outlineLevel="0" collapsed="false">
      <c r="A159" s="148" t="str">
        <f aca="false">IF($M159="","",INDEX(LEDGER_ENGINE!$B$2:$B$546,$M159))</f>
        <v/>
      </c>
      <c r="B159" s="149" t="str">
        <f aca="false">IF($M159="","",INDEX(LEDGER_ENGINE!$C$2:$C$546,$M159))</f>
        <v/>
      </c>
      <c r="C159" s="149" t="str">
        <f aca="false">IF($M159="","",INDEX(LEDGER_ENGINE!$G$2:$G$546,$M159))</f>
        <v/>
      </c>
      <c r="D159" s="149" t="str">
        <f aca="false">IF($M159="","",INDEX(LEDGER_ENGINE!$H$2:$H$546,$M159))</f>
        <v/>
      </c>
      <c r="E159" s="150" t="str">
        <f aca="false">IF($M159="","",INDEX(LEDGER_ENGINE!$I$2:$I$546,$M159))</f>
        <v/>
      </c>
      <c r="G159" s="148" t="str">
        <f aca="false">IF($N159="","",INDEX(LEDGER_ENGINE!$B$2:$B$546,$N159))</f>
        <v/>
      </c>
      <c r="H159" s="149" t="str">
        <f aca="false">IF($N159="","",INDEX(LEDGER_ENGINE!$C$2:$C$546,$N159))</f>
        <v/>
      </c>
      <c r="I159" s="149" t="str">
        <f aca="false">IF($N159="","",INDEX(LEDGER_ENGINE!$G$2:$G$546,$N159))</f>
        <v/>
      </c>
      <c r="J159" s="149" t="str">
        <f aca="false">IFERROR(IF($N159="","",INDEX(LEDGER_ENGINE!$H$2:$H$546,$N159)),"")</f>
        <v/>
      </c>
      <c r="K159" s="150" t="str">
        <f aca="false">IF($N159="","",INDEX(LEDGER_ENGINE!$J$2:$J$546,$N159))</f>
        <v/>
      </c>
      <c r="M159" s="101" t="str">
        <f aca="false">IF(SUMIFS(LEDGER_ENGINE!$A$2:$A$546,LEDGER_ENGINE!$R$2:$R$546,$B$4&amp;"|"&amp;(ROW()-8))=0,"",SUMIFS(LEDGER_ENGINE!$A$2:$A$546,LEDGER_ENGINE!$R$2:$R$546,$B$4&amp;"|"&amp;(ROW()-8)))</f>
        <v/>
      </c>
      <c r="N159" s="101" t="str">
        <f aca="false">IF(SUMIFS(LEDGER_ENGINE!$A$2:$A$546,LEDGER_ENGINE!$S$2:$S$546,$B$4&amp;"|"&amp;(ROW()-8))=0,"",SUMIFS(LEDGER_ENGINE!$A$2:$A$546,LEDGER_ENGINE!$S$2:$S$546,$B$4&amp;"|"&amp;(ROW()-8)))</f>
        <v/>
      </c>
    </row>
    <row r="160" customFormat="false" ht="15" hidden="false" customHeight="true" outlineLevel="0" collapsed="false">
      <c r="A160" s="148" t="str">
        <f aca="false">IF($M160="","",INDEX(LEDGER_ENGINE!$B$2:$B$546,$M160))</f>
        <v/>
      </c>
      <c r="B160" s="149" t="str">
        <f aca="false">IF($M160="","",INDEX(LEDGER_ENGINE!$C$2:$C$546,$M160))</f>
        <v/>
      </c>
      <c r="C160" s="149" t="str">
        <f aca="false">IF($M160="","",INDEX(LEDGER_ENGINE!$G$2:$G$546,$M160))</f>
        <v/>
      </c>
      <c r="D160" s="149" t="str">
        <f aca="false">IF($M160="","",INDEX(LEDGER_ENGINE!$H$2:$H$546,$M160))</f>
        <v/>
      </c>
      <c r="E160" s="150" t="str">
        <f aca="false">IF($M160="","",INDEX(LEDGER_ENGINE!$I$2:$I$546,$M160))</f>
        <v/>
      </c>
      <c r="G160" s="148" t="str">
        <f aca="false">IF($N160="","",INDEX(LEDGER_ENGINE!$B$2:$B$546,$N160))</f>
        <v/>
      </c>
      <c r="H160" s="149" t="str">
        <f aca="false">IF($N160="","",INDEX(LEDGER_ENGINE!$C$2:$C$546,$N160))</f>
        <v/>
      </c>
      <c r="I160" s="149" t="str">
        <f aca="false">IF($N160="","",INDEX(LEDGER_ENGINE!$G$2:$G$546,$N160))</f>
        <v/>
      </c>
      <c r="J160" s="149" t="str">
        <f aca="false">IFERROR(IF($N160="","",INDEX(LEDGER_ENGINE!$H$2:$H$546,$N160)),"")</f>
        <v/>
      </c>
      <c r="K160" s="150" t="str">
        <f aca="false">IF($N160="","",INDEX(LEDGER_ENGINE!$J$2:$J$546,$N160))</f>
        <v/>
      </c>
      <c r="M160" s="101" t="str">
        <f aca="false">IF(SUMIFS(LEDGER_ENGINE!$A$2:$A$546,LEDGER_ENGINE!$R$2:$R$546,$B$4&amp;"|"&amp;(ROW()-8))=0,"",SUMIFS(LEDGER_ENGINE!$A$2:$A$546,LEDGER_ENGINE!$R$2:$R$546,$B$4&amp;"|"&amp;(ROW()-8)))</f>
        <v/>
      </c>
      <c r="N160" s="101" t="str">
        <f aca="false">IF(SUMIFS(LEDGER_ENGINE!$A$2:$A$546,LEDGER_ENGINE!$S$2:$S$546,$B$4&amp;"|"&amp;(ROW()-8))=0,"",SUMIFS(LEDGER_ENGINE!$A$2:$A$546,LEDGER_ENGINE!$S$2:$S$546,$B$4&amp;"|"&amp;(ROW()-8)))</f>
        <v/>
      </c>
    </row>
    <row r="161" customFormat="false" ht="15" hidden="false" customHeight="true" outlineLevel="0" collapsed="false">
      <c r="A161" s="148" t="str">
        <f aca="false">IF($M161="","",INDEX(LEDGER_ENGINE!$B$2:$B$546,$M161))</f>
        <v/>
      </c>
      <c r="B161" s="149" t="str">
        <f aca="false">IF($M161="","",INDEX(LEDGER_ENGINE!$C$2:$C$546,$M161))</f>
        <v/>
      </c>
      <c r="C161" s="149" t="str">
        <f aca="false">IF($M161="","",INDEX(LEDGER_ENGINE!$G$2:$G$546,$M161))</f>
        <v/>
      </c>
      <c r="D161" s="149" t="str">
        <f aca="false">IF($M161="","",INDEX(LEDGER_ENGINE!$H$2:$H$546,$M161))</f>
        <v/>
      </c>
      <c r="E161" s="150" t="str">
        <f aca="false">IF($M161="","",INDEX(LEDGER_ENGINE!$I$2:$I$546,$M161))</f>
        <v/>
      </c>
      <c r="G161" s="148" t="str">
        <f aca="false">IF($N161="","",INDEX(LEDGER_ENGINE!$B$2:$B$546,$N161))</f>
        <v/>
      </c>
      <c r="H161" s="149" t="str">
        <f aca="false">IF($N161="","",INDEX(LEDGER_ENGINE!$C$2:$C$546,$N161))</f>
        <v/>
      </c>
      <c r="I161" s="149" t="str">
        <f aca="false">IF($N161="","",INDEX(LEDGER_ENGINE!$G$2:$G$546,$N161))</f>
        <v/>
      </c>
      <c r="J161" s="149" t="str">
        <f aca="false">IFERROR(IF($N161="","",INDEX(LEDGER_ENGINE!$H$2:$H$546,$N161)),"")</f>
        <v/>
      </c>
      <c r="K161" s="150" t="str">
        <f aca="false">IF($N161="","",INDEX(LEDGER_ENGINE!$J$2:$J$546,$N161))</f>
        <v/>
      </c>
      <c r="M161" s="101" t="str">
        <f aca="false">IF(SUMIFS(LEDGER_ENGINE!$A$2:$A$546,LEDGER_ENGINE!$R$2:$R$546,$B$4&amp;"|"&amp;(ROW()-8))=0,"",SUMIFS(LEDGER_ENGINE!$A$2:$A$546,LEDGER_ENGINE!$R$2:$R$546,$B$4&amp;"|"&amp;(ROW()-8)))</f>
        <v/>
      </c>
      <c r="N161" s="101" t="str">
        <f aca="false">IF(SUMIFS(LEDGER_ENGINE!$A$2:$A$546,LEDGER_ENGINE!$S$2:$S$546,$B$4&amp;"|"&amp;(ROW()-8))=0,"",SUMIFS(LEDGER_ENGINE!$A$2:$A$546,LEDGER_ENGINE!$S$2:$S$546,$B$4&amp;"|"&amp;(ROW()-8)))</f>
        <v/>
      </c>
    </row>
    <row r="162" customFormat="false" ht="15" hidden="false" customHeight="true" outlineLevel="0" collapsed="false">
      <c r="A162" s="148" t="str">
        <f aca="false">IF($M162="","",INDEX(LEDGER_ENGINE!$B$2:$B$546,$M162))</f>
        <v/>
      </c>
      <c r="B162" s="149" t="str">
        <f aca="false">IF($M162="","",INDEX(LEDGER_ENGINE!$C$2:$C$546,$M162))</f>
        <v/>
      </c>
      <c r="C162" s="149" t="str">
        <f aca="false">IF($M162="","",INDEX(LEDGER_ENGINE!$G$2:$G$546,$M162))</f>
        <v/>
      </c>
      <c r="D162" s="149" t="str">
        <f aca="false">IF($M162="","",INDEX(LEDGER_ENGINE!$H$2:$H$546,$M162))</f>
        <v/>
      </c>
      <c r="E162" s="150" t="str">
        <f aca="false">IF($M162="","",INDEX(LEDGER_ENGINE!$I$2:$I$546,$M162))</f>
        <v/>
      </c>
      <c r="G162" s="148" t="str">
        <f aca="false">IF($N162="","",INDEX(LEDGER_ENGINE!$B$2:$B$546,$N162))</f>
        <v/>
      </c>
      <c r="H162" s="149" t="str">
        <f aca="false">IF($N162="","",INDEX(LEDGER_ENGINE!$C$2:$C$546,$N162))</f>
        <v/>
      </c>
      <c r="I162" s="149" t="str">
        <f aca="false">IF($N162="","",INDEX(LEDGER_ENGINE!$G$2:$G$546,$N162))</f>
        <v/>
      </c>
      <c r="J162" s="149" t="str">
        <f aca="false">IFERROR(IF($N162="","",INDEX(LEDGER_ENGINE!$H$2:$H$546,$N162)),"")</f>
        <v/>
      </c>
      <c r="K162" s="150" t="str">
        <f aca="false">IF($N162="","",INDEX(LEDGER_ENGINE!$J$2:$J$546,$N162))</f>
        <v/>
      </c>
      <c r="M162" s="101" t="str">
        <f aca="false">IF(SUMIFS(LEDGER_ENGINE!$A$2:$A$546,LEDGER_ENGINE!$R$2:$R$546,$B$4&amp;"|"&amp;(ROW()-8))=0,"",SUMIFS(LEDGER_ENGINE!$A$2:$A$546,LEDGER_ENGINE!$R$2:$R$546,$B$4&amp;"|"&amp;(ROW()-8)))</f>
        <v/>
      </c>
      <c r="N162" s="101" t="str">
        <f aca="false">IF(SUMIFS(LEDGER_ENGINE!$A$2:$A$546,LEDGER_ENGINE!$S$2:$S$546,$B$4&amp;"|"&amp;(ROW()-8))=0,"",SUMIFS(LEDGER_ENGINE!$A$2:$A$546,LEDGER_ENGINE!$S$2:$S$546,$B$4&amp;"|"&amp;(ROW()-8)))</f>
        <v/>
      </c>
    </row>
    <row r="163" customFormat="false" ht="15" hidden="false" customHeight="true" outlineLevel="0" collapsed="false">
      <c r="A163" s="148" t="str">
        <f aca="false">IF($M163="","",INDEX(LEDGER_ENGINE!$B$2:$B$546,$M163))</f>
        <v/>
      </c>
      <c r="B163" s="149" t="str">
        <f aca="false">IF($M163="","",INDEX(LEDGER_ENGINE!$C$2:$C$546,$M163))</f>
        <v/>
      </c>
      <c r="C163" s="149" t="str">
        <f aca="false">IF($M163="","",INDEX(LEDGER_ENGINE!$G$2:$G$546,$M163))</f>
        <v/>
      </c>
      <c r="D163" s="149" t="str">
        <f aca="false">IF($M163="","",INDEX(LEDGER_ENGINE!$H$2:$H$546,$M163))</f>
        <v/>
      </c>
      <c r="E163" s="150" t="str">
        <f aca="false">IF($M163="","",INDEX(LEDGER_ENGINE!$I$2:$I$546,$M163))</f>
        <v/>
      </c>
      <c r="G163" s="148" t="str">
        <f aca="false">IF($N163="","",INDEX(LEDGER_ENGINE!$B$2:$B$546,$N163))</f>
        <v/>
      </c>
      <c r="H163" s="149" t="str">
        <f aca="false">IF($N163="","",INDEX(LEDGER_ENGINE!$C$2:$C$546,$N163))</f>
        <v/>
      </c>
      <c r="I163" s="149" t="str">
        <f aca="false">IF($N163="","",INDEX(LEDGER_ENGINE!$G$2:$G$546,$N163))</f>
        <v/>
      </c>
      <c r="J163" s="149" t="str">
        <f aca="false">IFERROR(IF($N163="","",INDEX(LEDGER_ENGINE!$H$2:$H$546,$N163)),"")</f>
        <v/>
      </c>
      <c r="K163" s="150" t="str">
        <f aca="false">IF($N163="","",INDEX(LEDGER_ENGINE!$J$2:$J$546,$N163))</f>
        <v/>
      </c>
      <c r="M163" s="101" t="str">
        <f aca="false">IF(SUMIFS(LEDGER_ENGINE!$A$2:$A$546,LEDGER_ENGINE!$R$2:$R$546,$B$4&amp;"|"&amp;(ROW()-8))=0,"",SUMIFS(LEDGER_ENGINE!$A$2:$A$546,LEDGER_ENGINE!$R$2:$R$546,$B$4&amp;"|"&amp;(ROW()-8)))</f>
        <v/>
      </c>
      <c r="N163" s="101" t="str">
        <f aca="false">IF(SUMIFS(LEDGER_ENGINE!$A$2:$A$546,LEDGER_ENGINE!$S$2:$S$546,$B$4&amp;"|"&amp;(ROW()-8))=0,"",SUMIFS(LEDGER_ENGINE!$A$2:$A$546,LEDGER_ENGINE!$S$2:$S$546,$B$4&amp;"|"&amp;(ROW()-8)))</f>
        <v/>
      </c>
    </row>
    <row r="164" customFormat="false" ht="15" hidden="false" customHeight="true" outlineLevel="0" collapsed="false">
      <c r="A164" s="148" t="str">
        <f aca="false">IF($M164="","",INDEX(LEDGER_ENGINE!$B$2:$B$546,$M164))</f>
        <v/>
      </c>
      <c r="B164" s="149" t="str">
        <f aca="false">IF($M164="","",INDEX(LEDGER_ENGINE!$C$2:$C$546,$M164))</f>
        <v/>
      </c>
      <c r="C164" s="149" t="str">
        <f aca="false">IF($M164="","",INDEX(LEDGER_ENGINE!$G$2:$G$546,$M164))</f>
        <v/>
      </c>
      <c r="D164" s="149" t="str">
        <f aca="false">IF($M164="","",INDEX(LEDGER_ENGINE!$H$2:$H$546,$M164))</f>
        <v/>
      </c>
      <c r="E164" s="150" t="str">
        <f aca="false">IF($M164="","",INDEX(LEDGER_ENGINE!$I$2:$I$546,$M164))</f>
        <v/>
      </c>
      <c r="G164" s="148" t="str">
        <f aca="false">IF($N164="","",INDEX(LEDGER_ENGINE!$B$2:$B$546,$N164))</f>
        <v/>
      </c>
      <c r="H164" s="149" t="str">
        <f aca="false">IF($N164="","",INDEX(LEDGER_ENGINE!$C$2:$C$546,$N164))</f>
        <v/>
      </c>
      <c r="I164" s="149" t="str">
        <f aca="false">IF($N164="","",INDEX(LEDGER_ENGINE!$G$2:$G$546,$N164))</f>
        <v/>
      </c>
      <c r="J164" s="149" t="str">
        <f aca="false">IFERROR(IF($N164="","",INDEX(LEDGER_ENGINE!$H$2:$H$546,$N164)),"")</f>
        <v/>
      </c>
      <c r="K164" s="150" t="str">
        <f aca="false">IF($N164="","",INDEX(LEDGER_ENGINE!$J$2:$J$546,$N164))</f>
        <v/>
      </c>
      <c r="M164" s="101" t="str">
        <f aca="false">IF(SUMIFS(LEDGER_ENGINE!$A$2:$A$546,LEDGER_ENGINE!$R$2:$R$546,$B$4&amp;"|"&amp;(ROW()-8))=0,"",SUMIFS(LEDGER_ENGINE!$A$2:$A$546,LEDGER_ENGINE!$R$2:$R$546,$B$4&amp;"|"&amp;(ROW()-8)))</f>
        <v/>
      </c>
      <c r="N164" s="101" t="str">
        <f aca="false">IF(SUMIFS(LEDGER_ENGINE!$A$2:$A$546,LEDGER_ENGINE!$S$2:$S$546,$B$4&amp;"|"&amp;(ROW()-8))=0,"",SUMIFS(LEDGER_ENGINE!$A$2:$A$546,LEDGER_ENGINE!$S$2:$S$546,$B$4&amp;"|"&amp;(ROW()-8)))</f>
        <v/>
      </c>
    </row>
    <row r="165" customFormat="false" ht="15" hidden="false" customHeight="true" outlineLevel="0" collapsed="false">
      <c r="A165" s="148" t="str">
        <f aca="false">IF($M165="","",INDEX(LEDGER_ENGINE!$B$2:$B$546,$M165))</f>
        <v/>
      </c>
      <c r="B165" s="149" t="str">
        <f aca="false">IF($M165="","",INDEX(LEDGER_ENGINE!$C$2:$C$546,$M165))</f>
        <v/>
      </c>
      <c r="C165" s="149" t="str">
        <f aca="false">IF($M165="","",INDEX(LEDGER_ENGINE!$G$2:$G$546,$M165))</f>
        <v/>
      </c>
      <c r="D165" s="149" t="str">
        <f aca="false">IF($M165="","",INDEX(LEDGER_ENGINE!$H$2:$H$546,$M165))</f>
        <v/>
      </c>
      <c r="E165" s="150" t="str">
        <f aca="false">IF($M165="","",INDEX(LEDGER_ENGINE!$I$2:$I$546,$M165))</f>
        <v/>
      </c>
      <c r="G165" s="148" t="str">
        <f aca="false">IF($N165="","",INDEX(LEDGER_ENGINE!$B$2:$B$546,$N165))</f>
        <v/>
      </c>
      <c r="H165" s="149" t="str">
        <f aca="false">IF($N165="","",INDEX(LEDGER_ENGINE!$C$2:$C$546,$N165))</f>
        <v/>
      </c>
      <c r="I165" s="149" t="str">
        <f aca="false">IF($N165="","",INDEX(LEDGER_ENGINE!$G$2:$G$546,$N165))</f>
        <v/>
      </c>
      <c r="J165" s="149" t="str">
        <f aca="false">IFERROR(IF($N165="","",INDEX(LEDGER_ENGINE!$H$2:$H$546,$N165)),"")</f>
        <v/>
      </c>
      <c r="K165" s="150" t="str">
        <f aca="false">IF($N165="","",INDEX(LEDGER_ENGINE!$J$2:$J$546,$N165))</f>
        <v/>
      </c>
      <c r="M165" s="101" t="str">
        <f aca="false">IF(SUMIFS(LEDGER_ENGINE!$A$2:$A$546,LEDGER_ENGINE!$R$2:$R$546,$B$4&amp;"|"&amp;(ROW()-8))=0,"",SUMIFS(LEDGER_ENGINE!$A$2:$A$546,LEDGER_ENGINE!$R$2:$R$546,$B$4&amp;"|"&amp;(ROW()-8)))</f>
        <v/>
      </c>
      <c r="N165" s="101" t="str">
        <f aca="false">IF(SUMIFS(LEDGER_ENGINE!$A$2:$A$546,LEDGER_ENGINE!$S$2:$S$546,$B$4&amp;"|"&amp;(ROW()-8))=0,"",SUMIFS(LEDGER_ENGINE!$A$2:$A$546,LEDGER_ENGINE!$S$2:$S$546,$B$4&amp;"|"&amp;(ROW()-8)))</f>
        <v/>
      </c>
    </row>
    <row r="166" customFormat="false" ht="15" hidden="false" customHeight="true" outlineLevel="0" collapsed="false">
      <c r="A166" s="148" t="str">
        <f aca="false">IF($M166="","",INDEX(LEDGER_ENGINE!$B$2:$B$546,$M166))</f>
        <v/>
      </c>
      <c r="B166" s="149" t="str">
        <f aca="false">IF($M166="","",INDEX(LEDGER_ENGINE!$C$2:$C$546,$M166))</f>
        <v/>
      </c>
      <c r="C166" s="149" t="str">
        <f aca="false">IF($M166="","",INDEX(LEDGER_ENGINE!$G$2:$G$546,$M166))</f>
        <v/>
      </c>
      <c r="D166" s="149" t="str">
        <f aca="false">IF($M166="","",INDEX(LEDGER_ENGINE!$H$2:$H$546,$M166))</f>
        <v/>
      </c>
      <c r="E166" s="150" t="str">
        <f aca="false">IF($M166="","",INDEX(LEDGER_ENGINE!$I$2:$I$546,$M166))</f>
        <v/>
      </c>
      <c r="G166" s="148" t="str">
        <f aca="false">IF($N166="","",INDEX(LEDGER_ENGINE!$B$2:$B$546,$N166))</f>
        <v/>
      </c>
      <c r="H166" s="149" t="str">
        <f aca="false">IF($N166="","",INDEX(LEDGER_ENGINE!$C$2:$C$546,$N166))</f>
        <v/>
      </c>
      <c r="I166" s="149" t="str">
        <f aca="false">IF($N166="","",INDEX(LEDGER_ENGINE!$G$2:$G$546,$N166))</f>
        <v/>
      </c>
      <c r="J166" s="149" t="str">
        <f aca="false">IFERROR(IF($N166="","",INDEX(LEDGER_ENGINE!$H$2:$H$546,$N166)),"")</f>
        <v/>
      </c>
      <c r="K166" s="150" t="str">
        <f aca="false">IF($N166="","",INDEX(LEDGER_ENGINE!$J$2:$J$546,$N166))</f>
        <v/>
      </c>
      <c r="M166" s="101" t="str">
        <f aca="false">IF(SUMIFS(LEDGER_ENGINE!$A$2:$A$546,LEDGER_ENGINE!$R$2:$R$546,$B$4&amp;"|"&amp;(ROW()-8))=0,"",SUMIFS(LEDGER_ENGINE!$A$2:$A$546,LEDGER_ENGINE!$R$2:$R$546,$B$4&amp;"|"&amp;(ROW()-8)))</f>
        <v/>
      </c>
      <c r="N166" s="101" t="str">
        <f aca="false">IF(SUMIFS(LEDGER_ENGINE!$A$2:$A$546,LEDGER_ENGINE!$S$2:$S$546,$B$4&amp;"|"&amp;(ROW()-8))=0,"",SUMIFS(LEDGER_ENGINE!$A$2:$A$546,LEDGER_ENGINE!$S$2:$S$546,$B$4&amp;"|"&amp;(ROW()-8)))</f>
        <v/>
      </c>
    </row>
    <row r="167" customFormat="false" ht="15" hidden="false" customHeight="true" outlineLevel="0" collapsed="false">
      <c r="A167" s="148" t="str">
        <f aca="false">IF($M167="","",INDEX(LEDGER_ENGINE!$B$2:$B$546,$M167))</f>
        <v/>
      </c>
      <c r="B167" s="149" t="str">
        <f aca="false">IF($M167="","",INDEX(LEDGER_ENGINE!$C$2:$C$546,$M167))</f>
        <v/>
      </c>
      <c r="C167" s="149" t="str">
        <f aca="false">IF($M167="","",INDEX(LEDGER_ENGINE!$G$2:$G$546,$M167))</f>
        <v/>
      </c>
      <c r="D167" s="149" t="str">
        <f aca="false">IF($M167="","",INDEX(LEDGER_ENGINE!$H$2:$H$546,$M167))</f>
        <v/>
      </c>
      <c r="E167" s="150" t="str">
        <f aca="false">IF($M167="","",INDEX(LEDGER_ENGINE!$I$2:$I$546,$M167))</f>
        <v/>
      </c>
      <c r="G167" s="148" t="str">
        <f aca="false">IF($N167="","",INDEX(LEDGER_ENGINE!$B$2:$B$546,$N167))</f>
        <v/>
      </c>
      <c r="H167" s="149" t="str">
        <f aca="false">IF($N167="","",INDEX(LEDGER_ENGINE!$C$2:$C$546,$N167))</f>
        <v/>
      </c>
      <c r="I167" s="149" t="str">
        <f aca="false">IF($N167="","",INDEX(LEDGER_ENGINE!$G$2:$G$546,$N167))</f>
        <v/>
      </c>
      <c r="J167" s="149" t="str">
        <f aca="false">IFERROR(IF($N167="","",INDEX(LEDGER_ENGINE!$H$2:$H$546,$N167)),"")</f>
        <v/>
      </c>
      <c r="K167" s="150" t="str">
        <f aca="false">IF($N167="","",INDEX(LEDGER_ENGINE!$J$2:$J$546,$N167))</f>
        <v/>
      </c>
      <c r="M167" s="101" t="str">
        <f aca="false">IF(SUMIFS(LEDGER_ENGINE!$A$2:$A$546,LEDGER_ENGINE!$R$2:$R$546,$B$4&amp;"|"&amp;(ROW()-8))=0,"",SUMIFS(LEDGER_ENGINE!$A$2:$A$546,LEDGER_ENGINE!$R$2:$R$546,$B$4&amp;"|"&amp;(ROW()-8)))</f>
        <v/>
      </c>
      <c r="N167" s="101" t="str">
        <f aca="false">IF(SUMIFS(LEDGER_ENGINE!$A$2:$A$546,LEDGER_ENGINE!$S$2:$S$546,$B$4&amp;"|"&amp;(ROW()-8))=0,"",SUMIFS(LEDGER_ENGINE!$A$2:$A$546,LEDGER_ENGINE!$S$2:$S$546,$B$4&amp;"|"&amp;(ROW()-8)))</f>
        <v/>
      </c>
    </row>
    <row r="168" customFormat="false" ht="15" hidden="false" customHeight="true" outlineLevel="0" collapsed="false">
      <c r="A168" s="148" t="str">
        <f aca="false">IF($M168="","",INDEX(LEDGER_ENGINE!$B$2:$B$546,$M168))</f>
        <v/>
      </c>
      <c r="B168" s="149" t="str">
        <f aca="false">IF($M168="","",INDEX(LEDGER_ENGINE!$C$2:$C$546,$M168))</f>
        <v/>
      </c>
      <c r="C168" s="149" t="str">
        <f aca="false">IF($M168="","",INDEX(LEDGER_ENGINE!$G$2:$G$546,$M168))</f>
        <v/>
      </c>
      <c r="D168" s="149" t="str">
        <f aca="false">IF($M168="","",INDEX(LEDGER_ENGINE!$H$2:$H$546,$M168))</f>
        <v/>
      </c>
      <c r="E168" s="150" t="str">
        <f aca="false">IF($M168="","",INDEX(LEDGER_ENGINE!$I$2:$I$546,$M168))</f>
        <v/>
      </c>
      <c r="G168" s="148" t="str">
        <f aca="false">IF($N168="","",INDEX(LEDGER_ENGINE!$B$2:$B$546,$N168))</f>
        <v/>
      </c>
      <c r="H168" s="149" t="str">
        <f aca="false">IF($N168="","",INDEX(LEDGER_ENGINE!$C$2:$C$546,$N168))</f>
        <v/>
      </c>
      <c r="I168" s="149" t="str">
        <f aca="false">IF($N168="","",INDEX(LEDGER_ENGINE!$G$2:$G$546,$N168))</f>
        <v/>
      </c>
      <c r="J168" s="149" t="str">
        <f aca="false">IFERROR(IF($N168="","",INDEX(LEDGER_ENGINE!$H$2:$H$546,$N168)),"")</f>
        <v/>
      </c>
      <c r="K168" s="150" t="str">
        <f aca="false">IF($N168="","",INDEX(LEDGER_ENGINE!$J$2:$J$546,$N168))</f>
        <v/>
      </c>
      <c r="M168" s="101" t="str">
        <f aca="false">IF(SUMIFS(LEDGER_ENGINE!$A$2:$A$546,LEDGER_ENGINE!$R$2:$R$546,$B$4&amp;"|"&amp;(ROW()-8))=0,"",SUMIFS(LEDGER_ENGINE!$A$2:$A$546,LEDGER_ENGINE!$R$2:$R$546,$B$4&amp;"|"&amp;(ROW()-8)))</f>
        <v/>
      </c>
      <c r="N168" s="101" t="str">
        <f aca="false">IF(SUMIFS(LEDGER_ENGINE!$A$2:$A$546,LEDGER_ENGINE!$S$2:$S$546,$B$4&amp;"|"&amp;(ROW()-8))=0,"",SUMIFS(LEDGER_ENGINE!$A$2:$A$546,LEDGER_ENGINE!$S$2:$S$546,$B$4&amp;"|"&amp;(ROW()-8)))</f>
        <v/>
      </c>
    </row>
    <row r="169" customFormat="false" ht="15" hidden="false" customHeight="true" outlineLevel="0" collapsed="false">
      <c r="A169" s="148" t="str">
        <f aca="false">IF($M169="","",INDEX(LEDGER_ENGINE!$B$2:$B$546,$M169))</f>
        <v/>
      </c>
      <c r="B169" s="149" t="str">
        <f aca="false">IF($M169="","",INDEX(LEDGER_ENGINE!$C$2:$C$546,$M169))</f>
        <v/>
      </c>
      <c r="C169" s="149" t="str">
        <f aca="false">IF($M169="","",INDEX(LEDGER_ENGINE!$G$2:$G$546,$M169))</f>
        <v/>
      </c>
      <c r="D169" s="149" t="str">
        <f aca="false">IF($M169="","",INDEX(LEDGER_ENGINE!$H$2:$H$546,$M169))</f>
        <v/>
      </c>
      <c r="E169" s="150" t="str">
        <f aca="false">IF($M169="","",INDEX(LEDGER_ENGINE!$I$2:$I$546,$M169))</f>
        <v/>
      </c>
      <c r="G169" s="148" t="str">
        <f aca="false">IF($N169="","",INDEX(LEDGER_ENGINE!$B$2:$B$546,$N169))</f>
        <v/>
      </c>
      <c r="H169" s="149" t="str">
        <f aca="false">IF($N169="","",INDEX(LEDGER_ENGINE!$C$2:$C$546,$N169))</f>
        <v/>
      </c>
      <c r="I169" s="149" t="str">
        <f aca="false">IF($N169="","",INDEX(LEDGER_ENGINE!$G$2:$G$546,$N169))</f>
        <v/>
      </c>
      <c r="J169" s="149" t="str">
        <f aca="false">IFERROR(IF($N169="","",INDEX(LEDGER_ENGINE!$H$2:$H$546,$N169)),"")</f>
        <v/>
      </c>
      <c r="K169" s="150" t="str">
        <f aca="false">IF($N169="","",INDEX(LEDGER_ENGINE!$J$2:$J$546,$N169))</f>
        <v/>
      </c>
      <c r="M169" s="101" t="str">
        <f aca="false">IF(SUMIFS(LEDGER_ENGINE!$A$2:$A$546,LEDGER_ENGINE!$R$2:$R$546,$B$4&amp;"|"&amp;(ROW()-8))=0,"",SUMIFS(LEDGER_ENGINE!$A$2:$A$546,LEDGER_ENGINE!$R$2:$R$546,$B$4&amp;"|"&amp;(ROW()-8)))</f>
        <v/>
      </c>
      <c r="N169" s="101" t="str">
        <f aca="false">IF(SUMIFS(LEDGER_ENGINE!$A$2:$A$546,LEDGER_ENGINE!$S$2:$S$546,$B$4&amp;"|"&amp;(ROW()-8))=0,"",SUMIFS(LEDGER_ENGINE!$A$2:$A$546,LEDGER_ENGINE!$S$2:$S$546,$B$4&amp;"|"&amp;(ROW()-8)))</f>
        <v/>
      </c>
    </row>
    <row r="170" customFormat="false" ht="15" hidden="false" customHeight="true" outlineLevel="0" collapsed="false">
      <c r="A170" s="148" t="str">
        <f aca="false">IF($M170="","",INDEX(LEDGER_ENGINE!$B$2:$B$546,$M170))</f>
        <v/>
      </c>
      <c r="B170" s="149" t="str">
        <f aca="false">IF($M170="","",INDEX(LEDGER_ENGINE!$C$2:$C$546,$M170))</f>
        <v/>
      </c>
      <c r="C170" s="149" t="str">
        <f aca="false">IF($M170="","",INDEX(LEDGER_ENGINE!$G$2:$G$546,$M170))</f>
        <v/>
      </c>
      <c r="D170" s="149" t="str">
        <f aca="false">IF($M170="","",INDEX(LEDGER_ENGINE!$H$2:$H$546,$M170))</f>
        <v/>
      </c>
      <c r="E170" s="150" t="str">
        <f aca="false">IF($M170="","",INDEX(LEDGER_ENGINE!$I$2:$I$546,$M170))</f>
        <v/>
      </c>
      <c r="G170" s="148" t="str">
        <f aca="false">IF($N170="","",INDEX(LEDGER_ENGINE!$B$2:$B$546,$N170))</f>
        <v/>
      </c>
      <c r="H170" s="149" t="str">
        <f aca="false">IF($N170="","",INDEX(LEDGER_ENGINE!$C$2:$C$546,$N170))</f>
        <v/>
      </c>
      <c r="I170" s="149" t="str">
        <f aca="false">IF($N170="","",INDEX(LEDGER_ENGINE!$G$2:$G$546,$N170))</f>
        <v/>
      </c>
      <c r="J170" s="149" t="str">
        <f aca="false">IFERROR(IF($N170="","",INDEX(LEDGER_ENGINE!$H$2:$H$546,$N170)),"")</f>
        <v/>
      </c>
      <c r="K170" s="150" t="str">
        <f aca="false">IF($N170="","",INDEX(LEDGER_ENGINE!$J$2:$J$546,$N170))</f>
        <v/>
      </c>
      <c r="M170" s="101" t="str">
        <f aca="false">IF(SUMIFS(LEDGER_ENGINE!$A$2:$A$546,LEDGER_ENGINE!$R$2:$R$546,$B$4&amp;"|"&amp;(ROW()-8))=0,"",SUMIFS(LEDGER_ENGINE!$A$2:$A$546,LEDGER_ENGINE!$R$2:$R$546,$B$4&amp;"|"&amp;(ROW()-8)))</f>
        <v/>
      </c>
      <c r="N170" s="101" t="str">
        <f aca="false">IF(SUMIFS(LEDGER_ENGINE!$A$2:$A$546,LEDGER_ENGINE!$S$2:$S$546,$B$4&amp;"|"&amp;(ROW()-8))=0,"",SUMIFS(LEDGER_ENGINE!$A$2:$A$546,LEDGER_ENGINE!$S$2:$S$546,$B$4&amp;"|"&amp;(ROW()-8)))</f>
        <v/>
      </c>
    </row>
    <row r="171" customFormat="false" ht="15" hidden="false" customHeight="true" outlineLevel="0" collapsed="false">
      <c r="A171" s="148" t="str">
        <f aca="false">IF($M171="","",INDEX(LEDGER_ENGINE!$B$2:$B$546,$M171))</f>
        <v/>
      </c>
      <c r="B171" s="149" t="str">
        <f aca="false">IF($M171="","",INDEX(LEDGER_ENGINE!$C$2:$C$546,$M171))</f>
        <v/>
      </c>
      <c r="C171" s="149" t="str">
        <f aca="false">IF($M171="","",INDEX(LEDGER_ENGINE!$G$2:$G$546,$M171))</f>
        <v/>
      </c>
      <c r="D171" s="149" t="str">
        <f aca="false">IF($M171="","",INDEX(LEDGER_ENGINE!$H$2:$H$546,$M171))</f>
        <v/>
      </c>
      <c r="E171" s="150" t="str">
        <f aca="false">IF($M171="","",INDEX(LEDGER_ENGINE!$I$2:$I$546,$M171))</f>
        <v/>
      </c>
      <c r="G171" s="148" t="str">
        <f aca="false">IF($N171="","",INDEX(LEDGER_ENGINE!$B$2:$B$546,$N171))</f>
        <v/>
      </c>
      <c r="H171" s="149" t="str">
        <f aca="false">IF($N171="","",INDEX(LEDGER_ENGINE!$C$2:$C$546,$N171))</f>
        <v/>
      </c>
      <c r="I171" s="149" t="str">
        <f aca="false">IF($N171="","",INDEX(LEDGER_ENGINE!$G$2:$G$546,$N171))</f>
        <v/>
      </c>
      <c r="J171" s="149" t="str">
        <f aca="false">IFERROR(IF($N171="","",INDEX(LEDGER_ENGINE!$H$2:$H$546,$N171)),"")</f>
        <v/>
      </c>
      <c r="K171" s="150" t="str">
        <f aca="false">IF($N171="","",INDEX(LEDGER_ENGINE!$J$2:$J$546,$N171))</f>
        <v/>
      </c>
      <c r="M171" s="101" t="str">
        <f aca="false">IF(SUMIFS(LEDGER_ENGINE!$A$2:$A$546,LEDGER_ENGINE!$R$2:$R$546,$B$4&amp;"|"&amp;(ROW()-8))=0,"",SUMIFS(LEDGER_ENGINE!$A$2:$A$546,LEDGER_ENGINE!$R$2:$R$546,$B$4&amp;"|"&amp;(ROW()-8)))</f>
        <v/>
      </c>
      <c r="N171" s="101" t="str">
        <f aca="false">IF(SUMIFS(LEDGER_ENGINE!$A$2:$A$546,LEDGER_ENGINE!$S$2:$S$546,$B$4&amp;"|"&amp;(ROW()-8))=0,"",SUMIFS(LEDGER_ENGINE!$A$2:$A$546,LEDGER_ENGINE!$S$2:$S$546,$B$4&amp;"|"&amp;(ROW()-8)))</f>
        <v/>
      </c>
    </row>
    <row r="172" customFormat="false" ht="15" hidden="false" customHeight="true" outlineLevel="0" collapsed="false">
      <c r="A172" s="148" t="str">
        <f aca="false">IF($M172="","",INDEX(LEDGER_ENGINE!$B$2:$B$546,$M172))</f>
        <v/>
      </c>
      <c r="B172" s="149" t="str">
        <f aca="false">IF($M172="","",INDEX(LEDGER_ENGINE!$C$2:$C$546,$M172))</f>
        <v/>
      </c>
      <c r="C172" s="149" t="str">
        <f aca="false">IF($M172="","",INDEX(LEDGER_ENGINE!$G$2:$G$546,$M172))</f>
        <v/>
      </c>
      <c r="D172" s="149" t="str">
        <f aca="false">IF($M172="","",INDEX(LEDGER_ENGINE!$H$2:$H$546,$M172))</f>
        <v/>
      </c>
      <c r="E172" s="150" t="str">
        <f aca="false">IF($M172="","",INDEX(LEDGER_ENGINE!$I$2:$I$546,$M172))</f>
        <v/>
      </c>
      <c r="G172" s="148" t="str">
        <f aca="false">IF($N172="","",INDEX(LEDGER_ENGINE!$B$2:$B$546,$N172))</f>
        <v/>
      </c>
      <c r="H172" s="149" t="str">
        <f aca="false">IF($N172="","",INDEX(LEDGER_ENGINE!$C$2:$C$546,$N172))</f>
        <v/>
      </c>
      <c r="I172" s="149" t="str">
        <f aca="false">IF($N172="","",INDEX(LEDGER_ENGINE!$G$2:$G$546,$N172))</f>
        <v/>
      </c>
      <c r="J172" s="149" t="str">
        <f aca="false">IFERROR(IF($N172="","",INDEX(LEDGER_ENGINE!$H$2:$H$546,$N172)),"")</f>
        <v/>
      </c>
      <c r="K172" s="150" t="str">
        <f aca="false">IF($N172="","",INDEX(LEDGER_ENGINE!$J$2:$J$546,$N172))</f>
        <v/>
      </c>
      <c r="M172" s="101" t="str">
        <f aca="false">IF(SUMIFS(LEDGER_ENGINE!$A$2:$A$546,LEDGER_ENGINE!$R$2:$R$546,$B$4&amp;"|"&amp;(ROW()-8))=0,"",SUMIFS(LEDGER_ENGINE!$A$2:$A$546,LEDGER_ENGINE!$R$2:$R$546,$B$4&amp;"|"&amp;(ROW()-8)))</f>
        <v/>
      </c>
      <c r="N172" s="101" t="str">
        <f aca="false">IF(SUMIFS(LEDGER_ENGINE!$A$2:$A$546,LEDGER_ENGINE!$S$2:$S$546,$B$4&amp;"|"&amp;(ROW()-8))=0,"",SUMIFS(LEDGER_ENGINE!$A$2:$A$546,LEDGER_ENGINE!$S$2:$S$546,$B$4&amp;"|"&amp;(ROW()-8)))</f>
        <v/>
      </c>
    </row>
    <row r="173" customFormat="false" ht="15" hidden="false" customHeight="true" outlineLevel="0" collapsed="false">
      <c r="A173" s="148" t="str">
        <f aca="false">IF($M173="","",INDEX(LEDGER_ENGINE!$B$2:$B$546,$M173))</f>
        <v/>
      </c>
      <c r="B173" s="149" t="str">
        <f aca="false">IF($M173="","",INDEX(LEDGER_ENGINE!$C$2:$C$546,$M173))</f>
        <v/>
      </c>
      <c r="C173" s="149" t="str">
        <f aca="false">IF($M173="","",INDEX(LEDGER_ENGINE!$G$2:$G$546,$M173))</f>
        <v/>
      </c>
      <c r="D173" s="149" t="str">
        <f aca="false">IF($M173="","",INDEX(LEDGER_ENGINE!$H$2:$H$546,$M173))</f>
        <v/>
      </c>
      <c r="E173" s="150" t="str">
        <f aca="false">IF($M173="","",INDEX(LEDGER_ENGINE!$I$2:$I$546,$M173))</f>
        <v/>
      </c>
      <c r="G173" s="148" t="str">
        <f aca="false">IF($N173="","",INDEX(LEDGER_ENGINE!$B$2:$B$546,$N173))</f>
        <v/>
      </c>
      <c r="H173" s="149" t="str">
        <f aca="false">IF($N173="","",INDEX(LEDGER_ENGINE!$C$2:$C$546,$N173))</f>
        <v/>
      </c>
      <c r="I173" s="149" t="str">
        <f aca="false">IF($N173="","",INDEX(LEDGER_ENGINE!$G$2:$G$546,$N173))</f>
        <v/>
      </c>
      <c r="J173" s="149" t="str">
        <f aca="false">IFERROR(IF($N173="","",INDEX(LEDGER_ENGINE!$H$2:$H$546,$N173)),"")</f>
        <v/>
      </c>
      <c r="K173" s="150" t="str">
        <f aca="false">IF($N173="","",INDEX(LEDGER_ENGINE!$J$2:$J$546,$N173))</f>
        <v/>
      </c>
      <c r="M173" s="101" t="str">
        <f aca="false">IF(SUMIFS(LEDGER_ENGINE!$A$2:$A$546,LEDGER_ENGINE!$R$2:$R$546,$B$4&amp;"|"&amp;(ROW()-8))=0,"",SUMIFS(LEDGER_ENGINE!$A$2:$A$546,LEDGER_ENGINE!$R$2:$R$546,$B$4&amp;"|"&amp;(ROW()-8)))</f>
        <v/>
      </c>
      <c r="N173" s="101" t="str">
        <f aca="false">IF(SUMIFS(LEDGER_ENGINE!$A$2:$A$546,LEDGER_ENGINE!$S$2:$S$546,$B$4&amp;"|"&amp;(ROW()-8))=0,"",SUMIFS(LEDGER_ENGINE!$A$2:$A$546,LEDGER_ENGINE!$S$2:$S$546,$B$4&amp;"|"&amp;(ROW()-8)))</f>
        <v/>
      </c>
    </row>
    <row r="174" customFormat="false" ht="15" hidden="false" customHeight="true" outlineLevel="0" collapsed="false">
      <c r="A174" s="148" t="str">
        <f aca="false">IF($M174="","",INDEX(LEDGER_ENGINE!$B$2:$B$546,$M174))</f>
        <v/>
      </c>
      <c r="B174" s="149" t="str">
        <f aca="false">IF($M174="","",INDEX(LEDGER_ENGINE!$C$2:$C$546,$M174))</f>
        <v/>
      </c>
      <c r="C174" s="149" t="str">
        <f aca="false">IF($M174="","",INDEX(LEDGER_ENGINE!$G$2:$G$546,$M174))</f>
        <v/>
      </c>
      <c r="D174" s="149" t="str">
        <f aca="false">IF($M174="","",INDEX(LEDGER_ENGINE!$H$2:$H$546,$M174))</f>
        <v/>
      </c>
      <c r="E174" s="150" t="str">
        <f aca="false">IF($M174="","",INDEX(LEDGER_ENGINE!$I$2:$I$546,$M174))</f>
        <v/>
      </c>
      <c r="G174" s="148" t="str">
        <f aca="false">IF($N174="","",INDEX(LEDGER_ENGINE!$B$2:$B$546,$N174))</f>
        <v/>
      </c>
      <c r="H174" s="149" t="str">
        <f aca="false">IF($N174="","",INDEX(LEDGER_ENGINE!$C$2:$C$546,$N174))</f>
        <v/>
      </c>
      <c r="I174" s="149" t="str">
        <f aca="false">IF($N174="","",INDEX(LEDGER_ENGINE!$G$2:$G$546,$N174))</f>
        <v/>
      </c>
      <c r="J174" s="149" t="str">
        <f aca="false">IFERROR(IF($N174="","",INDEX(LEDGER_ENGINE!$H$2:$H$546,$N174)),"")</f>
        <v/>
      </c>
      <c r="K174" s="150" t="str">
        <f aca="false">IF($N174="","",INDEX(LEDGER_ENGINE!$J$2:$J$546,$N174))</f>
        <v/>
      </c>
      <c r="M174" s="101" t="str">
        <f aca="false">IF(SUMIFS(LEDGER_ENGINE!$A$2:$A$546,LEDGER_ENGINE!$R$2:$R$546,$B$4&amp;"|"&amp;(ROW()-8))=0,"",SUMIFS(LEDGER_ENGINE!$A$2:$A$546,LEDGER_ENGINE!$R$2:$R$546,$B$4&amp;"|"&amp;(ROW()-8)))</f>
        <v/>
      </c>
      <c r="N174" s="101" t="str">
        <f aca="false">IF(SUMIFS(LEDGER_ENGINE!$A$2:$A$546,LEDGER_ENGINE!$S$2:$S$546,$B$4&amp;"|"&amp;(ROW()-8))=0,"",SUMIFS(LEDGER_ENGINE!$A$2:$A$546,LEDGER_ENGINE!$S$2:$S$546,$B$4&amp;"|"&amp;(ROW()-8)))</f>
        <v/>
      </c>
    </row>
    <row r="175" customFormat="false" ht="15" hidden="false" customHeight="true" outlineLevel="0" collapsed="false">
      <c r="A175" s="148" t="str">
        <f aca="false">IF($M175="","",INDEX(LEDGER_ENGINE!$B$2:$B$546,$M175))</f>
        <v/>
      </c>
      <c r="B175" s="149" t="str">
        <f aca="false">IF($M175="","",INDEX(LEDGER_ENGINE!$C$2:$C$546,$M175))</f>
        <v/>
      </c>
      <c r="C175" s="149" t="str">
        <f aca="false">IF($M175="","",INDEX(LEDGER_ENGINE!$G$2:$G$546,$M175))</f>
        <v/>
      </c>
      <c r="D175" s="149" t="str">
        <f aca="false">IF($M175="","",INDEX(LEDGER_ENGINE!$H$2:$H$546,$M175))</f>
        <v/>
      </c>
      <c r="E175" s="150" t="str">
        <f aca="false">IF($M175="","",INDEX(LEDGER_ENGINE!$I$2:$I$546,$M175))</f>
        <v/>
      </c>
      <c r="G175" s="148" t="str">
        <f aca="false">IF($N175="","",INDEX(LEDGER_ENGINE!$B$2:$B$546,$N175))</f>
        <v/>
      </c>
      <c r="H175" s="149" t="str">
        <f aca="false">IF($N175="","",INDEX(LEDGER_ENGINE!$C$2:$C$546,$N175))</f>
        <v/>
      </c>
      <c r="I175" s="149" t="str">
        <f aca="false">IF($N175="","",INDEX(LEDGER_ENGINE!$G$2:$G$546,$N175))</f>
        <v/>
      </c>
      <c r="J175" s="149" t="str">
        <f aca="false">IFERROR(IF($N175="","",INDEX(LEDGER_ENGINE!$H$2:$H$546,$N175)),"")</f>
        <v/>
      </c>
      <c r="K175" s="150" t="str">
        <f aca="false">IF($N175="","",INDEX(LEDGER_ENGINE!$J$2:$J$546,$N175))</f>
        <v/>
      </c>
      <c r="M175" s="101" t="str">
        <f aca="false">IF(SUMIFS(LEDGER_ENGINE!$A$2:$A$546,LEDGER_ENGINE!$R$2:$R$546,$B$4&amp;"|"&amp;(ROW()-8))=0,"",SUMIFS(LEDGER_ENGINE!$A$2:$A$546,LEDGER_ENGINE!$R$2:$R$546,$B$4&amp;"|"&amp;(ROW()-8)))</f>
        <v/>
      </c>
      <c r="N175" s="101" t="str">
        <f aca="false">IF(SUMIFS(LEDGER_ENGINE!$A$2:$A$546,LEDGER_ENGINE!$S$2:$S$546,$B$4&amp;"|"&amp;(ROW()-8))=0,"",SUMIFS(LEDGER_ENGINE!$A$2:$A$546,LEDGER_ENGINE!$S$2:$S$546,$B$4&amp;"|"&amp;(ROW()-8)))</f>
        <v/>
      </c>
    </row>
    <row r="176" customFormat="false" ht="15" hidden="false" customHeight="true" outlineLevel="0" collapsed="false">
      <c r="A176" s="148" t="str">
        <f aca="false">IF($M176="","",INDEX(LEDGER_ENGINE!$B$2:$B$546,$M176))</f>
        <v/>
      </c>
      <c r="B176" s="149" t="str">
        <f aca="false">IF($M176="","",INDEX(LEDGER_ENGINE!$C$2:$C$546,$M176))</f>
        <v/>
      </c>
      <c r="C176" s="149" t="str">
        <f aca="false">IF($M176="","",INDEX(LEDGER_ENGINE!$G$2:$G$546,$M176))</f>
        <v/>
      </c>
      <c r="D176" s="149" t="str">
        <f aca="false">IF($M176="","",INDEX(LEDGER_ENGINE!$H$2:$H$546,$M176))</f>
        <v/>
      </c>
      <c r="E176" s="150" t="str">
        <f aca="false">IF($M176="","",INDEX(LEDGER_ENGINE!$I$2:$I$546,$M176))</f>
        <v/>
      </c>
      <c r="G176" s="148" t="str">
        <f aca="false">IF($N176="","",INDEX(LEDGER_ENGINE!$B$2:$B$546,$N176))</f>
        <v/>
      </c>
      <c r="H176" s="149" t="str">
        <f aca="false">IF($N176="","",INDEX(LEDGER_ENGINE!$C$2:$C$546,$N176))</f>
        <v/>
      </c>
      <c r="I176" s="149" t="str">
        <f aca="false">IF($N176="","",INDEX(LEDGER_ENGINE!$G$2:$G$546,$N176))</f>
        <v/>
      </c>
      <c r="J176" s="149" t="str">
        <f aca="false">IFERROR(IF($N176="","",INDEX(LEDGER_ENGINE!$H$2:$H$546,$N176)),"")</f>
        <v/>
      </c>
      <c r="K176" s="150" t="str">
        <f aca="false">IF($N176="","",INDEX(LEDGER_ENGINE!$J$2:$J$546,$N176))</f>
        <v/>
      </c>
      <c r="M176" s="101" t="str">
        <f aca="false">IF(SUMIFS(LEDGER_ENGINE!$A$2:$A$546,LEDGER_ENGINE!$R$2:$R$546,$B$4&amp;"|"&amp;(ROW()-8))=0,"",SUMIFS(LEDGER_ENGINE!$A$2:$A$546,LEDGER_ENGINE!$R$2:$R$546,$B$4&amp;"|"&amp;(ROW()-8)))</f>
        <v/>
      </c>
      <c r="N176" s="101" t="str">
        <f aca="false">IF(SUMIFS(LEDGER_ENGINE!$A$2:$A$546,LEDGER_ENGINE!$S$2:$S$546,$B$4&amp;"|"&amp;(ROW()-8))=0,"",SUMIFS(LEDGER_ENGINE!$A$2:$A$546,LEDGER_ENGINE!$S$2:$S$546,$B$4&amp;"|"&amp;(ROW()-8)))</f>
        <v/>
      </c>
    </row>
    <row r="177" customFormat="false" ht="15" hidden="false" customHeight="true" outlineLevel="0" collapsed="false">
      <c r="A177" s="148" t="str">
        <f aca="false">IF($M177="","",INDEX(LEDGER_ENGINE!$B$2:$B$546,$M177))</f>
        <v/>
      </c>
      <c r="B177" s="149" t="str">
        <f aca="false">IF($M177="","",INDEX(LEDGER_ENGINE!$C$2:$C$546,$M177))</f>
        <v/>
      </c>
      <c r="C177" s="149" t="str">
        <f aca="false">IF($M177="","",INDEX(LEDGER_ENGINE!$G$2:$G$546,$M177))</f>
        <v/>
      </c>
      <c r="D177" s="149" t="str">
        <f aca="false">IF($M177="","",INDEX(LEDGER_ENGINE!$H$2:$H$546,$M177))</f>
        <v/>
      </c>
      <c r="E177" s="150" t="str">
        <f aca="false">IF($M177="","",INDEX(LEDGER_ENGINE!$I$2:$I$546,$M177))</f>
        <v/>
      </c>
      <c r="G177" s="148" t="str">
        <f aca="false">IF($N177="","",INDEX(LEDGER_ENGINE!$B$2:$B$546,$N177))</f>
        <v/>
      </c>
      <c r="H177" s="149" t="str">
        <f aca="false">IF($N177="","",INDEX(LEDGER_ENGINE!$C$2:$C$546,$N177))</f>
        <v/>
      </c>
      <c r="I177" s="149" t="str">
        <f aca="false">IF($N177="","",INDEX(LEDGER_ENGINE!$G$2:$G$546,$N177))</f>
        <v/>
      </c>
      <c r="J177" s="149" t="str">
        <f aca="false">IFERROR(IF($N177="","",INDEX(LEDGER_ENGINE!$H$2:$H$546,$N177)),"")</f>
        <v/>
      </c>
      <c r="K177" s="150" t="str">
        <f aca="false">IF($N177="","",INDEX(LEDGER_ENGINE!$J$2:$J$546,$N177))</f>
        <v/>
      </c>
      <c r="M177" s="101" t="str">
        <f aca="false">IF(SUMIFS(LEDGER_ENGINE!$A$2:$A$546,LEDGER_ENGINE!$R$2:$R$546,$B$4&amp;"|"&amp;(ROW()-8))=0,"",SUMIFS(LEDGER_ENGINE!$A$2:$A$546,LEDGER_ENGINE!$R$2:$R$546,$B$4&amp;"|"&amp;(ROW()-8)))</f>
        <v/>
      </c>
      <c r="N177" s="101" t="str">
        <f aca="false">IF(SUMIFS(LEDGER_ENGINE!$A$2:$A$546,LEDGER_ENGINE!$S$2:$S$546,$B$4&amp;"|"&amp;(ROW()-8))=0,"",SUMIFS(LEDGER_ENGINE!$A$2:$A$546,LEDGER_ENGINE!$S$2:$S$546,$B$4&amp;"|"&amp;(ROW()-8)))</f>
        <v/>
      </c>
    </row>
    <row r="178" customFormat="false" ht="15" hidden="false" customHeight="true" outlineLevel="0" collapsed="false">
      <c r="A178" s="148" t="str">
        <f aca="false">IF($M178="","",INDEX(LEDGER_ENGINE!$B$2:$B$546,$M178))</f>
        <v/>
      </c>
      <c r="B178" s="149" t="str">
        <f aca="false">IF($M178="","",INDEX(LEDGER_ENGINE!$C$2:$C$546,$M178))</f>
        <v/>
      </c>
      <c r="C178" s="149" t="str">
        <f aca="false">IF($M178="","",INDEX(LEDGER_ENGINE!$G$2:$G$546,$M178))</f>
        <v/>
      </c>
      <c r="D178" s="149" t="str">
        <f aca="false">IF($M178="","",INDEX(LEDGER_ENGINE!$H$2:$H$546,$M178))</f>
        <v/>
      </c>
      <c r="E178" s="150" t="str">
        <f aca="false">IF($M178="","",INDEX(LEDGER_ENGINE!$I$2:$I$546,$M178))</f>
        <v/>
      </c>
      <c r="G178" s="148" t="str">
        <f aca="false">IF($N178="","",INDEX(LEDGER_ENGINE!$B$2:$B$546,$N178))</f>
        <v/>
      </c>
      <c r="H178" s="149" t="str">
        <f aca="false">IF($N178="","",INDEX(LEDGER_ENGINE!$C$2:$C$546,$N178))</f>
        <v/>
      </c>
      <c r="I178" s="149" t="str">
        <f aca="false">IF($N178="","",INDEX(LEDGER_ENGINE!$G$2:$G$546,$N178))</f>
        <v/>
      </c>
      <c r="J178" s="149" t="str">
        <f aca="false">IFERROR(IF($N178="","",INDEX(LEDGER_ENGINE!$H$2:$H$546,$N178)),"")</f>
        <v/>
      </c>
      <c r="K178" s="150" t="str">
        <f aca="false">IF($N178="","",INDEX(LEDGER_ENGINE!$J$2:$J$546,$N178))</f>
        <v/>
      </c>
      <c r="M178" s="101" t="str">
        <f aca="false">IF(SUMIFS(LEDGER_ENGINE!$A$2:$A$546,LEDGER_ENGINE!$R$2:$R$546,$B$4&amp;"|"&amp;(ROW()-8))=0,"",SUMIFS(LEDGER_ENGINE!$A$2:$A$546,LEDGER_ENGINE!$R$2:$R$546,$B$4&amp;"|"&amp;(ROW()-8)))</f>
        <v/>
      </c>
      <c r="N178" s="101" t="str">
        <f aca="false">IF(SUMIFS(LEDGER_ENGINE!$A$2:$A$546,LEDGER_ENGINE!$S$2:$S$546,$B$4&amp;"|"&amp;(ROW()-8))=0,"",SUMIFS(LEDGER_ENGINE!$A$2:$A$546,LEDGER_ENGINE!$S$2:$S$546,$B$4&amp;"|"&amp;(ROW()-8)))</f>
        <v/>
      </c>
    </row>
    <row r="179" customFormat="false" ht="15" hidden="false" customHeight="true" outlineLevel="0" collapsed="false">
      <c r="A179" s="148" t="str">
        <f aca="false">IF($M179="","",INDEX(LEDGER_ENGINE!$B$2:$B$546,$M179))</f>
        <v/>
      </c>
      <c r="B179" s="149" t="str">
        <f aca="false">IF($M179="","",INDEX(LEDGER_ENGINE!$C$2:$C$546,$M179))</f>
        <v/>
      </c>
      <c r="C179" s="149" t="str">
        <f aca="false">IF($M179="","",INDEX(LEDGER_ENGINE!$G$2:$G$546,$M179))</f>
        <v/>
      </c>
      <c r="D179" s="149" t="str">
        <f aca="false">IF($M179="","",INDEX(LEDGER_ENGINE!$H$2:$H$546,$M179))</f>
        <v/>
      </c>
      <c r="E179" s="150" t="str">
        <f aca="false">IF($M179="","",INDEX(LEDGER_ENGINE!$I$2:$I$546,$M179))</f>
        <v/>
      </c>
      <c r="G179" s="148" t="str">
        <f aca="false">IF($N179="","",INDEX(LEDGER_ENGINE!$B$2:$B$546,$N179))</f>
        <v/>
      </c>
      <c r="H179" s="149" t="str">
        <f aca="false">IF($N179="","",INDEX(LEDGER_ENGINE!$C$2:$C$546,$N179))</f>
        <v/>
      </c>
      <c r="I179" s="149" t="str">
        <f aca="false">IF($N179="","",INDEX(LEDGER_ENGINE!$G$2:$G$546,$N179))</f>
        <v/>
      </c>
      <c r="J179" s="149" t="str">
        <f aca="false">IFERROR(IF($N179="","",INDEX(LEDGER_ENGINE!$H$2:$H$546,$N179)),"")</f>
        <v/>
      </c>
      <c r="K179" s="150" t="str">
        <f aca="false">IF($N179="","",INDEX(LEDGER_ENGINE!$J$2:$J$546,$N179))</f>
        <v/>
      </c>
      <c r="M179" s="101" t="str">
        <f aca="false">IF(SUMIFS(LEDGER_ENGINE!$A$2:$A$546,LEDGER_ENGINE!$R$2:$R$546,$B$4&amp;"|"&amp;(ROW()-8))=0,"",SUMIFS(LEDGER_ENGINE!$A$2:$A$546,LEDGER_ENGINE!$R$2:$R$546,$B$4&amp;"|"&amp;(ROW()-8)))</f>
        <v/>
      </c>
      <c r="N179" s="101" t="str">
        <f aca="false">IF(SUMIFS(LEDGER_ENGINE!$A$2:$A$546,LEDGER_ENGINE!$S$2:$S$546,$B$4&amp;"|"&amp;(ROW()-8))=0,"",SUMIFS(LEDGER_ENGINE!$A$2:$A$546,LEDGER_ENGINE!$S$2:$S$546,$B$4&amp;"|"&amp;(ROW()-8)))</f>
        <v/>
      </c>
    </row>
    <row r="180" customFormat="false" ht="15" hidden="false" customHeight="true" outlineLevel="0" collapsed="false">
      <c r="A180" s="148" t="str">
        <f aca="false">IF($M180="","",INDEX(LEDGER_ENGINE!$B$2:$B$546,$M180))</f>
        <v/>
      </c>
      <c r="B180" s="149" t="str">
        <f aca="false">IF($M180="","",INDEX(LEDGER_ENGINE!$C$2:$C$546,$M180))</f>
        <v/>
      </c>
      <c r="C180" s="149" t="str">
        <f aca="false">IF($M180="","",INDEX(LEDGER_ENGINE!$G$2:$G$546,$M180))</f>
        <v/>
      </c>
      <c r="D180" s="149" t="str">
        <f aca="false">IF($M180="","",INDEX(LEDGER_ENGINE!$H$2:$H$546,$M180))</f>
        <v/>
      </c>
      <c r="E180" s="150" t="str">
        <f aca="false">IF($M180="","",INDEX(LEDGER_ENGINE!$I$2:$I$546,$M180))</f>
        <v/>
      </c>
      <c r="G180" s="148" t="str">
        <f aca="false">IF($N180="","",INDEX(LEDGER_ENGINE!$B$2:$B$546,$N180))</f>
        <v/>
      </c>
      <c r="H180" s="149" t="str">
        <f aca="false">IF($N180="","",INDEX(LEDGER_ENGINE!$C$2:$C$546,$N180))</f>
        <v/>
      </c>
      <c r="I180" s="149" t="str">
        <f aca="false">IF($N180="","",INDEX(LEDGER_ENGINE!$G$2:$G$546,$N180))</f>
        <v/>
      </c>
      <c r="J180" s="149" t="str">
        <f aca="false">IFERROR(IF($N180="","",INDEX(LEDGER_ENGINE!$H$2:$H$546,$N180)),"")</f>
        <v/>
      </c>
      <c r="K180" s="150" t="str">
        <f aca="false">IF($N180="","",INDEX(LEDGER_ENGINE!$J$2:$J$546,$N180))</f>
        <v/>
      </c>
      <c r="M180" s="101" t="str">
        <f aca="false">IF(SUMIFS(LEDGER_ENGINE!$A$2:$A$546,LEDGER_ENGINE!$R$2:$R$546,$B$4&amp;"|"&amp;(ROW()-8))=0,"",SUMIFS(LEDGER_ENGINE!$A$2:$A$546,LEDGER_ENGINE!$R$2:$R$546,$B$4&amp;"|"&amp;(ROW()-8)))</f>
        <v/>
      </c>
      <c r="N180" s="101" t="str">
        <f aca="false">IF(SUMIFS(LEDGER_ENGINE!$A$2:$A$546,LEDGER_ENGINE!$S$2:$S$546,$B$4&amp;"|"&amp;(ROW()-8))=0,"",SUMIFS(LEDGER_ENGINE!$A$2:$A$546,LEDGER_ENGINE!$S$2:$S$546,$B$4&amp;"|"&amp;(ROW()-8)))</f>
        <v/>
      </c>
    </row>
    <row r="181" customFormat="false" ht="15" hidden="false" customHeight="true" outlineLevel="0" collapsed="false">
      <c r="A181" s="148" t="str">
        <f aca="false">IF($M181="","",INDEX(LEDGER_ENGINE!$B$2:$B$546,$M181))</f>
        <v/>
      </c>
      <c r="B181" s="149" t="str">
        <f aca="false">IF($M181="","",INDEX(LEDGER_ENGINE!$C$2:$C$546,$M181))</f>
        <v/>
      </c>
      <c r="C181" s="149" t="str">
        <f aca="false">IF($M181="","",INDEX(LEDGER_ENGINE!$G$2:$G$546,$M181))</f>
        <v/>
      </c>
      <c r="D181" s="149" t="str">
        <f aca="false">IF($M181="","",INDEX(LEDGER_ENGINE!$H$2:$H$546,$M181))</f>
        <v/>
      </c>
      <c r="E181" s="150" t="str">
        <f aca="false">IF($M181="","",INDEX(LEDGER_ENGINE!$I$2:$I$546,$M181))</f>
        <v/>
      </c>
      <c r="G181" s="148" t="str">
        <f aca="false">IF($N181="","",INDEX(LEDGER_ENGINE!$B$2:$B$546,$N181))</f>
        <v/>
      </c>
      <c r="H181" s="149" t="str">
        <f aca="false">IF($N181="","",INDEX(LEDGER_ENGINE!$C$2:$C$546,$N181))</f>
        <v/>
      </c>
      <c r="I181" s="149" t="str">
        <f aca="false">IF($N181="","",INDEX(LEDGER_ENGINE!$G$2:$G$546,$N181))</f>
        <v/>
      </c>
      <c r="J181" s="149" t="str">
        <f aca="false">IFERROR(IF($N181="","",INDEX(LEDGER_ENGINE!$H$2:$H$546,$N181)),"")</f>
        <v/>
      </c>
      <c r="K181" s="150" t="str">
        <f aca="false">IF($N181="","",INDEX(LEDGER_ENGINE!$J$2:$J$546,$N181))</f>
        <v/>
      </c>
      <c r="M181" s="101" t="str">
        <f aca="false">IF(SUMIFS(LEDGER_ENGINE!$A$2:$A$546,LEDGER_ENGINE!$R$2:$R$546,$B$4&amp;"|"&amp;(ROW()-8))=0,"",SUMIFS(LEDGER_ENGINE!$A$2:$A$546,LEDGER_ENGINE!$R$2:$R$546,$B$4&amp;"|"&amp;(ROW()-8)))</f>
        <v/>
      </c>
      <c r="N181" s="101" t="str">
        <f aca="false">IF(SUMIFS(LEDGER_ENGINE!$A$2:$A$546,LEDGER_ENGINE!$S$2:$S$546,$B$4&amp;"|"&amp;(ROW()-8))=0,"",SUMIFS(LEDGER_ENGINE!$A$2:$A$546,LEDGER_ENGINE!$S$2:$S$546,$B$4&amp;"|"&amp;(ROW()-8)))</f>
        <v/>
      </c>
    </row>
    <row r="182" customFormat="false" ht="15" hidden="false" customHeight="true" outlineLevel="0" collapsed="false">
      <c r="A182" s="148" t="str">
        <f aca="false">IF($M182="","",INDEX(LEDGER_ENGINE!$B$2:$B$546,$M182))</f>
        <v/>
      </c>
      <c r="B182" s="149" t="str">
        <f aca="false">IF($M182="","",INDEX(LEDGER_ENGINE!$C$2:$C$546,$M182))</f>
        <v/>
      </c>
      <c r="C182" s="149" t="str">
        <f aca="false">IF($M182="","",INDEX(LEDGER_ENGINE!$G$2:$G$546,$M182))</f>
        <v/>
      </c>
      <c r="D182" s="149" t="str">
        <f aca="false">IF($M182="","",INDEX(LEDGER_ENGINE!$H$2:$H$546,$M182))</f>
        <v/>
      </c>
      <c r="E182" s="150" t="str">
        <f aca="false">IF($M182="","",INDEX(LEDGER_ENGINE!$I$2:$I$546,$M182))</f>
        <v/>
      </c>
      <c r="G182" s="148" t="str">
        <f aca="false">IF($N182="","",INDEX(LEDGER_ENGINE!$B$2:$B$546,$N182))</f>
        <v/>
      </c>
      <c r="H182" s="149" t="str">
        <f aca="false">IF($N182="","",INDEX(LEDGER_ENGINE!$C$2:$C$546,$N182))</f>
        <v/>
      </c>
      <c r="I182" s="149" t="str">
        <f aca="false">IF($N182="","",INDEX(LEDGER_ENGINE!$G$2:$G$546,$N182))</f>
        <v/>
      </c>
      <c r="J182" s="149" t="str">
        <f aca="false">IFERROR(IF($N182="","",INDEX(LEDGER_ENGINE!$H$2:$H$546,$N182)),"")</f>
        <v/>
      </c>
      <c r="K182" s="150" t="str">
        <f aca="false">IF($N182="","",INDEX(LEDGER_ENGINE!$J$2:$J$546,$N182))</f>
        <v/>
      </c>
      <c r="M182" s="101" t="str">
        <f aca="false">IF(SUMIFS(LEDGER_ENGINE!$A$2:$A$546,LEDGER_ENGINE!$R$2:$R$546,$B$4&amp;"|"&amp;(ROW()-8))=0,"",SUMIFS(LEDGER_ENGINE!$A$2:$A$546,LEDGER_ENGINE!$R$2:$R$546,$B$4&amp;"|"&amp;(ROW()-8)))</f>
        <v/>
      </c>
      <c r="N182" s="101" t="str">
        <f aca="false">IF(SUMIFS(LEDGER_ENGINE!$A$2:$A$546,LEDGER_ENGINE!$S$2:$S$546,$B$4&amp;"|"&amp;(ROW()-8))=0,"",SUMIFS(LEDGER_ENGINE!$A$2:$A$546,LEDGER_ENGINE!$S$2:$S$546,$B$4&amp;"|"&amp;(ROW()-8)))</f>
        <v/>
      </c>
    </row>
    <row r="183" customFormat="false" ht="15" hidden="false" customHeight="true" outlineLevel="0" collapsed="false">
      <c r="A183" s="148" t="str">
        <f aca="false">IF($M183="","",INDEX(LEDGER_ENGINE!$B$2:$B$546,$M183))</f>
        <v/>
      </c>
      <c r="B183" s="149" t="str">
        <f aca="false">IF($M183="","",INDEX(LEDGER_ENGINE!$C$2:$C$546,$M183))</f>
        <v/>
      </c>
      <c r="C183" s="149" t="str">
        <f aca="false">IF($M183="","",INDEX(LEDGER_ENGINE!$G$2:$G$546,$M183))</f>
        <v/>
      </c>
      <c r="D183" s="149" t="str">
        <f aca="false">IF($M183="","",INDEX(LEDGER_ENGINE!$H$2:$H$546,$M183))</f>
        <v/>
      </c>
      <c r="E183" s="150" t="str">
        <f aca="false">IF($M183="","",INDEX(LEDGER_ENGINE!$I$2:$I$546,$M183))</f>
        <v/>
      </c>
      <c r="G183" s="148" t="str">
        <f aca="false">IF($N183="","",INDEX(LEDGER_ENGINE!$B$2:$B$546,$N183))</f>
        <v/>
      </c>
      <c r="H183" s="149" t="str">
        <f aca="false">IF($N183="","",INDEX(LEDGER_ENGINE!$C$2:$C$546,$N183))</f>
        <v/>
      </c>
      <c r="I183" s="149" t="str">
        <f aca="false">IF($N183="","",INDEX(LEDGER_ENGINE!$G$2:$G$546,$N183))</f>
        <v/>
      </c>
      <c r="J183" s="149" t="str">
        <f aca="false">IFERROR(IF($N183="","",INDEX(LEDGER_ENGINE!$H$2:$H$546,$N183)),"")</f>
        <v/>
      </c>
      <c r="K183" s="150" t="str">
        <f aca="false">IF($N183="","",INDEX(LEDGER_ENGINE!$J$2:$J$546,$N183))</f>
        <v/>
      </c>
      <c r="M183" s="101" t="str">
        <f aca="false">IF(SUMIFS(LEDGER_ENGINE!$A$2:$A$546,LEDGER_ENGINE!$R$2:$R$546,$B$4&amp;"|"&amp;(ROW()-8))=0,"",SUMIFS(LEDGER_ENGINE!$A$2:$A$546,LEDGER_ENGINE!$R$2:$R$546,$B$4&amp;"|"&amp;(ROW()-8)))</f>
        <v/>
      </c>
      <c r="N183" s="101" t="str">
        <f aca="false">IF(SUMIFS(LEDGER_ENGINE!$A$2:$A$546,LEDGER_ENGINE!$S$2:$S$546,$B$4&amp;"|"&amp;(ROW()-8))=0,"",SUMIFS(LEDGER_ENGINE!$A$2:$A$546,LEDGER_ENGINE!$S$2:$S$546,$B$4&amp;"|"&amp;(ROW()-8)))</f>
        <v/>
      </c>
    </row>
    <row r="184" customFormat="false" ht="15" hidden="false" customHeight="true" outlineLevel="0" collapsed="false">
      <c r="A184" s="148" t="str">
        <f aca="false">IF($M184="","",INDEX(LEDGER_ENGINE!$B$2:$B$546,$M184))</f>
        <v/>
      </c>
      <c r="B184" s="149" t="str">
        <f aca="false">IF($M184="","",INDEX(LEDGER_ENGINE!$C$2:$C$546,$M184))</f>
        <v/>
      </c>
      <c r="C184" s="149" t="str">
        <f aca="false">IF($M184="","",INDEX(LEDGER_ENGINE!$G$2:$G$546,$M184))</f>
        <v/>
      </c>
      <c r="D184" s="149" t="str">
        <f aca="false">IF($M184="","",INDEX(LEDGER_ENGINE!$H$2:$H$546,$M184))</f>
        <v/>
      </c>
      <c r="E184" s="150" t="str">
        <f aca="false">IF($M184="","",INDEX(LEDGER_ENGINE!$I$2:$I$546,$M184))</f>
        <v/>
      </c>
      <c r="G184" s="148" t="str">
        <f aca="false">IF($N184="","",INDEX(LEDGER_ENGINE!$B$2:$B$546,$N184))</f>
        <v/>
      </c>
      <c r="H184" s="149" t="str">
        <f aca="false">IF($N184="","",INDEX(LEDGER_ENGINE!$C$2:$C$546,$N184))</f>
        <v/>
      </c>
      <c r="I184" s="149" t="str">
        <f aca="false">IF($N184="","",INDEX(LEDGER_ENGINE!$G$2:$G$546,$N184))</f>
        <v/>
      </c>
      <c r="J184" s="149" t="str">
        <f aca="false">IFERROR(IF($N184="","",INDEX(LEDGER_ENGINE!$H$2:$H$546,$N184)),"")</f>
        <v/>
      </c>
      <c r="K184" s="150" t="str">
        <f aca="false">IF($N184="","",INDEX(LEDGER_ENGINE!$J$2:$J$546,$N184))</f>
        <v/>
      </c>
      <c r="M184" s="101" t="str">
        <f aca="false">IF(SUMIFS(LEDGER_ENGINE!$A$2:$A$546,LEDGER_ENGINE!$R$2:$R$546,$B$4&amp;"|"&amp;(ROW()-8))=0,"",SUMIFS(LEDGER_ENGINE!$A$2:$A$546,LEDGER_ENGINE!$R$2:$R$546,$B$4&amp;"|"&amp;(ROW()-8)))</f>
        <v/>
      </c>
      <c r="N184" s="101" t="str">
        <f aca="false">IF(SUMIFS(LEDGER_ENGINE!$A$2:$A$546,LEDGER_ENGINE!$S$2:$S$546,$B$4&amp;"|"&amp;(ROW()-8))=0,"",SUMIFS(LEDGER_ENGINE!$A$2:$A$546,LEDGER_ENGINE!$S$2:$S$546,$B$4&amp;"|"&amp;(ROW()-8)))</f>
        <v/>
      </c>
    </row>
    <row r="185" customFormat="false" ht="15" hidden="false" customHeight="true" outlineLevel="0" collapsed="false">
      <c r="A185" s="148" t="str">
        <f aca="false">IF($M185="","",INDEX(LEDGER_ENGINE!$B$2:$B$546,$M185))</f>
        <v/>
      </c>
      <c r="B185" s="149" t="str">
        <f aca="false">IF($M185="","",INDEX(LEDGER_ENGINE!$C$2:$C$546,$M185))</f>
        <v/>
      </c>
      <c r="C185" s="149" t="str">
        <f aca="false">IF($M185="","",INDEX(LEDGER_ENGINE!$G$2:$G$546,$M185))</f>
        <v/>
      </c>
      <c r="D185" s="149" t="str">
        <f aca="false">IF($M185="","",INDEX(LEDGER_ENGINE!$H$2:$H$546,$M185))</f>
        <v/>
      </c>
      <c r="E185" s="150" t="str">
        <f aca="false">IF($M185="","",INDEX(LEDGER_ENGINE!$I$2:$I$546,$M185))</f>
        <v/>
      </c>
      <c r="G185" s="148" t="str">
        <f aca="false">IF($N185="","",INDEX(LEDGER_ENGINE!$B$2:$B$546,$N185))</f>
        <v/>
      </c>
      <c r="H185" s="149" t="str">
        <f aca="false">IF($N185="","",INDEX(LEDGER_ENGINE!$C$2:$C$546,$N185))</f>
        <v/>
      </c>
      <c r="I185" s="149" t="str">
        <f aca="false">IF($N185="","",INDEX(LEDGER_ENGINE!$G$2:$G$546,$N185))</f>
        <v/>
      </c>
      <c r="J185" s="149" t="str">
        <f aca="false">IFERROR(IF($N185="","",INDEX(LEDGER_ENGINE!$H$2:$H$546,$N185)),"")</f>
        <v/>
      </c>
      <c r="K185" s="150" t="str">
        <f aca="false">IF($N185="","",INDEX(LEDGER_ENGINE!$J$2:$J$546,$N185))</f>
        <v/>
      </c>
      <c r="M185" s="101" t="str">
        <f aca="false">IF(SUMIFS(LEDGER_ENGINE!$A$2:$A$546,LEDGER_ENGINE!$R$2:$R$546,$B$4&amp;"|"&amp;(ROW()-8))=0,"",SUMIFS(LEDGER_ENGINE!$A$2:$A$546,LEDGER_ENGINE!$R$2:$R$546,$B$4&amp;"|"&amp;(ROW()-8)))</f>
        <v/>
      </c>
      <c r="N185" s="101" t="str">
        <f aca="false">IF(SUMIFS(LEDGER_ENGINE!$A$2:$A$546,LEDGER_ENGINE!$S$2:$S$546,$B$4&amp;"|"&amp;(ROW()-8))=0,"",SUMIFS(LEDGER_ENGINE!$A$2:$A$546,LEDGER_ENGINE!$S$2:$S$546,$B$4&amp;"|"&amp;(ROW()-8)))</f>
        <v/>
      </c>
    </row>
    <row r="186" customFormat="false" ht="15" hidden="false" customHeight="true" outlineLevel="0" collapsed="false">
      <c r="A186" s="148" t="str">
        <f aca="false">IF($M186="","",INDEX(LEDGER_ENGINE!$B$2:$B$546,$M186))</f>
        <v/>
      </c>
      <c r="B186" s="149" t="str">
        <f aca="false">IF($M186="","",INDEX(LEDGER_ENGINE!$C$2:$C$546,$M186))</f>
        <v/>
      </c>
      <c r="C186" s="149" t="str">
        <f aca="false">IF($M186="","",INDEX(LEDGER_ENGINE!$G$2:$G$546,$M186))</f>
        <v/>
      </c>
      <c r="D186" s="149" t="str">
        <f aca="false">IF($M186="","",INDEX(LEDGER_ENGINE!$H$2:$H$546,$M186))</f>
        <v/>
      </c>
      <c r="E186" s="150" t="str">
        <f aca="false">IF($M186="","",INDEX(LEDGER_ENGINE!$I$2:$I$546,$M186))</f>
        <v/>
      </c>
      <c r="G186" s="148" t="str">
        <f aca="false">IF($N186="","",INDEX(LEDGER_ENGINE!$B$2:$B$546,$N186))</f>
        <v/>
      </c>
      <c r="H186" s="149" t="str">
        <f aca="false">IF($N186="","",INDEX(LEDGER_ENGINE!$C$2:$C$546,$N186))</f>
        <v/>
      </c>
      <c r="I186" s="149" t="str">
        <f aca="false">IF($N186="","",INDEX(LEDGER_ENGINE!$G$2:$G$546,$N186))</f>
        <v/>
      </c>
      <c r="J186" s="149" t="str">
        <f aca="false">IFERROR(IF($N186="","",INDEX(LEDGER_ENGINE!$H$2:$H$546,$N186)),"")</f>
        <v/>
      </c>
      <c r="K186" s="150" t="str">
        <f aca="false">IF($N186="","",INDEX(LEDGER_ENGINE!$J$2:$J$546,$N186))</f>
        <v/>
      </c>
      <c r="M186" s="101" t="str">
        <f aca="false">IF(SUMIFS(LEDGER_ENGINE!$A$2:$A$546,LEDGER_ENGINE!$R$2:$R$546,$B$4&amp;"|"&amp;(ROW()-8))=0,"",SUMIFS(LEDGER_ENGINE!$A$2:$A$546,LEDGER_ENGINE!$R$2:$R$546,$B$4&amp;"|"&amp;(ROW()-8)))</f>
        <v/>
      </c>
      <c r="N186" s="101" t="str">
        <f aca="false">IF(SUMIFS(LEDGER_ENGINE!$A$2:$A$546,LEDGER_ENGINE!$S$2:$S$546,$B$4&amp;"|"&amp;(ROW()-8))=0,"",SUMIFS(LEDGER_ENGINE!$A$2:$A$546,LEDGER_ENGINE!$S$2:$S$546,$B$4&amp;"|"&amp;(ROW()-8)))</f>
        <v/>
      </c>
    </row>
    <row r="187" customFormat="false" ht="15" hidden="false" customHeight="true" outlineLevel="0" collapsed="false">
      <c r="A187" s="148" t="str">
        <f aca="false">IF($M187="","",INDEX(LEDGER_ENGINE!$B$2:$B$546,$M187))</f>
        <v/>
      </c>
      <c r="B187" s="149" t="str">
        <f aca="false">IF($M187="","",INDEX(LEDGER_ENGINE!$C$2:$C$546,$M187))</f>
        <v/>
      </c>
      <c r="C187" s="149" t="str">
        <f aca="false">IF($M187="","",INDEX(LEDGER_ENGINE!$G$2:$G$546,$M187))</f>
        <v/>
      </c>
      <c r="D187" s="149" t="str">
        <f aca="false">IF($M187="","",INDEX(LEDGER_ENGINE!$H$2:$H$546,$M187))</f>
        <v/>
      </c>
      <c r="E187" s="150" t="str">
        <f aca="false">IF($M187="","",INDEX(LEDGER_ENGINE!$I$2:$I$546,$M187))</f>
        <v/>
      </c>
      <c r="G187" s="148" t="str">
        <f aca="false">IF($N187="","",INDEX(LEDGER_ENGINE!$B$2:$B$546,$N187))</f>
        <v/>
      </c>
      <c r="H187" s="149" t="str">
        <f aca="false">IF($N187="","",INDEX(LEDGER_ENGINE!$C$2:$C$546,$N187))</f>
        <v/>
      </c>
      <c r="I187" s="149" t="str">
        <f aca="false">IF($N187="","",INDEX(LEDGER_ENGINE!$G$2:$G$546,$N187))</f>
        <v/>
      </c>
      <c r="J187" s="149" t="str">
        <f aca="false">IFERROR(IF($N187="","",INDEX(LEDGER_ENGINE!$H$2:$H$546,$N187)),"")</f>
        <v/>
      </c>
      <c r="K187" s="150" t="str">
        <f aca="false">IF($N187="","",INDEX(LEDGER_ENGINE!$J$2:$J$546,$N187))</f>
        <v/>
      </c>
      <c r="M187" s="101" t="str">
        <f aca="false">IF(SUMIFS(LEDGER_ENGINE!$A$2:$A$546,LEDGER_ENGINE!$R$2:$R$546,$B$4&amp;"|"&amp;(ROW()-8))=0,"",SUMIFS(LEDGER_ENGINE!$A$2:$A$546,LEDGER_ENGINE!$R$2:$R$546,$B$4&amp;"|"&amp;(ROW()-8)))</f>
        <v/>
      </c>
      <c r="N187" s="101" t="str">
        <f aca="false">IF(SUMIFS(LEDGER_ENGINE!$A$2:$A$546,LEDGER_ENGINE!$S$2:$S$546,$B$4&amp;"|"&amp;(ROW()-8))=0,"",SUMIFS(LEDGER_ENGINE!$A$2:$A$546,LEDGER_ENGINE!$S$2:$S$546,$B$4&amp;"|"&amp;(ROW()-8)))</f>
        <v/>
      </c>
    </row>
    <row r="188" customFormat="false" ht="15" hidden="false" customHeight="true" outlineLevel="0" collapsed="false">
      <c r="A188" s="148" t="str">
        <f aca="false">IF($M188="","",INDEX(LEDGER_ENGINE!$B$2:$B$546,$M188))</f>
        <v/>
      </c>
      <c r="B188" s="149" t="str">
        <f aca="false">IF($M188="","",INDEX(LEDGER_ENGINE!$C$2:$C$546,$M188))</f>
        <v/>
      </c>
      <c r="C188" s="149" t="str">
        <f aca="false">IF($M188="","",INDEX(LEDGER_ENGINE!$G$2:$G$546,$M188))</f>
        <v/>
      </c>
      <c r="D188" s="149" t="str">
        <f aca="false">IF($M188="","",INDEX(LEDGER_ENGINE!$H$2:$H$546,$M188))</f>
        <v/>
      </c>
      <c r="E188" s="150" t="str">
        <f aca="false">IF($M188="","",INDEX(LEDGER_ENGINE!$I$2:$I$546,$M188))</f>
        <v/>
      </c>
      <c r="G188" s="148" t="str">
        <f aca="false">IF($N188="","",INDEX(LEDGER_ENGINE!$B$2:$B$546,$N188))</f>
        <v/>
      </c>
      <c r="H188" s="149" t="str">
        <f aca="false">IF($N188="","",INDEX(LEDGER_ENGINE!$C$2:$C$546,$N188))</f>
        <v/>
      </c>
      <c r="I188" s="149" t="str">
        <f aca="false">IF($N188="","",INDEX(LEDGER_ENGINE!$G$2:$G$546,$N188))</f>
        <v/>
      </c>
      <c r="J188" s="149" t="str">
        <f aca="false">IFERROR(IF($N188="","",INDEX(LEDGER_ENGINE!$H$2:$H$546,$N188)),"")</f>
        <v/>
      </c>
      <c r="K188" s="150" t="str">
        <f aca="false">IF($N188="","",INDEX(LEDGER_ENGINE!$J$2:$J$546,$N188))</f>
        <v/>
      </c>
      <c r="M188" s="101" t="str">
        <f aca="false">IF(SUMIFS(LEDGER_ENGINE!$A$2:$A$546,LEDGER_ENGINE!$R$2:$R$546,$B$4&amp;"|"&amp;(ROW()-8))=0,"",SUMIFS(LEDGER_ENGINE!$A$2:$A$546,LEDGER_ENGINE!$R$2:$R$546,$B$4&amp;"|"&amp;(ROW()-8)))</f>
        <v/>
      </c>
      <c r="N188" s="101" t="str">
        <f aca="false">IF(SUMIFS(LEDGER_ENGINE!$A$2:$A$546,LEDGER_ENGINE!$S$2:$S$546,$B$4&amp;"|"&amp;(ROW()-8))=0,"",SUMIFS(LEDGER_ENGINE!$A$2:$A$546,LEDGER_ENGINE!$S$2:$S$546,$B$4&amp;"|"&amp;(ROW()-8)))</f>
        <v/>
      </c>
    </row>
    <row r="189" customFormat="false" ht="15" hidden="false" customHeight="true" outlineLevel="0" collapsed="false">
      <c r="A189" s="148" t="str">
        <f aca="false">IF($M189="","",INDEX(LEDGER_ENGINE!$B$2:$B$546,$M189))</f>
        <v/>
      </c>
      <c r="B189" s="149" t="str">
        <f aca="false">IF($M189="","",INDEX(LEDGER_ENGINE!$C$2:$C$546,$M189))</f>
        <v/>
      </c>
      <c r="C189" s="149" t="str">
        <f aca="false">IF($M189="","",INDEX(LEDGER_ENGINE!$G$2:$G$546,$M189))</f>
        <v/>
      </c>
      <c r="D189" s="149" t="str">
        <f aca="false">IF($M189="","",INDEX(LEDGER_ENGINE!$H$2:$H$546,$M189))</f>
        <v/>
      </c>
      <c r="E189" s="150" t="str">
        <f aca="false">IF($M189="","",INDEX(LEDGER_ENGINE!$I$2:$I$546,$M189))</f>
        <v/>
      </c>
      <c r="G189" s="148" t="str">
        <f aca="false">IF($N189="","",INDEX(LEDGER_ENGINE!$B$2:$B$546,$N189))</f>
        <v/>
      </c>
      <c r="H189" s="149" t="str">
        <f aca="false">IF($N189="","",INDEX(LEDGER_ENGINE!$C$2:$C$546,$N189))</f>
        <v/>
      </c>
      <c r="I189" s="149" t="str">
        <f aca="false">IF($N189="","",INDEX(LEDGER_ENGINE!$G$2:$G$546,$N189))</f>
        <v/>
      </c>
      <c r="J189" s="149" t="str">
        <f aca="false">IFERROR(IF($N189="","",INDEX(LEDGER_ENGINE!$H$2:$H$546,$N189)),"")</f>
        <v/>
      </c>
      <c r="K189" s="150" t="str">
        <f aca="false">IF($N189="","",INDEX(LEDGER_ENGINE!$J$2:$J$546,$N189))</f>
        <v/>
      </c>
      <c r="M189" s="101" t="str">
        <f aca="false">IF(SUMIFS(LEDGER_ENGINE!$A$2:$A$546,LEDGER_ENGINE!$R$2:$R$546,$B$4&amp;"|"&amp;(ROW()-8))=0,"",SUMIFS(LEDGER_ENGINE!$A$2:$A$546,LEDGER_ENGINE!$R$2:$R$546,$B$4&amp;"|"&amp;(ROW()-8)))</f>
        <v/>
      </c>
      <c r="N189" s="101" t="str">
        <f aca="false">IF(SUMIFS(LEDGER_ENGINE!$A$2:$A$546,LEDGER_ENGINE!$S$2:$S$546,$B$4&amp;"|"&amp;(ROW()-8))=0,"",SUMIFS(LEDGER_ENGINE!$A$2:$A$546,LEDGER_ENGINE!$S$2:$S$546,$B$4&amp;"|"&amp;(ROW()-8)))</f>
        <v/>
      </c>
    </row>
    <row r="190" customFormat="false" ht="15" hidden="false" customHeight="true" outlineLevel="0" collapsed="false">
      <c r="A190" s="148" t="str">
        <f aca="false">IF($M190="","",INDEX(LEDGER_ENGINE!$B$2:$B$546,$M190))</f>
        <v/>
      </c>
      <c r="B190" s="149" t="str">
        <f aca="false">IF($M190="","",INDEX(LEDGER_ENGINE!$C$2:$C$546,$M190))</f>
        <v/>
      </c>
      <c r="C190" s="149" t="str">
        <f aca="false">IF($M190="","",INDEX(LEDGER_ENGINE!$G$2:$G$546,$M190))</f>
        <v/>
      </c>
      <c r="D190" s="149" t="str">
        <f aca="false">IF($M190="","",INDEX(LEDGER_ENGINE!$H$2:$H$546,$M190))</f>
        <v/>
      </c>
      <c r="E190" s="150" t="str">
        <f aca="false">IF($M190="","",INDEX(LEDGER_ENGINE!$I$2:$I$546,$M190))</f>
        <v/>
      </c>
      <c r="G190" s="148" t="str">
        <f aca="false">IF($N190="","",INDEX(LEDGER_ENGINE!$B$2:$B$546,$N190))</f>
        <v/>
      </c>
      <c r="H190" s="149" t="str">
        <f aca="false">IF($N190="","",INDEX(LEDGER_ENGINE!$C$2:$C$546,$N190))</f>
        <v/>
      </c>
      <c r="I190" s="149" t="str">
        <f aca="false">IF($N190="","",INDEX(LEDGER_ENGINE!$G$2:$G$546,$N190))</f>
        <v/>
      </c>
      <c r="J190" s="149" t="str">
        <f aca="false">IFERROR(IF($N190="","",INDEX(LEDGER_ENGINE!$H$2:$H$546,$N190)),"")</f>
        <v/>
      </c>
      <c r="K190" s="150" t="str">
        <f aca="false">IF($N190="","",INDEX(LEDGER_ENGINE!$J$2:$J$546,$N190))</f>
        <v/>
      </c>
      <c r="M190" s="101" t="str">
        <f aca="false">IF(SUMIFS(LEDGER_ENGINE!$A$2:$A$546,LEDGER_ENGINE!$R$2:$R$546,$B$4&amp;"|"&amp;(ROW()-8))=0,"",SUMIFS(LEDGER_ENGINE!$A$2:$A$546,LEDGER_ENGINE!$R$2:$R$546,$B$4&amp;"|"&amp;(ROW()-8)))</f>
        <v/>
      </c>
      <c r="N190" s="101" t="str">
        <f aca="false">IF(SUMIFS(LEDGER_ENGINE!$A$2:$A$546,LEDGER_ENGINE!$S$2:$S$546,$B$4&amp;"|"&amp;(ROW()-8))=0,"",SUMIFS(LEDGER_ENGINE!$A$2:$A$546,LEDGER_ENGINE!$S$2:$S$546,$B$4&amp;"|"&amp;(ROW()-8)))</f>
        <v/>
      </c>
    </row>
    <row r="191" customFormat="false" ht="15" hidden="false" customHeight="true" outlineLevel="0" collapsed="false">
      <c r="A191" s="148" t="str">
        <f aca="false">IF($M191="","",INDEX(LEDGER_ENGINE!$B$2:$B$546,$M191))</f>
        <v/>
      </c>
      <c r="B191" s="149" t="str">
        <f aca="false">IF($M191="","",INDEX(LEDGER_ENGINE!$C$2:$C$546,$M191))</f>
        <v/>
      </c>
      <c r="C191" s="149" t="str">
        <f aca="false">IF($M191="","",INDEX(LEDGER_ENGINE!$G$2:$G$546,$M191))</f>
        <v/>
      </c>
      <c r="D191" s="149" t="str">
        <f aca="false">IF($M191="","",INDEX(LEDGER_ENGINE!$H$2:$H$546,$M191))</f>
        <v/>
      </c>
      <c r="E191" s="150" t="str">
        <f aca="false">IF($M191="","",INDEX(LEDGER_ENGINE!$I$2:$I$546,$M191))</f>
        <v/>
      </c>
      <c r="G191" s="148" t="str">
        <f aca="false">IF($N191="","",INDEX(LEDGER_ENGINE!$B$2:$B$546,$N191))</f>
        <v/>
      </c>
      <c r="H191" s="149" t="str">
        <f aca="false">IF($N191="","",INDEX(LEDGER_ENGINE!$C$2:$C$546,$N191))</f>
        <v/>
      </c>
      <c r="I191" s="149" t="str">
        <f aca="false">IF($N191="","",INDEX(LEDGER_ENGINE!$G$2:$G$546,$N191))</f>
        <v/>
      </c>
      <c r="J191" s="149" t="str">
        <f aca="false">IFERROR(IF($N191="","",INDEX(LEDGER_ENGINE!$H$2:$H$546,$N191)),"")</f>
        <v/>
      </c>
      <c r="K191" s="150" t="str">
        <f aca="false">IF($N191="","",INDEX(LEDGER_ENGINE!$J$2:$J$546,$N191))</f>
        <v/>
      </c>
      <c r="M191" s="101" t="str">
        <f aca="false">IF(SUMIFS(LEDGER_ENGINE!$A$2:$A$546,LEDGER_ENGINE!$R$2:$R$546,$B$4&amp;"|"&amp;(ROW()-8))=0,"",SUMIFS(LEDGER_ENGINE!$A$2:$A$546,LEDGER_ENGINE!$R$2:$R$546,$B$4&amp;"|"&amp;(ROW()-8)))</f>
        <v/>
      </c>
      <c r="N191" s="101" t="str">
        <f aca="false">IF(SUMIFS(LEDGER_ENGINE!$A$2:$A$546,LEDGER_ENGINE!$S$2:$S$546,$B$4&amp;"|"&amp;(ROW()-8))=0,"",SUMIFS(LEDGER_ENGINE!$A$2:$A$546,LEDGER_ENGINE!$S$2:$S$546,$B$4&amp;"|"&amp;(ROW()-8)))</f>
        <v/>
      </c>
    </row>
    <row r="192" customFormat="false" ht="15" hidden="false" customHeight="true" outlineLevel="0" collapsed="false">
      <c r="A192" s="148" t="str">
        <f aca="false">IF($M192="","",INDEX(LEDGER_ENGINE!$B$2:$B$546,$M192))</f>
        <v/>
      </c>
      <c r="B192" s="149" t="str">
        <f aca="false">IF($M192="","",INDEX(LEDGER_ENGINE!$C$2:$C$546,$M192))</f>
        <v/>
      </c>
      <c r="C192" s="149" t="str">
        <f aca="false">IF($M192="","",INDEX(LEDGER_ENGINE!$G$2:$G$546,$M192))</f>
        <v/>
      </c>
      <c r="D192" s="149" t="str">
        <f aca="false">IF($M192="","",INDEX(LEDGER_ENGINE!$H$2:$H$546,$M192))</f>
        <v/>
      </c>
      <c r="E192" s="150" t="str">
        <f aca="false">IF($M192="","",INDEX(LEDGER_ENGINE!$I$2:$I$546,$M192))</f>
        <v/>
      </c>
      <c r="G192" s="148" t="str">
        <f aca="false">IF($N192="","",INDEX(LEDGER_ENGINE!$B$2:$B$546,$N192))</f>
        <v/>
      </c>
      <c r="H192" s="149" t="str">
        <f aca="false">IF($N192="","",INDEX(LEDGER_ENGINE!$C$2:$C$546,$N192))</f>
        <v/>
      </c>
      <c r="I192" s="149" t="str">
        <f aca="false">IF($N192="","",INDEX(LEDGER_ENGINE!$G$2:$G$546,$N192))</f>
        <v/>
      </c>
      <c r="J192" s="149" t="str">
        <f aca="false">IFERROR(IF($N192="","",INDEX(LEDGER_ENGINE!$H$2:$H$546,$N192)),"")</f>
        <v/>
      </c>
      <c r="K192" s="150" t="str">
        <f aca="false">IF($N192="","",INDEX(LEDGER_ENGINE!$J$2:$J$546,$N192))</f>
        <v/>
      </c>
      <c r="M192" s="101" t="str">
        <f aca="false">IF(SUMIFS(LEDGER_ENGINE!$A$2:$A$546,LEDGER_ENGINE!$R$2:$R$546,$B$4&amp;"|"&amp;(ROW()-8))=0,"",SUMIFS(LEDGER_ENGINE!$A$2:$A$546,LEDGER_ENGINE!$R$2:$R$546,$B$4&amp;"|"&amp;(ROW()-8)))</f>
        <v/>
      </c>
      <c r="N192" s="101" t="str">
        <f aca="false">IF(SUMIFS(LEDGER_ENGINE!$A$2:$A$546,LEDGER_ENGINE!$S$2:$S$546,$B$4&amp;"|"&amp;(ROW()-8))=0,"",SUMIFS(LEDGER_ENGINE!$A$2:$A$546,LEDGER_ENGINE!$S$2:$S$546,$B$4&amp;"|"&amp;(ROW()-8)))</f>
        <v/>
      </c>
    </row>
    <row r="193" customFormat="false" ht="15" hidden="false" customHeight="true" outlineLevel="0" collapsed="false">
      <c r="A193" s="148" t="str">
        <f aca="false">IF($M193="","",INDEX(LEDGER_ENGINE!$B$2:$B$546,$M193))</f>
        <v/>
      </c>
      <c r="B193" s="149" t="str">
        <f aca="false">IF($M193="","",INDEX(LEDGER_ENGINE!$C$2:$C$546,$M193))</f>
        <v/>
      </c>
      <c r="C193" s="149" t="str">
        <f aca="false">IF($M193="","",INDEX(LEDGER_ENGINE!$G$2:$G$546,$M193))</f>
        <v/>
      </c>
      <c r="D193" s="149" t="str">
        <f aca="false">IF($M193="","",INDEX(LEDGER_ENGINE!$H$2:$H$546,$M193))</f>
        <v/>
      </c>
      <c r="E193" s="150" t="str">
        <f aca="false">IF($M193="","",INDEX(LEDGER_ENGINE!$I$2:$I$546,$M193))</f>
        <v/>
      </c>
      <c r="G193" s="148" t="str">
        <f aca="false">IF($N193="","",INDEX(LEDGER_ENGINE!$B$2:$B$546,$N193))</f>
        <v/>
      </c>
      <c r="H193" s="149" t="str">
        <f aca="false">IF($N193="","",INDEX(LEDGER_ENGINE!$C$2:$C$546,$N193))</f>
        <v/>
      </c>
      <c r="I193" s="149" t="str">
        <f aca="false">IF($N193="","",INDEX(LEDGER_ENGINE!$G$2:$G$546,$N193))</f>
        <v/>
      </c>
      <c r="J193" s="149" t="str">
        <f aca="false">IFERROR(IF($N193="","",INDEX(LEDGER_ENGINE!$H$2:$H$546,$N193)),"")</f>
        <v/>
      </c>
      <c r="K193" s="150" t="str">
        <f aca="false">IF($N193="","",INDEX(LEDGER_ENGINE!$J$2:$J$546,$N193))</f>
        <v/>
      </c>
      <c r="M193" s="101" t="str">
        <f aca="false">IF(SUMIFS(LEDGER_ENGINE!$A$2:$A$546,LEDGER_ENGINE!$R$2:$R$546,$B$4&amp;"|"&amp;(ROW()-8))=0,"",SUMIFS(LEDGER_ENGINE!$A$2:$A$546,LEDGER_ENGINE!$R$2:$R$546,$B$4&amp;"|"&amp;(ROW()-8)))</f>
        <v/>
      </c>
      <c r="N193" s="101" t="str">
        <f aca="false">IF(SUMIFS(LEDGER_ENGINE!$A$2:$A$546,LEDGER_ENGINE!$S$2:$S$546,$B$4&amp;"|"&amp;(ROW()-8))=0,"",SUMIFS(LEDGER_ENGINE!$A$2:$A$546,LEDGER_ENGINE!$S$2:$S$546,$B$4&amp;"|"&amp;(ROW()-8)))</f>
        <v/>
      </c>
    </row>
    <row r="194" customFormat="false" ht="15" hidden="false" customHeight="true" outlineLevel="0" collapsed="false">
      <c r="A194" s="148" t="str">
        <f aca="false">IF($M194="","",INDEX(LEDGER_ENGINE!$B$2:$B$546,$M194))</f>
        <v/>
      </c>
      <c r="B194" s="149" t="str">
        <f aca="false">IF($M194="","",INDEX(LEDGER_ENGINE!$C$2:$C$546,$M194))</f>
        <v/>
      </c>
      <c r="C194" s="149" t="str">
        <f aca="false">IF($M194="","",INDEX(LEDGER_ENGINE!$G$2:$G$546,$M194))</f>
        <v/>
      </c>
      <c r="D194" s="149" t="str">
        <f aca="false">IF($M194="","",INDEX(LEDGER_ENGINE!$H$2:$H$546,$M194))</f>
        <v/>
      </c>
      <c r="E194" s="150" t="str">
        <f aca="false">IF($M194="","",INDEX(LEDGER_ENGINE!$I$2:$I$546,$M194))</f>
        <v/>
      </c>
      <c r="G194" s="148" t="str">
        <f aca="false">IF($N194="","",INDEX(LEDGER_ENGINE!$B$2:$B$546,$N194))</f>
        <v/>
      </c>
      <c r="H194" s="149" t="str">
        <f aca="false">IF($N194="","",INDEX(LEDGER_ENGINE!$C$2:$C$546,$N194))</f>
        <v/>
      </c>
      <c r="I194" s="149" t="str">
        <f aca="false">IF($N194="","",INDEX(LEDGER_ENGINE!$G$2:$G$546,$N194))</f>
        <v/>
      </c>
      <c r="J194" s="149" t="str">
        <f aca="false">IFERROR(IF($N194="","",INDEX(LEDGER_ENGINE!$H$2:$H$546,$N194)),"")</f>
        <v/>
      </c>
      <c r="K194" s="150" t="str">
        <f aca="false">IF($N194="","",INDEX(LEDGER_ENGINE!$J$2:$J$546,$N194))</f>
        <v/>
      </c>
      <c r="M194" s="101" t="str">
        <f aca="false">IF(SUMIFS(LEDGER_ENGINE!$A$2:$A$546,LEDGER_ENGINE!$R$2:$R$546,$B$4&amp;"|"&amp;(ROW()-8))=0,"",SUMIFS(LEDGER_ENGINE!$A$2:$A$546,LEDGER_ENGINE!$R$2:$R$546,$B$4&amp;"|"&amp;(ROW()-8)))</f>
        <v/>
      </c>
      <c r="N194" s="101" t="str">
        <f aca="false">IF(SUMIFS(LEDGER_ENGINE!$A$2:$A$546,LEDGER_ENGINE!$S$2:$S$546,$B$4&amp;"|"&amp;(ROW()-8))=0,"",SUMIFS(LEDGER_ENGINE!$A$2:$A$546,LEDGER_ENGINE!$S$2:$S$546,$B$4&amp;"|"&amp;(ROW()-8)))</f>
        <v/>
      </c>
    </row>
    <row r="195" customFormat="false" ht="15" hidden="false" customHeight="true" outlineLevel="0" collapsed="false">
      <c r="A195" s="148" t="str">
        <f aca="false">IF($M195="","",INDEX(LEDGER_ENGINE!$B$2:$B$546,$M195))</f>
        <v/>
      </c>
      <c r="B195" s="149" t="str">
        <f aca="false">IF($M195="","",INDEX(LEDGER_ENGINE!$C$2:$C$546,$M195))</f>
        <v/>
      </c>
      <c r="C195" s="149" t="str">
        <f aca="false">IF($M195="","",INDEX(LEDGER_ENGINE!$G$2:$G$546,$M195))</f>
        <v/>
      </c>
      <c r="D195" s="149" t="str">
        <f aca="false">IF($M195="","",INDEX(LEDGER_ENGINE!$H$2:$H$546,$M195))</f>
        <v/>
      </c>
      <c r="E195" s="150" t="str">
        <f aca="false">IF($M195="","",INDEX(LEDGER_ENGINE!$I$2:$I$546,$M195))</f>
        <v/>
      </c>
      <c r="G195" s="148" t="str">
        <f aca="false">IF($N195="","",INDEX(LEDGER_ENGINE!$B$2:$B$546,$N195))</f>
        <v/>
      </c>
      <c r="H195" s="149" t="str">
        <f aca="false">IF($N195="","",INDEX(LEDGER_ENGINE!$C$2:$C$546,$N195))</f>
        <v/>
      </c>
      <c r="I195" s="149" t="str">
        <f aca="false">IF($N195="","",INDEX(LEDGER_ENGINE!$G$2:$G$546,$N195))</f>
        <v/>
      </c>
      <c r="J195" s="149" t="str">
        <f aca="false">IFERROR(IF($N195="","",INDEX(LEDGER_ENGINE!$H$2:$H$546,$N195)),"")</f>
        <v/>
      </c>
      <c r="K195" s="150" t="str">
        <f aca="false">IF($N195="","",INDEX(LEDGER_ENGINE!$J$2:$J$546,$N195))</f>
        <v/>
      </c>
      <c r="M195" s="101" t="str">
        <f aca="false">IF(SUMIFS(LEDGER_ENGINE!$A$2:$A$546,LEDGER_ENGINE!$R$2:$R$546,$B$4&amp;"|"&amp;(ROW()-8))=0,"",SUMIFS(LEDGER_ENGINE!$A$2:$A$546,LEDGER_ENGINE!$R$2:$R$546,$B$4&amp;"|"&amp;(ROW()-8)))</f>
        <v/>
      </c>
      <c r="N195" s="101" t="str">
        <f aca="false">IF(SUMIFS(LEDGER_ENGINE!$A$2:$A$546,LEDGER_ENGINE!$S$2:$S$546,$B$4&amp;"|"&amp;(ROW()-8))=0,"",SUMIFS(LEDGER_ENGINE!$A$2:$A$546,LEDGER_ENGINE!$S$2:$S$546,$B$4&amp;"|"&amp;(ROW()-8)))</f>
        <v/>
      </c>
    </row>
    <row r="196" customFormat="false" ht="15" hidden="false" customHeight="true" outlineLevel="0" collapsed="false">
      <c r="A196" s="148" t="str">
        <f aca="false">IF($M196="","",INDEX(LEDGER_ENGINE!$B$2:$B$546,$M196))</f>
        <v/>
      </c>
      <c r="B196" s="149" t="str">
        <f aca="false">IF($M196="","",INDEX(LEDGER_ENGINE!$C$2:$C$546,$M196))</f>
        <v/>
      </c>
      <c r="C196" s="149" t="str">
        <f aca="false">IF($M196="","",INDEX(LEDGER_ENGINE!$G$2:$G$546,$M196))</f>
        <v/>
      </c>
      <c r="D196" s="149" t="str">
        <f aca="false">IF($M196="","",INDEX(LEDGER_ENGINE!$H$2:$H$546,$M196))</f>
        <v/>
      </c>
      <c r="E196" s="150" t="str">
        <f aca="false">IF($M196="","",INDEX(LEDGER_ENGINE!$I$2:$I$546,$M196))</f>
        <v/>
      </c>
      <c r="G196" s="148" t="str">
        <f aca="false">IF($N196="","",INDEX(LEDGER_ENGINE!$B$2:$B$546,$N196))</f>
        <v/>
      </c>
      <c r="H196" s="149" t="str">
        <f aca="false">IF($N196="","",INDEX(LEDGER_ENGINE!$C$2:$C$546,$N196))</f>
        <v/>
      </c>
      <c r="I196" s="149" t="str">
        <f aca="false">IF($N196="","",INDEX(LEDGER_ENGINE!$G$2:$G$546,$N196))</f>
        <v/>
      </c>
      <c r="J196" s="149" t="str">
        <f aca="false">IFERROR(IF($N196="","",INDEX(LEDGER_ENGINE!$H$2:$H$546,$N196)),"")</f>
        <v/>
      </c>
      <c r="K196" s="150" t="str">
        <f aca="false">IF($N196="","",INDEX(LEDGER_ENGINE!$J$2:$J$546,$N196))</f>
        <v/>
      </c>
      <c r="M196" s="101" t="str">
        <f aca="false">IF(SUMIFS(LEDGER_ENGINE!$A$2:$A$546,LEDGER_ENGINE!$R$2:$R$546,$B$4&amp;"|"&amp;(ROW()-8))=0,"",SUMIFS(LEDGER_ENGINE!$A$2:$A$546,LEDGER_ENGINE!$R$2:$R$546,$B$4&amp;"|"&amp;(ROW()-8)))</f>
        <v/>
      </c>
      <c r="N196" s="101" t="str">
        <f aca="false">IF(SUMIFS(LEDGER_ENGINE!$A$2:$A$546,LEDGER_ENGINE!$S$2:$S$546,$B$4&amp;"|"&amp;(ROW()-8))=0,"",SUMIFS(LEDGER_ENGINE!$A$2:$A$546,LEDGER_ENGINE!$S$2:$S$546,$B$4&amp;"|"&amp;(ROW()-8)))</f>
        <v/>
      </c>
    </row>
    <row r="197" customFormat="false" ht="15" hidden="false" customHeight="true" outlineLevel="0" collapsed="false">
      <c r="A197" s="148" t="str">
        <f aca="false">IF($M197="","",INDEX(LEDGER_ENGINE!$B$2:$B$546,$M197))</f>
        <v/>
      </c>
      <c r="B197" s="149" t="str">
        <f aca="false">IF($M197="","",INDEX(LEDGER_ENGINE!$C$2:$C$546,$M197))</f>
        <v/>
      </c>
      <c r="C197" s="149" t="str">
        <f aca="false">IF($M197="","",INDEX(LEDGER_ENGINE!$G$2:$G$546,$M197))</f>
        <v/>
      </c>
      <c r="D197" s="149" t="str">
        <f aca="false">IF($M197="","",INDEX(LEDGER_ENGINE!$H$2:$H$546,$M197))</f>
        <v/>
      </c>
      <c r="E197" s="150" t="str">
        <f aca="false">IF($M197="","",INDEX(LEDGER_ENGINE!$I$2:$I$546,$M197))</f>
        <v/>
      </c>
      <c r="G197" s="148" t="str">
        <f aca="false">IF($N197="","",INDEX(LEDGER_ENGINE!$B$2:$B$546,$N197))</f>
        <v/>
      </c>
      <c r="H197" s="149" t="str">
        <f aca="false">IF($N197="","",INDEX(LEDGER_ENGINE!$C$2:$C$546,$N197))</f>
        <v/>
      </c>
      <c r="I197" s="149" t="str">
        <f aca="false">IF($N197="","",INDEX(LEDGER_ENGINE!$G$2:$G$546,$N197))</f>
        <v/>
      </c>
      <c r="J197" s="149" t="str">
        <f aca="false">IFERROR(IF($N197="","",INDEX(LEDGER_ENGINE!$H$2:$H$546,$N197)),"")</f>
        <v/>
      </c>
      <c r="K197" s="150" t="str">
        <f aca="false">IF($N197="","",INDEX(LEDGER_ENGINE!$J$2:$J$546,$N197))</f>
        <v/>
      </c>
      <c r="M197" s="101" t="str">
        <f aca="false">IF(SUMIFS(LEDGER_ENGINE!$A$2:$A$546,LEDGER_ENGINE!$R$2:$R$546,$B$4&amp;"|"&amp;(ROW()-8))=0,"",SUMIFS(LEDGER_ENGINE!$A$2:$A$546,LEDGER_ENGINE!$R$2:$R$546,$B$4&amp;"|"&amp;(ROW()-8)))</f>
        <v/>
      </c>
      <c r="N197" s="101" t="str">
        <f aca="false">IF(SUMIFS(LEDGER_ENGINE!$A$2:$A$546,LEDGER_ENGINE!$S$2:$S$546,$B$4&amp;"|"&amp;(ROW()-8))=0,"",SUMIFS(LEDGER_ENGINE!$A$2:$A$546,LEDGER_ENGINE!$S$2:$S$546,$B$4&amp;"|"&amp;(ROW()-8)))</f>
        <v/>
      </c>
    </row>
    <row r="198" customFormat="false" ht="15" hidden="false" customHeight="true" outlineLevel="0" collapsed="false">
      <c r="A198" s="148" t="str">
        <f aca="false">IF($M198="","",INDEX(LEDGER_ENGINE!$B$2:$B$546,$M198))</f>
        <v/>
      </c>
      <c r="B198" s="149" t="str">
        <f aca="false">IF($M198="","",INDEX(LEDGER_ENGINE!$C$2:$C$546,$M198))</f>
        <v/>
      </c>
      <c r="C198" s="149" t="str">
        <f aca="false">IF($M198="","",INDEX(LEDGER_ENGINE!$G$2:$G$546,$M198))</f>
        <v/>
      </c>
      <c r="D198" s="149" t="str">
        <f aca="false">IF($M198="","",INDEX(LEDGER_ENGINE!$H$2:$H$546,$M198))</f>
        <v/>
      </c>
      <c r="E198" s="150" t="str">
        <f aca="false">IF($M198="","",INDEX(LEDGER_ENGINE!$I$2:$I$546,$M198))</f>
        <v/>
      </c>
      <c r="G198" s="148" t="str">
        <f aca="false">IF($N198="","",INDEX(LEDGER_ENGINE!$B$2:$B$546,$N198))</f>
        <v/>
      </c>
      <c r="H198" s="149" t="str">
        <f aca="false">IF($N198="","",INDEX(LEDGER_ENGINE!$C$2:$C$546,$N198))</f>
        <v/>
      </c>
      <c r="I198" s="149" t="str">
        <f aca="false">IF($N198="","",INDEX(LEDGER_ENGINE!$G$2:$G$546,$N198))</f>
        <v/>
      </c>
      <c r="J198" s="149" t="str">
        <f aca="false">IFERROR(IF($N198="","",INDEX(LEDGER_ENGINE!$H$2:$H$546,$N198)),"")</f>
        <v/>
      </c>
      <c r="K198" s="150" t="str">
        <f aca="false">IF($N198="","",INDEX(LEDGER_ENGINE!$J$2:$J$546,$N198))</f>
        <v/>
      </c>
      <c r="M198" s="101" t="str">
        <f aca="false">IF(SUMIFS(LEDGER_ENGINE!$A$2:$A$546,LEDGER_ENGINE!$R$2:$R$546,$B$4&amp;"|"&amp;(ROW()-8))=0,"",SUMIFS(LEDGER_ENGINE!$A$2:$A$546,LEDGER_ENGINE!$R$2:$R$546,$B$4&amp;"|"&amp;(ROW()-8)))</f>
        <v/>
      </c>
      <c r="N198" s="101" t="str">
        <f aca="false">IF(SUMIFS(LEDGER_ENGINE!$A$2:$A$546,LEDGER_ENGINE!$S$2:$S$546,$B$4&amp;"|"&amp;(ROW()-8))=0,"",SUMIFS(LEDGER_ENGINE!$A$2:$A$546,LEDGER_ENGINE!$S$2:$S$546,$B$4&amp;"|"&amp;(ROW()-8)))</f>
        <v/>
      </c>
    </row>
    <row r="199" customFormat="false" ht="15" hidden="false" customHeight="true" outlineLevel="0" collapsed="false">
      <c r="A199" s="148" t="str">
        <f aca="false">IF($M199="","",INDEX(LEDGER_ENGINE!$B$2:$B$546,$M199))</f>
        <v/>
      </c>
      <c r="B199" s="149" t="str">
        <f aca="false">IF($M199="","",INDEX(LEDGER_ENGINE!$C$2:$C$546,$M199))</f>
        <v/>
      </c>
      <c r="C199" s="149" t="str">
        <f aca="false">IF($M199="","",INDEX(LEDGER_ENGINE!$G$2:$G$546,$M199))</f>
        <v/>
      </c>
      <c r="D199" s="149" t="str">
        <f aca="false">IF($M199="","",INDEX(LEDGER_ENGINE!$H$2:$H$546,$M199))</f>
        <v/>
      </c>
      <c r="E199" s="150" t="str">
        <f aca="false">IF($M199="","",INDEX(LEDGER_ENGINE!$I$2:$I$546,$M199))</f>
        <v/>
      </c>
      <c r="G199" s="148" t="str">
        <f aca="false">IF($N199="","",INDEX(LEDGER_ENGINE!$B$2:$B$546,$N199))</f>
        <v/>
      </c>
      <c r="H199" s="149" t="str">
        <f aca="false">IF($N199="","",INDEX(LEDGER_ENGINE!$C$2:$C$546,$N199))</f>
        <v/>
      </c>
      <c r="I199" s="149" t="str">
        <f aca="false">IF($N199="","",INDEX(LEDGER_ENGINE!$G$2:$G$546,$N199))</f>
        <v/>
      </c>
      <c r="J199" s="149" t="str">
        <f aca="false">IFERROR(IF($N199="","",INDEX(LEDGER_ENGINE!$H$2:$H$546,$N199)),"")</f>
        <v/>
      </c>
      <c r="K199" s="150" t="str">
        <f aca="false">IF($N199="","",INDEX(LEDGER_ENGINE!$J$2:$J$546,$N199))</f>
        <v/>
      </c>
      <c r="M199" s="101" t="str">
        <f aca="false">IF(SUMIFS(LEDGER_ENGINE!$A$2:$A$546,LEDGER_ENGINE!$R$2:$R$546,$B$4&amp;"|"&amp;(ROW()-8))=0,"",SUMIFS(LEDGER_ENGINE!$A$2:$A$546,LEDGER_ENGINE!$R$2:$R$546,$B$4&amp;"|"&amp;(ROW()-8)))</f>
        <v/>
      </c>
      <c r="N199" s="101" t="str">
        <f aca="false">IF(SUMIFS(LEDGER_ENGINE!$A$2:$A$546,LEDGER_ENGINE!$S$2:$S$546,$B$4&amp;"|"&amp;(ROW()-8))=0,"",SUMIFS(LEDGER_ENGINE!$A$2:$A$546,LEDGER_ENGINE!$S$2:$S$546,$B$4&amp;"|"&amp;(ROW()-8)))</f>
        <v/>
      </c>
    </row>
    <row r="200" customFormat="false" ht="15" hidden="false" customHeight="true" outlineLevel="0" collapsed="false">
      <c r="A200" s="148" t="str">
        <f aca="false">IF($M200="","",INDEX(LEDGER_ENGINE!$B$2:$B$546,$M200))</f>
        <v/>
      </c>
      <c r="B200" s="149" t="str">
        <f aca="false">IF($M200="","",INDEX(LEDGER_ENGINE!$C$2:$C$546,$M200))</f>
        <v/>
      </c>
      <c r="C200" s="149" t="str">
        <f aca="false">IF($M200="","",INDEX(LEDGER_ENGINE!$G$2:$G$546,$M200))</f>
        <v/>
      </c>
      <c r="D200" s="149" t="str">
        <f aca="false">IF($M200="","",INDEX(LEDGER_ENGINE!$H$2:$H$546,$M200))</f>
        <v/>
      </c>
      <c r="E200" s="150" t="str">
        <f aca="false">IF($M200="","",INDEX(LEDGER_ENGINE!$I$2:$I$546,$M200))</f>
        <v/>
      </c>
      <c r="G200" s="148" t="str">
        <f aca="false">IF($N200="","",INDEX(LEDGER_ENGINE!$B$2:$B$546,$N200))</f>
        <v/>
      </c>
      <c r="H200" s="149" t="str">
        <f aca="false">IF($N200="","",INDEX(LEDGER_ENGINE!$C$2:$C$546,$N200))</f>
        <v/>
      </c>
      <c r="I200" s="149" t="str">
        <f aca="false">IF($N200="","",INDEX(LEDGER_ENGINE!$G$2:$G$546,$N200))</f>
        <v/>
      </c>
      <c r="J200" s="149" t="str">
        <f aca="false">IFERROR(IF($N200="","",INDEX(LEDGER_ENGINE!$H$2:$H$546,$N200)),"")</f>
        <v/>
      </c>
      <c r="K200" s="150" t="str">
        <f aca="false">IF($N200="","",INDEX(LEDGER_ENGINE!$J$2:$J$546,$N200))</f>
        <v/>
      </c>
      <c r="M200" s="101" t="str">
        <f aca="false">IF(SUMIFS(LEDGER_ENGINE!$A$2:$A$546,LEDGER_ENGINE!$R$2:$R$546,$B$4&amp;"|"&amp;(ROW()-8))=0,"",SUMIFS(LEDGER_ENGINE!$A$2:$A$546,LEDGER_ENGINE!$R$2:$R$546,$B$4&amp;"|"&amp;(ROW()-8)))</f>
        <v/>
      </c>
      <c r="N200" s="101" t="str">
        <f aca="false">IF(SUMIFS(LEDGER_ENGINE!$A$2:$A$546,LEDGER_ENGINE!$S$2:$S$546,$B$4&amp;"|"&amp;(ROW()-8))=0,"",SUMIFS(LEDGER_ENGINE!$A$2:$A$546,LEDGER_ENGINE!$S$2:$S$546,$B$4&amp;"|"&amp;(ROW()-8)))</f>
        <v/>
      </c>
    </row>
    <row r="201" customFormat="false" ht="15" hidden="false" customHeight="true" outlineLevel="0" collapsed="false">
      <c r="A201" s="148" t="str">
        <f aca="false">IF($M201="","",INDEX(LEDGER_ENGINE!$B$2:$B$546,$M201))</f>
        <v/>
      </c>
      <c r="B201" s="149" t="str">
        <f aca="false">IF($M201="","",INDEX(LEDGER_ENGINE!$C$2:$C$546,$M201))</f>
        <v/>
      </c>
      <c r="C201" s="149" t="str">
        <f aca="false">IF($M201="","",INDEX(LEDGER_ENGINE!$G$2:$G$546,$M201))</f>
        <v/>
      </c>
      <c r="D201" s="149" t="str">
        <f aca="false">IF($M201="","",INDEX(LEDGER_ENGINE!$H$2:$H$546,$M201))</f>
        <v/>
      </c>
      <c r="E201" s="150" t="str">
        <f aca="false">IF($M201="","",INDEX(LEDGER_ENGINE!$I$2:$I$546,$M201))</f>
        <v/>
      </c>
      <c r="G201" s="148" t="str">
        <f aca="false">IF($N201="","",INDEX(LEDGER_ENGINE!$B$2:$B$546,$N201))</f>
        <v/>
      </c>
      <c r="H201" s="149" t="str">
        <f aca="false">IF($N201="","",INDEX(LEDGER_ENGINE!$C$2:$C$546,$N201))</f>
        <v/>
      </c>
      <c r="I201" s="149" t="str">
        <f aca="false">IF($N201="","",INDEX(LEDGER_ENGINE!$G$2:$G$546,$N201))</f>
        <v/>
      </c>
      <c r="J201" s="149" t="str">
        <f aca="false">IFERROR(IF($N201="","",INDEX(LEDGER_ENGINE!$H$2:$H$546,$N201)),"")</f>
        <v/>
      </c>
      <c r="K201" s="150" t="str">
        <f aca="false">IF($N201="","",INDEX(LEDGER_ENGINE!$J$2:$J$546,$N201))</f>
        <v/>
      </c>
      <c r="M201" s="101" t="str">
        <f aca="false">IF(SUMIFS(LEDGER_ENGINE!$A$2:$A$546,LEDGER_ENGINE!$R$2:$R$546,$B$4&amp;"|"&amp;(ROW()-8))=0,"",SUMIFS(LEDGER_ENGINE!$A$2:$A$546,LEDGER_ENGINE!$R$2:$R$546,$B$4&amp;"|"&amp;(ROW()-8)))</f>
        <v/>
      </c>
      <c r="N201" s="101" t="str">
        <f aca="false">IF(SUMIFS(LEDGER_ENGINE!$A$2:$A$546,LEDGER_ENGINE!$S$2:$S$546,$B$4&amp;"|"&amp;(ROW()-8))=0,"",SUMIFS(LEDGER_ENGINE!$A$2:$A$546,LEDGER_ENGINE!$S$2:$S$546,$B$4&amp;"|"&amp;(ROW()-8)))</f>
        <v/>
      </c>
    </row>
    <row r="202" customFormat="false" ht="15" hidden="false" customHeight="true" outlineLevel="0" collapsed="false">
      <c r="A202" s="148" t="str">
        <f aca="false">IF($M202="","",INDEX(LEDGER_ENGINE!$B$2:$B$546,$M202))</f>
        <v/>
      </c>
      <c r="B202" s="149" t="str">
        <f aca="false">IF($M202="","",INDEX(LEDGER_ENGINE!$C$2:$C$546,$M202))</f>
        <v/>
      </c>
      <c r="C202" s="149" t="str">
        <f aca="false">IF($M202="","",INDEX(LEDGER_ENGINE!$G$2:$G$546,$M202))</f>
        <v/>
      </c>
      <c r="D202" s="149" t="str">
        <f aca="false">IF($M202="","",INDEX(LEDGER_ENGINE!$H$2:$H$546,$M202))</f>
        <v/>
      </c>
      <c r="E202" s="150" t="str">
        <f aca="false">IF($M202="","",INDEX(LEDGER_ENGINE!$I$2:$I$546,$M202))</f>
        <v/>
      </c>
      <c r="G202" s="148" t="str">
        <f aca="false">IF($N202="","",INDEX(LEDGER_ENGINE!$B$2:$B$546,$N202))</f>
        <v/>
      </c>
      <c r="H202" s="149" t="str">
        <f aca="false">IF($N202="","",INDEX(LEDGER_ENGINE!$C$2:$C$546,$N202))</f>
        <v/>
      </c>
      <c r="I202" s="149" t="str">
        <f aca="false">IF($N202="","",INDEX(LEDGER_ENGINE!$G$2:$G$546,$N202))</f>
        <v/>
      </c>
      <c r="J202" s="149" t="str">
        <f aca="false">IFERROR(IF($N202="","",INDEX(LEDGER_ENGINE!$H$2:$H$546,$N202)),"")</f>
        <v/>
      </c>
      <c r="K202" s="150" t="str">
        <f aca="false">IF($N202="","",INDEX(LEDGER_ENGINE!$J$2:$J$546,$N202))</f>
        <v/>
      </c>
      <c r="M202" s="101" t="str">
        <f aca="false">IF(SUMIFS(LEDGER_ENGINE!$A$2:$A$546,LEDGER_ENGINE!$R$2:$R$546,$B$4&amp;"|"&amp;(ROW()-8))=0,"",SUMIFS(LEDGER_ENGINE!$A$2:$A$546,LEDGER_ENGINE!$R$2:$R$546,$B$4&amp;"|"&amp;(ROW()-8)))</f>
        <v/>
      </c>
      <c r="N202" s="101" t="str">
        <f aca="false">IF(SUMIFS(LEDGER_ENGINE!$A$2:$A$546,LEDGER_ENGINE!$S$2:$S$546,$B$4&amp;"|"&amp;(ROW()-8))=0,"",SUMIFS(LEDGER_ENGINE!$A$2:$A$546,LEDGER_ENGINE!$S$2:$S$546,$B$4&amp;"|"&amp;(ROW()-8)))</f>
        <v/>
      </c>
    </row>
    <row r="203" customFormat="false" ht="15" hidden="false" customHeight="true" outlineLevel="0" collapsed="false">
      <c r="A203" s="148" t="str">
        <f aca="false">IF($M203="","",INDEX(LEDGER_ENGINE!$B$2:$B$546,$M203))</f>
        <v/>
      </c>
      <c r="B203" s="149" t="str">
        <f aca="false">IF($M203="","",INDEX(LEDGER_ENGINE!$C$2:$C$546,$M203))</f>
        <v/>
      </c>
      <c r="C203" s="149" t="str">
        <f aca="false">IF($M203="","",INDEX(LEDGER_ENGINE!$G$2:$G$546,$M203))</f>
        <v/>
      </c>
      <c r="D203" s="149" t="str">
        <f aca="false">IF($M203="","",INDEX(LEDGER_ENGINE!$H$2:$H$546,$M203))</f>
        <v/>
      </c>
      <c r="E203" s="150" t="str">
        <f aca="false">IF($M203="","",INDEX(LEDGER_ENGINE!$I$2:$I$546,$M203))</f>
        <v/>
      </c>
      <c r="G203" s="148" t="str">
        <f aca="false">IF($N203="","",INDEX(LEDGER_ENGINE!$B$2:$B$546,$N203))</f>
        <v/>
      </c>
      <c r="H203" s="149" t="str">
        <f aca="false">IF($N203="","",INDEX(LEDGER_ENGINE!$C$2:$C$546,$N203))</f>
        <v/>
      </c>
      <c r="I203" s="149" t="str">
        <f aca="false">IF($N203="","",INDEX(LEDGER_ENGINE!$G$2:$G$546,$N203))</f>
        <v/>
      </c>
      <c r="J203" s="149" t="str">
        <f aca="false">IFERROR(IF($N203="","",INDEX(LEDGER_ENGINE!$H$2:$H$546,$N203)),"")</f>
        <v/>
      </c>
      <c r="K203" s="150" t="str">
        <f aca="false">IF($N203="","",INDEX(LEDGER_ENGINE!$J$2:$J$546,$N203))</f>
        <v/>
      </c>
      <c r="M203" s="101" t="str">
        <f aca="false">IF(SUMIFS(LEDGER_ENGINE!$A$2:$A$546,LEDGER_ENGINE!$R$2:$R$546,$B$4&amp;"|"&amp;(ROW()-8))=0,"",SUMIFS(LEDGER_ENGINE!$A$2:$A$546,LEDGER_ENGINE!$R$2:$R$546,$B$4&amp;"|"&amp;(ROW()-8)))</f>
        <v/>
      </c>
      <c r="N203" s="101" t="str">
        <f aca="false">IF(SUMIFS(LEDGER_ENGINE!$A$2:$A$546,LEDGER_ENGINE!$S$2:$S$546,$B$4&amp;"|"&amp;(ROW()-8))=0,"",SUMIFS(LEDGER_ENGINE!$A$2:$A$546,LEDGER_ENGINE!$S$2:$S$546,$B$4&amp;"|"&amp;(ROW()-8)))</f>
        <v/>
      </c>
    </row>
    <row r="204" customFormat="false" ht="15" hidden="false" customHeight="true" outlineLevel="0" collapsed="false">
      <c r="A204" s="148" t="str">
        <f aca="false">IF($M204="","",INDEX(LEDGER_ENGINE!$B$2:$B$546,$M204))</f>
        <v/>
      </c>
      <c r="B204" s="149" t="str">
        <f aca="false">IF($M204="","",INDEX(LEDGER_ENGINE!$C$2:$C$546,$M204))</f>
        <v/>
      </c>
      <c r="C204" s="149" t="str">
        <f aca="false">IF($M204="","",INDEX(LEDGER_ENGINE!$G$2:$G$546,$M204))</f>
        <v/>
      </c>
      <c r="D204" s="149" t="str">
        <f aca="false">IF($M204="","",INDEX(LEDGER_ENGINE!$H$2:$H$546,$M204))</f>
        <v/>
      </c>
      <c r="E204" s="150" t="str">
        <f aca="false">IF($M204="","",INDEX(LEDGER_ENGINE!$I$2:$I$546,$M204))</f>
        <v/>
      </c>
      <c r="G204" s="148" t="str">
        <f aca="false">IF($N204="","",INDEX(LEDGER_ENGINE!$B$2:$B$546,$N204))</f>
        <v/>
      </c>
      <c r="H204" s="149" t="str">
        <f aca="false">IF($N204="","",INDEX(LEDGER_ENGINE!$C$2:$C$546,$N204))</f>
        <v/>
      </c>
      <c r="I204" s="149" t="str">
        <f aca="false">IF($N204="","",INDEX(LEDGER_ENGINE!$G$2:$G$546,$N204))</f>
        <v/>
      </c>
      <c r="J204" s="149" t="str">
        <f aca="false">IFERROR(IF($N204="","",INDEX(LEDGER_ENGINE!$H$2:$H$546,$N204)),"")</f>
        <v/>
      </c>
      <c r="K204" s="150" t="str">
        <f aca="false">IF($N204="","",INDEX(LEDGER_ENGINE!$J$2:$J$546,$N204))</f>
        <v/>
      </c>
      <c r="M204" s="101" t="str">
        <f aca="false">IF(SUMIFS(LEDGER_ENGINE!$A$2:$A$546,LEDGER_ENGINE!$R$2:$R$546,$B$4&amp;"|"&amp;(ROW()-8))=0,"",SUMIFS(LEDGER_ENGINE!$A$2:$A$546,LEDGER_ENGINE!$R$2:$R$546,$B$4&amp;"|"&amp;(ROW()-8)))</f>
        <v/>
      </c>
      <c r="N204" s="101" t="str">
        <f aca="false">IF(SUMIFS(LEDGER_ENGINE!$A$2:$A$546,LEDGER_ENGINE!$S$2:$S$546,$B$4&amp;"|"&amp;(ROW()-8))=0,"",SUMIFS(LEDGER_ENGINE!$A$2:$A$546,LEDGER_ENGINE!$S$2:$S$546,$B$4&amp;"|"&amp;(ROW()-8)))</f>
        <v/>
      </c>
    </row>
    <row r="205" customFormat="false" ht="15" hidden="false" customHeight="true" outlineLevel="0" collapsed="false">
      <c r="A205" s="148" t="str">
        <f aca="false">IF($M205="","",INDEX(LEDGER_ENGINE!$B$2:$B$546,$M205))</f>
        <v/>
      </c>
      <c r="B205" s="149" t="str">
        <f aca="false">IF($M205="","",INDEX(LEDGER_ENGINE!$C$2:$C$546,$M205))</f>
        <v/>
      </c>
      <c r="C205" s="149" t="str">
        <f aca="false">IF($M205="","",INDEX(LEDGER_ENGINE!$G$2:$G$546,$M205))</f>
        <v/>
      </c>
      <c r="D205" s="149" t="str">
        <f aca="false">IF($M205="","",INDEX(LEDGER_ENGINE!$H$2:$H$546,$M205))</f>
        <v/>
      </c>
      <c r="E205" s="150" t="str">
        <f aca="false">IF($M205="","",INDEX(LEDGER_ENGINE!$I$2:$I$546,$M205))</f>
        <v/>
      </c>
      <c r="G205" s="148" t="str">
        <f aca="false">IF($N205="","",INDEX(LEDGER_ENGINE!$B$2:$B$546,$N205))</f>
        <v/>
      </c>
      <c r="H205" s="149" t="str">
        <f aca="false">IF($N205="","",INDEX(LEDGER_ENGINE!$C$2:$C$546,$N205))</f>
        <v/>
      </c>
      <c r="I205" s="149" t="str">
        <f aca="false">IF($N205="","",INDEX(LEDGER_ENGINE!$G$2:$G$546,$N205))</f>
        <v/>
      </c>
      <c r="J205" s="149" t="str">
        <f aca="false">IFERROR(IF($N205="","",INDEX(LEDGER_ENGINE!$H$2:$H$546,$N205)),"")</f>
        <v/>
      </c>
      <c r="K205" s="150" t="str">
        <f aca="false">IF($N205="","",INDEX(LEDGER_ENGINE!$J$2:$J$546,$N205))</f>
        <v/>
      </c>
      <c r="M205" s="101" t="str">
        <f aca="false">IF(SUMIFS(LEDGER_ENGINE!$A$2:$A$546,LEDGER_ENGINE!$R$2:$R$546,$B$4&amp;"|"&amp;(ROW()-8))=0,"",SUMIFS(LEDGER_ENGINE!$A$2:$A$546,LEDGER_ENGINE!$R$2:$R$546,$B$4&amp;"|"&amp;(ROW()-8)))</f>
        <v/>
      </c>
      <c r="N205" s="101" t="str">
        <f aca="false">IF(SUMIFS(LEDGER_ENGINE!$A$2:$A$546,LEDGER_ENGINE!$S$2:$S$546,$B$4&amp;"|"&amp;(ROW()-8))=0,"",SUMIFS(LEDGER_ENGINE!$A$2:$A$546,LEDGER_ENGINE!$S$2:$S$546,$B$4&amp;"|"&amp;(ROW()-8)))</f>
        <v/>
      </c>
    </row>
    <row r="206" customFormat="false" ht="15" hidden="false" customHeight="true" outlineLevel="0" collapsed="false">
      <c r="A206" s="148" t="str">
        <f aca="false">IF($M206="","",INDEX(LEDGER_ENGINE!$B$2:$B$546,$M206))</f>
        <v/>
      </c>
      <c r="B206" s="149" t="str">
        <f aca="false">IF($M206="","",INDEX(LEDGER_ENGINE!$C$2:$C$546,$M206))</f>
        <v/>
      </c>
      <c r="C206" s="149" t="str">
        <f aca="false">IF($M206="","",INDEX(LEDGER_ENGINE!$G$2:$G$546,$M206))</f>
        <v/>
      </c>
      <c r="D206" s="149" t="str">
        <f aca="false">IF($M206="","",INDEX(LEDGER_ENGINE!$H$2:$H$546,$M206))</f>
        <v/>
      </c>
      <c r="E206" s="150" t="str">
        <f aca="false">IF($M206="","",INDEX(LEDGER_ENGINE!$I$2:$I$546,$M206))</f>
        <v/>
      </c>
      <c r="G206" s="148" t="str">
        <f aca="false">IF($N206="","",INDEX(LEDGER_ENGINE!$B$2:$B$546,$N206))</f>
        <v/>
      </c>
      <c r="H206" s="149" t="str">
        <f aca="false">IF($N206="","",INDEX(LEDGER_ENGINE!$C$2:$C$546,$N206))</f>
        <v/>
      </c>
      <c r="I206" s="149" t="str">
        <f aca="false">IF($N206="","",INDEX(LEDGER_ENGINE!$G$2:$G$546,$N206))</f>
        <v/>
      </c>
      <c r="J206" s="149" t="str">
        <f aca="false">IFERROR(IF($N206="","",INDEX(LEDGER_ENGINE!$H$2:$H$546,$N206)),"")</f>
        <v/>
      </c>
      <c r="K206" s="150" t="str">
        <f aca="false">IF($N206="","",INDEX(LEDGER_ENGINE!$J$2:$J$546,$N206))</f>
        <v/>
      </c>
      <c r="M206" s="101" t="str">
        <f aca="false">IF(SUMIFS(LEDGER_ENGINE!$A$2:$A$546,LEDGER_ENGINE!$R$2:$R$546,$B$4&amp;"|"&amp;(ROW()-8))=0,"",SUMIFS(LEDGER_ENGINE!$A$2:$A$546,LEDGER_ENGINE!$R$2:$R$546,$B$4&amp;"|"&amp;(ROW()-8)))</f>
        <v/>
      </c>
      <c r="N206" s="101" t="str">
        <f aca="false">IF(SUMIFS(LEDGER_ENGINE!$A$2:$A$546,LEDGER_ENGINE!$S$2:$S$546,$B$4&amp;"|"&amp;(ROW()-8))=0,"",SUMIFS(LEDGER_ENGINE!$A$2:$A$546,LEDGER_ENGINE!$S$2:$S$546,$B$4&amp;"|"&amp;(ROW()-8)))</f>
        <v/>
      </c>
    </row>
    <row r="207" customFormat="false" ht="15" hidden="false" customHeight="true" outlineLevel="0" collapsed="false">
      <c r="A207" s="148" t="str">
        <f aca="false">IF($M207="","",INDEX(LEDGER_ENGINE!$B$2:$B$546,$M207))</f>
        <v/>
      </c>
      <c r="B207" s="149" t="str">
        <f aca="false">IF($M207="","",INDEX(LEDGER_ENGINE!$C$2:$C$546,$M207))</f>
        <v/>
      </c>
      <c r="C207" s="149" t="str">
        <f aca="false">IF($M207="","",INDEX(LEDGER_ENGINE!$G$2:$G$546,$M207))</f>
        <v/>
      </c>
      <c r="D207" s="149" t="str">
        <f aca="false">IF($M207="","",INDEX(LEDGER_ENGINE!$H$2:$H$546,$M207))</f>
        <v/>
      </c>
      <c r="E207" s="150" t="str">
        <f aca="false">IF($M207="","",INDEX(LEDGER_ENGINE!$I$2:$I$546,$M207))</f>
        <v/>
      </c>
      <c r="G207" s="148" t="str">
        <f aca="false">IF($N207="","",INDEX(LEDGER_ENGINE!$B$2:$B$546,$N207))</f>
        <v/>
      </c>
      <c r="H207" s="149" t="str">
        <f aca="false">IF($N207="","",INDEX(LEDGER_ENGINE!$C$2:$C$546,$N207))</f>
        <v/>
      </c>
      <c r="I207" s="149" t="str">
        <f aca="false">IF($N207="","",INDEX(LEDGER_ENGINE!$G$2:$G$546,$N207))</f>
        <v/>
      </c>
      <c r="J207" s="149" t="str">
        <f aca="false">IFERROR(IF($N207="","",INDEX(LEDGER_ENGINE!$H$2:$H$546,$N207)),"")</f>
        <v/>
      </c>
      <c r="K207" s="150" t="str">
        <f aca="false">IF($N207="","",INDEX(LEDGER_ENGINE!$J$2:$J$546,$N207))</f>
        <v/>
      </c>
      <c r="M207" s="101" t="str">
        <f aca="false">IF(SUMIFS(LEDGER_ENGINE!$A$2:$A$546,LEDGER_ENGINE!$R$2:$R$546,$B$4&amp;"|"&amp;(ROW()-8))=0,"",SUMIFS(LEDGER_ENGINE!$A$2:$A$546,LEDGER_ENGINE!$R$2:$R$546,$B$4&amp;"|"&amp;(ROW()-8)))</f>
        <v/>
      </c>
      <c r="N207" s="101" t="str">
        <f aca="false">IF(SUMIFS(LEDGER_ENGINE!$A$2:$A$546,LEDGER_ENGINE!$S$2:$S$546,$B$4&amp;"|"&amp;(ROW()-8))=0,"",SUMIFS(LEDGER_ENGINE!$A$2:$A$546,LEDGER_ENGINE!$S$2:$S$546,$B$4&amp;"|"&amp;(ROW()-8)))</f>
        <v/>
      </c>
    </row>
    <row r="208" customFormat="false" ht="15" hidden="false" customHeight="true" outlineLevel="0" collapsed="false">
      <c r="A208" s="148" t="str">
        <f aca="false">IF($M208="","",INDEX(LEDGER_ENGINE!$B$2:$B$546,$M208))</f>
        <v/>
      </c>
      <c r="B208" s="149" t="str">
        <f aca="false">IF($M208="","",INDEX(LEDGER_ENGINE!$C$2:$C$546,$M208))</f>
        <v/>
      </c>
      <c r="C208" s="149" t="str">
        <f aca="false">IF($M208="","",INDEX(LEDGER_ENGINE!$G$2:$G$546,$M208))</f>
        <v/>
      </c>
      <c r="D208" s="149" t="str">
        <f aca="false">IF($M208="","",INDEX(LEDGER_ENGINE!$H$2:$H$546,$M208))</f>
        <v/>
      </c>
      <c r="E208" s="150" t="str">
        <f aca="false">IF($M208="","",INDEX(LEDGER_ENGINE!$I$2:$I$546,$M208))</f>
        <v/>
      </c>
      <c r="G208" s="148" t="str">
        <f aca="false">IF($N208="","",INDEX(LEDGER_ENGINE!$B$2:$B$546,$N208))</f>
        <v/>
      </c>
      <c r="H208" s="149" t="str">
        <f aca="false">IF($N208="","",INDEX(LEDGER_ENGINE!$C$2:$C$546,$N208))</f>
        <v/>
      </c>
      <c r="I208" s="149" t="str">
        <f aca="false">IF($N208="","",INDEX(LEDGER_ENGINE!$G$2:$G$546,$N208))</f>
        <v/>
      </c>
      <c r="J208" s="149" t="str">
        <f aca="false">IFERROR(IF($N208="","",INDEX(LEDGER_ENGINE!$H$2:$H$546,$N208)),"")</f>
        <v/>
      </c>
      <c r="K208" s="150" t="str">
        <f aca="false">IF($N208="","",INDEX(LEDGER_ENGINE!$J$2:$J$546,$N208))</f>
        <v/>
      </c>
      <c r="M208" s="101" t="str">
        <f aca="false">IF(SUMIFS(LEDGER_ENGINE!$A$2:$A$546,LEDGER_ENGINE!$R$2:$R$546,$B$4&amp;"|"&amp;(ROW()-8))=0,"",SUMIFS(LEDGER_ENGINE!$A$2:$A$546,LEDGER_ENGINE!$R$2:$R$546,$B$4&amp;"|"&amp;(ROW()-8)))</f>
        <v/>
      </c>
      <c r="N208" s="101" t="str">
        <f aca="false">IF(SUMIFS(LEDGER_ENGINE!$A$2:$A$546,LEDGER_ENGINE!$S$2:$S$546,$B$4&amp;"|"&amp;(ROW()-8))=0,"",SUMIFS(LEDGER_ENGINE!$A$2:$A$546,LEDGER_ENGINE!$S$2:$S$546,$B$4&amp;"|"&amp;(ROW()-8)))</f>
        <v/>
      </c>
    </row>
    <row r="211" customFormat="false" ht="21.75" hidden="false" customHeight="true" outlineLevel="0" collapsed="false">
      <c r="A211" s="153" t="s">
        <v>734</v>
      </c>
      <c r="B211" s="154"/>
      <c r="C211" s="154"/>
      <c r="D211" s="154"/>
      <c r="E211" s="155" t="n">
        <f aca="false">SUMIFS(LEDGER_ENGINE!$I:$I,LEDGER_ENGINE!$O:$O,$B$4&amp;"")</f>
        <v>0</v>
      </c>
      <c r="F211" s="154"/>
      <c r="G211" s="153" t="s">
        <v>735</v>
      </c>
      <c r="H211" s="154"/>
      <c r="I211" s="154"/>
      <c r="J211" s="154"/>
      <c r="K211" s="155" t="n">
        <f aca="false">SUMIFS(LEDGER_ENGINE!$J:$J,LEDGER_ENGINE!$O:$O,$B$4&amp;"")</f>
        <v>0</v>
      </c>
    </row>
    <row r="212" customFormat="false" ht="14.25" hidden="false" customHeight="true" outlineLevel="0" collapsed="false">
      <c r="A212" s="154"/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</row>
    <row r="213" customFormat="false" ht="24" hidden="false" customHeight="true" outlineLevel="0" collapsed="false">
      <c r="A213" s="156" t="s">
        <v>767</v>
      </c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</row>
    <row r="214" customFormat="false" ht="21.75" hidden="false" customHeight="true" outlineLevel="0" collapsed="false">
      <c r="A214" s="157" t="s">
        <v>768</v>
      </c>
      <c r="B214" s="158"/>
      <c r="C214" s="154"/>
      <c r="D214" s="154"/>
      <c r="E214" s="159" t="n">
        <f aca="false">IF($E$211&gt;$K$211,$E$211-$K$211,0)</f>
        <v>0</v>
      </c>
      <c r="F214" s="154"/>
      <c r="G214" s="157" t="s">
        <v>769</v>
      </c>
      <c r="H214" s="154"/>
      <c r="I214" s="154"/>
      <c r="J214" s="154"/>
      <c r="K214" s="159" t="n">
        <f aca="false">IF($K$211&gt;$E$211,$K$211-$E$211,0)</f>
        <v>0</v>
      </c>
    </row>
    <row r="215" customFormat="false" ht="15" hidden="false" customHeight="true" outlineLevel="0" collapsed="false">
      <c r="A215" s="154"/>
      <c r="B215" s="158"/>
      <c r="C215" s="154"/>
      <c r="D215" s="154"/>
      <c r="E215" s="154"/>
      <c r="F215" s="154"/>
      <c r="G215" s="154"/>
      <c r="H215" s="154"/>
      <c r="I215" s="154"/>
      <c r="J215" s="154"/>
      <c r="K215" s="154"/>
    </row>
    <row r="216" customFormat="false" ht="21.75" hidden="false" customHeight="true" outlineLevel="0" collapsed="false">
      <c r="A216" s="157" t="s">
        <v>770</v>
      </c>
      <c r="B216" s="158"/>
      <c r="C216" s="154"/>
      <c r="D216" s="154"/>
      <c r="E216" s="160" t="str">
        <f aca="false">IF($E$214&gt;0,"Saldo Debit",IF($K$214&gt;0,"Saldo Kredit","Zero / e balancuar"))</f>
        <v>Zero / e balancuar</v>
      </c>
      <c r="F216" s="154"/>
      <c r="G216" s="157" t="s">
        <v>771</v>
      </c>
      <c r="H216" s="154"/>
      <c r="I216" s="154"/>
      <c r="J216" s="154"/>
      <c r="K216" s="161" t="str">
        <f aca="false">IF(ROUND($E$211-$K$211-$E$214+$K$214,2)=0,"OK","Kontrollo")</f>
        <v>OK</v>
      </c>
    </row>
    <row r="217" customFormat="false" ht="30" hidden="false" customHeight="true" outlineLevel="0" collapsed="false">
      <c r="A217" s="162" t="s">
        <v>81</v>
      </c>
      <c r="B217" s="163" t="s">
        <v>772</v>
      </c>
      <c r="C217" s="163"/>
      <c r="D217" s="163"/>
      <c r="E217" s="163"/>
      <c r="F217" s="163"/>
      <c r="G217" s="163"/>
      <c r="H217" s="163"/>
      <c r="I217" s="163"/>
      <c r="J217" s="163"/>
      <c r="K217" s="163"/>
    </row>
    <row r="218" customFormat="false" ht="14.25" hidden="false" customHeight="true" outlineLevel="0" collapsed="false">
      <c r="A218" s="164"/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</row>
  </sheetData>
  <sheetProtection sheet="true" password="91db" formatCells="false" formatColumns="false" formatRows="false" sort="false" autoFilter="false"/>
  <mergeCells count="6">
    <mergeCell ref="A1:K1"/>
    <mergeCell ref="A2:K2"/>
    <mergeCell ref="A7:E7"/>
    <mergeCell ref="G7:K7"/>
    <mergeCell ref="A213:K213"/>
    <mergeCell ref="B217:K217"/>
  </mergeCells>
  <dataValidations count="1">
    <dataValidation allowBlank="false" error="Zgjidh një kod nga lista e Planit të Llogarive." errorStyle="stop" errorTitle="Kod llogarie i pavlefshëm" operator="between" prompt="Zgjidh kodin e llogarisë nga lista." promptTitle="Libri i Madh" showDropDown="false" showErrorMessage="false" showInputMessage="false" sqref="B4" type="list">
      <formula1>LM_ACCOUNT_LIST</formula1>
      <formula2>0</formula2>
    </dataValidation>
  </dataValidations>
  <hyperlinks>
    <hyperlink ref="M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23.71"/>
    <col collapsed="false" customWidth="true" hidden="false" outlineLevel="0" max="2" min="2" style="1" width="38"/>
    <col collapsed="false" customWidth="true" hidden="false" outlineLevel="0" max="3" min="3" style="1" width="18.29"/>
    <col collapsed="false" customWidth="true" hidden="false" outlineLevel="0" max="4" min="4" style="1" width="16"/>
    <col collapsed="false" customWidth="true" hidden="false" outlineLevel="0" max="5" min="5" style="1" width="19.42"/>
    <col collapsed="false" customWidth="true" hidden="false" outlineLevel="0" max="7" min="6" style="1" width="16"/>
    <col collapsed="false" customWidth="true" hidden="true" outlineLevel="0" max="8" min="8" style="1" width="13"/>
    <col collapsed="false" customWidth="true" hidden="true" outlineLevel="0" max="9" min="9" style="1" width="18"/>
    <col collapsed="false" customWidth="true" hidden="false" outlineLevel="0" max="10" min="10" style="1" width="18"/>
    <col collapsed="false" customWidth="true" hidden="false" outlineLevel="0" max="11" min="11" style="1" width="16"/>
  </cols>
  <sheetData>
    <row r="1" customFormat="false" ht="21.75" hidden="false" customHeight="true" outlineLevel="0" collapsed="false">
      <c r="A1" s="139" t="s">
        <v>773</v>
      </c>
      <c r="B1" s="139"/>
      <c r="C1" s="139"/>
      <c r="D1" s="139"/>
      <c r="E1" s="139"/>
      <c r="F1" s="139"/>
      <c r="G1" s="139"/>
      <c r="H1" s="139"/>
      <c r="I1" s="139"/>
      <c r="K1" s="29" t="s">
        <v>19</v>
      </c>
    </row>
    <row r="2" customFormat="false" ht="21.75" hidden="false" customHeight="true" outlineLevel="0" collapsed="false">
      <c r="A2" s="165" t="s">
        <v>774</v>
      </c>
      <c r="B2" s="165"/>
      <c r="C2" s="165"/>
      <c r="D2" s="165"/>
      <c r="E2" s="165"/>
      <c r="F2" s="165"/>
      <c r="G2" s="165"/>
      <c r="H2" s="165"/>
      <c r="I2" s="165"/>
      <c r="L2" s="1" t="s">
        <v>775</v>
      </c>
      <c r="M2" s="101" t="str">
        <f aca="false">H4</f>
        <v>OK</v>
      </c>
    </row>
    <row r="3" customFormat="false" ht="21.75" hidden="false" customHeight="true" outlineLevel="0" collapsed="false">
      <c r="L3" s="1" t="s">
        <v>776</v>
      </c>
      <c r="M3" s="101" t="str">
        <f aca="false">H5</f>
        <v>OK</v>
      </c>
    </row>
    <row r="4" customFormat="false" ht="21.75" hidden="false" customHeight="true" outlineLevel="0" collapsed="false">
      <c r="A4" s="166" t="s">
        <v>777</v>
      </c>
      <c r="B4" s="167" t="n">
        <f aca="false">SUM(D8:D506)</f>
        <v>0</v>
      </c>
      <c r="C4" s="166" t="s">
        <v>778</v>
      </c>
      <c r="D4" s="167" t="n">
        <f aca="false">SUM(E8:E506)</f>
        <v>0</v>
      </c>
      <c r="E4" s="166" t="s">
        <v>779</v>
      </c>
      <c r="F4" s="167" t="n">
        <f aca="false">B4-D4</f>
        <v>0</v>
      </c>
      <c r="G4" s="166" t="s">
        <v>780</v>
      </c>
      <c r="H4" s="167" t="str">
        <f aca="false">IF(ABS(F4)&lt;0.005,"OK","ERROR")</f>
        <v>OK</v>
      </c>
      <c r="L4" s="1" t="s">
        <v>781</v>
      </c>
      <c r="M4" s="101" t="n">
        <f aca="false">COUNTIF(J8:J506,"*JO NORMALE*")</f>
        <v>0</v>
      </c>
    </row>
    <row r="5" customFormat="false" ht="21.75" hidden="false" customHeight="true" outlineLevel="0" collapsed="false">
      <c r="A5" s="166" t="s">
        <v>782</v>
      </c>
      <c r="B5" s="167" t="n">
        <f aca="false">SUM(DITARI!$F$6:$F$550)</f>
        <v>0</v>
      </c>
      <c r="C5" s="166" t="s">
        <v>783</v>
      </c>
      <c r="D5" s="167" t="n">
        <f aca="false">SUM(DITARI!$G$6:$G$550)</f>
        <v>0</v>
      </c>
      <c r="E5" s="166" t="s">
        <v>784</v>
      </c>
      <c r="F5" s="167" t="n">
        <f aca="false">B5-D5</f>
        <v>0</v>
      </c>
      <c r="G5" s="166" t="s">
        <v>785</v>
      </c>
      <c r="H5" s="167" t="str">
        <f aca="false">IF(ABS(F5)&lt;0.005,"OK","ERROR")</f>
        <v>OK</v>
      </c>
    </row>
    <row r="6" customFormat="false" ht="21.75" hidden="false" customHeight="true" outlineLevel="0" collapsed="false">
      <c r="A6" s="168" t="s">
        <v>786</v>
      </c>
      <c r="B6" s="169" t="s">
        <v>787</v>
      </c>
      <c r="C6" s="170" t="n">
        <f aca="false">B5-B4</f>
        <v>0</v>
      </c>
      <c r="D6" s="169" t="s">
        <v>788</v>
      </c>
      <c r="E6" s="170" t="n">
        <f aca="false">D5-D4</f>
        <v>0</v>
      </c>
      <c r="F6" s="169" t="s">
        <v>789</v>
      </c>
      <c r="G6" s="170" t="str">
        <f aca="false">IF(OR(ABS(C6)&gt;0.005,ABS(E6)&gt;0.005),"Ka postime në llogari jo-postuese/jo në TB ose DITARI ka diferencë","OK")</f>
        <v>OK</v>
      </c>
    </row>
    <row r="7" customFormat="false" ht="21.75" hidden="false" customHeight="true" outlineLevel="0" collapsed="false">
      <c r="A7" s="171" t="s">
        <v>183</v>
      </c>
      <c r="B7" s="171" t="s">
        <v>758</v>
      </c>
      <c r="C7" s="171" t="s">
        <v>186</v>
      </c>
      <c r="D7" s="171" t="s">
        <v>790</v>
      </c>
      <c r="E7" s="171" t="s">
        <v>791</v>
      </c>
      <c r="F7" s="171" t="s">
        <v>768</v>
      </c>
      <c r="G7" s="171" t="s">
        <v>769</v>
      </c>
      <c r="H7" s="171" t="s">
        <v>770</v>
      </c>
      <c r="I7" s="171" t="s">
        <v>191</v>
      </c>
      <c r="J7" s="1" t="s">
        <v>771</v>
      </c>
    </row>
    <row r="8" customFormat="false" ht="12.75" hidden="false" customHeight="true" outlineLevel="0" collapsed="false">
      <c r="A8" s="172" t="str">
        <f aca="false">IF(AND(PLANI_LLOGARIVE!$A2&lt;&gt;"",PLANI_LLOGARIVE!$J2=TRUE()),PLANI_LLOGARIVE!$A2&amp;"","")</f>
        <v/>
      </c>
      <c r="B8" s="172" t="str">
        <f aca="false">IF($A8="","",IFERROR(VLOOKUP($A8,PLANI_LLOGARIVE!$A$2:$I$500,2,FALSE()),""))</f>
        <v/>
      </c>
      <c r="C8" s="172" t="str">
        <f aca="false">IF($A8="","",IFERROR(VLOOKUP($A8,PLANI_LLOGARIVE!$A$2:$I$500,4,FALSE()),""))</f>
        <v/>
      </c>
      <c r="D8" s="173" t="str">
        <f aca="false">IF($A8="","",SUMIFS(DITARI!$F$6:$F$550,DITARI!$D$6:$D$550,$A8))</f>
        <v/>
      </c>
      <c r="E8" s="173" t="str">
        <f aca="false">IF($A8="","",SUMIFS(DITARI!$G$6:$G$550,DITARI!$D$6:$D$550,$A8))</f>
        <v/>
      </c>
      <c r="F8" s="173" t="str">
        <f aca="false">IF($A8="","",MAX($D8-$E8,0))</f>
        <v/>
      </c>
      <c r="G8" s="173" t="str">
        <f aca="false">IF($A8="","",MAX($E8-$D8,0))</f>
        <v/>
      </c>
      <c r="H8" s="172" t="str">
        <f aca="false">IF($A8="","",IF($F8&gt;0,"Saldo Debit",IF($G8&gt;0,"Saldo Kredit","Zero")))</f>
        <v/>
      </c>
      <c r="I8" s="172" t="str">
        <f aca="false">IF($A8="","",IFERROR(VLOOKUP($A8,PLANI_LLOGARIVE!$A$2:$I$500,9,FALSE()),""))</f>
        <v/>
      </c>
      <c r="J8" s="101" t="str">
        <f aca="false">IF(A8="","",IF(OR(H8="Zero",I8="Debit/Credit"),"",IF(OR(AND(H8="Saldo Debit",I8="Debit"),AND(H8="Saldo Kredit",OR(I8="Credit",I8="Kredit"))),"","⚠️ JO NORMALE")))</f>
        <v/>
      </c>
    </row>
    <row r="9" customFormat="false" ht="12.75" hidden="false" customHeight="true" outlineLevel="0" collapsed="false">
      <c r="A9" s="174" t="str">
        <f aca="false">IF(AND(PLANI_LLOGARIVE!$A3&lt;&gt;"",PLANI_LLOGARIVE!$J3=TRUE()),PLANI_LLOGARIVE!$A3&amp;"","")</f>
        <v/>
      </c>
      <c r="B9" s="174" t="str">
        <f aca="false">IF($A9="","",IFERROR(VLOOKUP($A9,PLANI_LLOGARIVE!$A$2:$I$500,2,FALSE()),""))</f>
        <v/>
      </c>
      <c r="C9" s="174" t="str">
        <f aca="false">IF($A9="","",IFERROR(VLOOKUP($A9,PLANI_LLOGARIVE!$A$2:$I$500,4,FALSE()),""))</f>
        <v/>
      </c>
      <c r="D9" s="175" t="str">
        <f aca="false">IF($A9="","",SUMIFS(DITARI!$F$6:$F$550,DITARI!$D$6:$D$550,$A9))</f>
        <v/>
      </c>
      <c r="E9" s="175" t="str">
        <f aca="false">IF($A9="","",SUMIFS(DITARI!$G$6:$G$550,DITARI!$D$6:$D$550,$A9))</f>
        <v/>
      </c>
      <c r="F9" s="175" t="str">
        <f aca="false">IF($A9="","",MAX($D9-$E9,0))</f>
        <v/>
      </c>
      <c r="G9" s="175" t="str">
        <f aca="false">IF($A9="","",MAX($E9-$D9,0))</f>
        <v/>
      </c>
      <c r="H9" s="174" t="str">
        <f aca="false">IF($A9="","",IF($F9&gt;0,"Saldo Debit",IF($G9&gt;0,"Saldo Kredit","Zero")))</f>
        <v/>
      </c>
      <c r="I9" s="174" t="str">
        <f aca="false">IF($A9="","",IFERROR(VLOOKUP($A9,PLANI_LLOGARIVE!$A$2:$I$500,9,FALSE()),""))</f>
        <v/>
      </c>
      <c r="J9" s="101" t="str">
        <f aca="false">IF(A9="","",IF(OR(H9="Zero",I9="Debit/Credit"),"",IF(OR(AND(H9="Saldo Debit",I9="Debit"),AND(H9="Saldo Kredit",OR(I9="Credit",I9="Kredit"))),"","⚠️ JO NORMALE")))</f>
        <v/>
      </c>
    </row>
    <row r="10" customFormat="false" ht="12.75" hidden="false" customHeight="true" outlineLevel="0" collapsed="false">
      <c r="A10" s="172" t="str">
        <f aca="false">IF(AND(PLANI_LLOGARIVE!$A4&lt;&gt;"",PLANI_LLOGARIVE!$J4=TRUE()),PLANI_LLOGARIVE!$A4&amp;"","")</f>
        <v>101</v>
      </c>
      <c r="B10" s="172" t="str">
        <f aca="false">IF($A10="","",IFERROR(VLOOKUP($A10,PLANI_LLOGARIVE!$A$2:$I$500,2,FALSE()),""))</f>
        <v>Kapitali i paguar / themeltar</v>
      </c>
      <c r="C10" s="172" t="str">
        <f aca="false">IF($A10="","",IFERROR(VLOOKUP($A10,PLANI_LLOGARIVE!$A$2:$I$500,4,FALSE()),""))</f>
        <v>1</v>
      </c>
      <c r="D10" s="173" t="n">
        <f aca="false">IF($A10="","",SUMIFS(DITARI!$F$6:$F$550,DITARI!$D$6:$D$550,$A10))</f>
        <v>0</v>
      </c>
      <c r="E10" s="173" t="n">
        <f aca="false">IF($A10="","",SUMIFS(DITARI!$G$6:$G$550,DITARI!$D$6:$D$550,$A10))</f>
        <v>0</v>
      </c>
      <c r="F10" s="173" t="n">
        <f aca="false">IF($A10="","",MAX($D10-$E10,0))</f>
        <v>0</v>
      </c>
      <c r="G10" s="173" t="n">
        <f aca="false">IF($A10="","",MAX($E10-$D10,0))</f>
        <v>0</v>
      </c>
      <c r="H10" s="172" t="str">
        <f aca="false">IF($A10="","",IF($F10&gt;0,"Saldo Debit",IF($G10&gt;0,"Saldo Kredit","Zero")))</f>
        <v>Zero</v>
      </c>
      <c r="I10" s="172" t="str">
        <f aca="false">IF($A10="","",IFERROR(VLOOKUP($A10,PLANI_LLOGARIVE!$A$2:$I$500,9,FALSE()),""))</f>
        <v>Credit</v>
      </c>
      <c r="J10" s="101" t="str">
        <f aca="false">IF(A10="","",IF(OR(H10="Zero",I10="Debit/Credit"),"",IF(OR(AND(H10="Saldo Debit",I10="Debit"),AND(H10="Saldo Kredit",OR(I10="Credit",I10="Kredit"))),"","⚠️ JO NORMALE")))</f>
        <v/>
      </c>
    </row>
    <row r="11" customFormat="false" ht="12.75" hidden="false" customHeight="true" outlineLevel="0" collapsed="false">
      <c r="A11" s="174" t="str">
        <f aca="false">IF(AND(PLANI_LLOGARIVE!$A5&lt;&gt;"",PLANI_LLOGARIVE!$J5=TRUE()),PLANI_LLOGARIVE!$A5&amp;"","")</f>
        <v>102</v>
      </c>
      <c r="B11" s="174" t="str">
        <f aca="false">IF($A11="","",IFERROR(VLOOKUP($A11,PLANI_LLOGARIVE!$A$2:$I$500,2,FALSE()),""))</f>
        <v>Kapitali i nënshkruar i papaguar</v>
      </c>
      <c r="C11" s="174" t="str">
        <f aca="false">IF($A11="","",IFERROR(VLOOKUP($A11,PLANI_LLOGARIVE!$A$2:$I$500,4,FALSE()),""))</f>
        <v>1</v>
      </c>
      <c r="D11" s="175" t="n">
        <f aca="false">IF($A11="","",SUMIFS(DITARI!$F$6:$F$550,DITARI!$D$6:$D$550,$A11))</f>
        <v>0</v>
      </c>
      <c r="E11" s="175" t="n">
        <f aca="false">IF($A11="","",SUMIFS(DITARI!$G$6:$G$550,DITARI!$D$6:$D$550,$A11))</f>
        <v>0</v>
      </c>
      <c r="F11" s="175" t="n">
        <f aca="false">IF($A11="","",MAX($D11-$E11,0))</f>
        <v>0</v>
      </c>
      <c r="G11" s="175" t="n">
        <f aca="false">IF($A11="","",MAX($E11-$D11,0))</f>
        <v>0</v>
      </c>
      <c r="H11" s="174" t="str">
        <f aca="false">IF($A11="","",IF($F11&gt;0,"Saldo Debit",IF($G11&gt;0,"Saldo Kredit","Zero")))</f>
        <v>Zero</v>
      </c>
      <c r="I11" s="174" t="str">
        <f aca="false">IF($A11="","",IFERROR(VLOOKUP($A11,PLANI_LLOGARIVE!$A$2:$I$500,9,FALSE()),""))</f>
        <v>Debit</v>
      </c>
      <c r="J11" s="101" t="str">
        <f aca="false">IF(A11="","",IF(OR(H11="Zero",I11="Debit/Credit"),"",IF(OR(AND(H11="Saldo Debit",I11="Debit"),AND(H11="Saldo Kredit",OR(I11="Credit",I11="Kredit"))),"","⚠️ JO NORMALE")))</f>
        <v/>
      </c>
    </row>
    <row r="12" customFormat="false" ht="12.75" hidden="false" customHeight="true" outlineLevel="0" collapsed="false">
      <c r="A12" s="172" t="str">
        <f aca="false">IF(AND(PLANI_LLOGARIVE!$A6&lt;&gt;"",PLANI_LLOGARIVE!$J6=TRUE()),PLANI_LLOGARIVE!$A6&amp;"","")</f>
        <v>104</v>
      </c>
      <c r="B12" s="172" t="str">
        <f aca="false">IF($A12="","",IFERROR(VLOOKUP($A12,PLANI_LLOGARIVE!$A$2:$I$500,2,FALSE()),""))</f>
        <v>Prime të lidhura me kapitalin</v>
      </c>
      <c r="C12" s="172" t="str">
        <f aca="false">IF($A12="","",IFERROR(VLOOKUP($A12,PLANI_LLOGARIVE!$A$2:$I$500,4,FALSE()),""))</f>
        <v>1</v>
      </c>
      <c r="D12" s="173" t="n">
        <f aca="false">IF($A12="","",SUMIFS(DITARI!$F$6:$F$550,DITARI!$D$6:$D$550,$A12))</f>
        <v>0</v>
      </c>
      <c r="E12" s="173" t="n">
        <f aca="false">IF($A12="","",SUMIFS(DITARI!$G$6:$G$550,DITARI!$D$6:$D$550,$A12))</f>
        <v>0</v>
      </c>
      <c r="F12" s="173" t="n">
        <f aca="false">IF($A12="","",MAX($D12-$E12,0))</f>
        <v>0</v>
      </c>
      <c r="G12" s="173" t="n">
        <f aca="false">IF($A12="","",MAX($E12-$D12,0))</f>
        <v>0</v>
      </c>
      <c r="H12" s="172" t="str">
        <f aca="false">IF($A12="","",IF($F12&gt;0,"Saldo Debit",IF($G12&gt;0,"Saldo Kredit","Zero")))</f>
        <v>Zero</v>
      </c>
      <c r="I12" s="172" t="str">
        <f aca="false">IF($A12="","",IFERROR(VLOOKUP($A12,PLANI_LLOGARIVE!$A$2:$I$500,9,FALSE()),""))</f>
        <v>Credit</v>
      </c>
      <c r="J12" s="101" t="str">
        <f aca="false">IF(A12="","",IF(OR(H12="Zero",I12="Debit/Credit"),"",IF(OR(AND(H12="Saldo Debit",I12="Debit"),AND(H12="Saldo Kredit",OR(I12="Credit",I12="Kredit"))),"","⚠️ JO NORMALE")))</f>
        <v/>
      </c>
    </row>
    <row r="13" customFormat="false" ht="12.75" hidden="false" customHeight="true" outlineLevel="0" collapsed="false">
      <c r="A13" s="174" t="str">
        <f aca="false">IF(AND(PLANI_LLOGARIVE!$A7&lt;&gt;"",PLANI_LLOGARIVE!$J7=TRUE()),PLANI_LLOGARIVE!$A7&amp;"","")</f>
        <v>105</v>
      </c>
      <c r="B13" s="174" t="str">
        <f aca="false">IF($A13="","",IFERROR(VLOOKUP($A13,PLANI_LLOGARIVE!$A$2:$I$500,2,FALSE()),""))</f>
        <v>Rezerva nga rivlerësimi</v>
      </c>
      <c r="C13" s="174" t="str">
        <f aca="false">IF($A13="","",IFERROR(VLOOKUP($A13,PLANI_LLOGARIVE!$A$2:$I$500,4,FALSE()),""))</f>
        <v>1</v>
      </c>
      <c r="D13" s="175" t="n">
        <f aca="false">IF($A13="","",SUMIFS(DITARI!$F$6:$F$550,DITARI!$D$6:$D$550,$A13))</f>
        <v>0</v>
      </c>
      <c r="E13" s="175" t="n">
        <f aca="false">IF($A13="","",SUMIFS(DITARI!$G$6:$G$550,DITARI!$D$6:$D$550,$A13))</f>
        <v>0</v>
      </c>
      <c r="F13" s="175" t="n">
        <f aca="false">IF($A13="","",MAX($D13-$E13,0))</f>
        <v>0</v>
      </c>
      <c r="G13" s="175" t="n">
        <f aca="false">IF($A13="","",MAX($E13-$D13,0))</f>
        <v>0</v>
      </c>
      <c r="H13" s="174" t="str">
        <f aca="false">IF($A13="","",IF($F13&gt;0,"Saldo Debit",IF($G13&gt;0,"Saldo Kredit","Zero")))</f>
        <v>Zero</v>
      </c>
      <c r="I13" s="174" t="str">
        <f aca="false">IF($A13="","",IFERROR(VLOOKUP($A13,PLANI_LLOGARIVE!$A$2:$I$500,9,FALSE()),""))</f>
        <v>Credit</v>
      </c>
      <c r="J13" s="101" t="str">
        <f aca="false">IF(A13="","",IF(OR(H13="Zero",I13="Debit/Credit"),"",IF(OR(AND(H13="Saldo Debit",I13="Debit"),AND(H13="Saldo Kredit",OR(I13="Credit",I13="Kredit"))),"","⚠️ JO NORMALE")))</f>
        <v/>
      </c>
    </row>
    <row r="14" customFormat="false" ht="12.75" hidden="false" customHeight="true" outlineLevel="0" collapsed="false">
      <c r="A14" s="172" t="str">
        <f aca="false">IF(AND(PLANI_LLOGARIVE!$A8&lt;&gt;"",PLANI_LLOGARIVE!$J8=TRUE()),PLANI_LLOGARIVE!$A8&amp;"","")</f>
        <v>106</v>
      </c>
      <c r="B14" s="172" t="str">
        <f aca="false">IF($A14="","",IFERROR(VLOOKUP($A14,PLANI_LLOGARIVE!$A$2:$I$500,2,FALSE()),""))</f>
        <v>Rezerva ligjore</v>
      </c>
      <c r="C14" s="172" t="str">
        <f aca="false">IF($A14="","",IFERROR(VLOOKUP($A14,PLANI_LLOGARIVE!$A$2:$I$500,4,FALSE()),""))</f>
        <v>1</v>
      </c>
      <c r="D14" s="173" t="n">
        <f aca="false">IF($A14="","",SUMIFS(DITARI!$F$6:$F$550,DITARI!$D$6:$D$550,$A14))</f>
        <v>0</v>
      </c>
      <c r="E14" s="173" t="n">
        <f aca="false">IF($A14="","",SUMIFS(DITARI!$G$6:$G$550,DITARI!$D$6:$D$550,$A14))</f>
        <v>0</v>
      </c>
      <c r="F14" s="173" t="n">
        <f aca="false">IF($A14="","",MAX($D14-$E14,0))</f>
        <v>0</v>
      </c>
      <c r="G14" s="173" t="n">
        <f aca="false">IF($A14="","",MAX($E14-$D14,0))</f>
        <v>0</v>
      </c>
      <c r="H14" s="172" t="str">
        <f aca="false">IF($A14="","",IF($F14&gt;0,"Saldo Debit",IF($G14&gt;0,"Saldo Kredit","Zero")))</f>
        <v>Zero</v>
      </c>
      <c r="I14" s="172" t="str">
        <f aca="false">IF($A14="","",IFERROR(VLOOKUP($A14,PLANI_LLOGARIVE!$A$2:$I$500,9,FALSE()),""))</f>
        <v>Credit</v>
      </c>
      <c r="J14" s="101" t="str">
        <f aca="false">IF(A14="","",IF(OR(H14="Zero",I14="Debit/Credit"),"",IF(OR(AND(H14="Saldo Debit",I14="Debit"),AND(H14="Saldo Kredit",OR(I14="Credit",I14="Kredit"))),"","⚠️ JO NORMALE")))</f>
        <v/>
      </c>
    </row>
    <row r="15" customFormat="false" ht="12.75" hidden="false" customHeight="true" outlineLevel="0" collapsed="false">
      <c r="A15" s="174" t="str">
        <f aca="false">IF(AND(PLANI_LLOGARIVE!$A9&lt;&gt;"",PLANI_LLOGARIVE!$J9=TRUE()),PLANI_LLOGARIVE!$A9&amp;"","")</f>
        <v>107</v>
      </c>
      <c r="B15" s="174" t="str">
        <f aca="false">IF($A15="","",IFERROR(VLOOKUP($A15,PLANI_LLOGARIVE!$A$2:$I$500,2,FALSE()),""))</f>
        <v>Rezerva të tjera</v>
      </c>
      <c r="C15" s="174" t="str">
        <f aca="false">IF($A15="","",IFERROR(VLOOKUP($A15,PLANI_LLOGARIVE!$A$2:$I$500,4,FALSE()),""))</f>
        <v>1</v>
      </c>
      <c r="D15" s="175" t="n">
        <f aca="false">IF($A15="","",SUMIFS(DITARI!$F$6:$F$550,DITARI!$D$6:$D$550,$A15))</f>
        <v>0</v>
      </c>
      <c r="E15" s="175" t="n">
        <f aca="false">IF($A15="","",SUMIFS(DITARI!$G$6:$G$550,DITARI!$D$6:$D$550,$A15))</f>
        <v>0</v>
      </c>
      <c r="F15" s="175" t="n">
        <f aca="false">IF($A15="","",MAX($D15-$E15,0))</f>
        <v>0</v>
      </c>
      <c r="G15" s="175" t="n">
        <f aca="false">IF($A15="","",MAX($E15-$D15,0))</f>
        <v>0</v>
      </c>
      <c r="H15" s="174" t="str">
        <f aca="false">IF($A15="","",IF($F15&gt;0,"Saldo Debit",IF($G15&gt;0,"Saldo Kredit","Zero")))</f>
        <v>Zero</v>
      </c>
      <c r="I15" s="174" t="str">
        <f aca="false">IF($A15="","",IFERROR(VLOOKUP($A15,PLANI_LLOGARIVE!$A$2:$I$500,9,FALSE()),""))</f>
        <v>Credit</v>
      </c>
      <c r="J15" s="101" t="str">
        <f aca="false">IF(A15="","",IF(OR(H15="Zero",I15="Debit/Credit"),"",IF(OR(AND(H15="Saldo Debit",I15="Debit"),AND(H15="Saldo Kredit",OR(I15="Credit",I15="Kredit"))),"","⚠️ JO NORMALE")))</f>
        <v/>
      </c>
    </row>
    <row r="16" customFormat="false" ht="12.75" hidden="false" customHeight="true" outlineLevel="0" collapsed="false">
      <c r="A16" s="172" t="str">
        <f aca="false">IF(AND(PLANI_LLOGARIVE!$A10&lt;&gt;"",PLANI_LLOGARIVE!$J10=TRUE()),PLANI_LLOGARIVE!$A10&amp;"","")</f>
        <v>108</v>
      </c>
      <c r="B16" s="172" t="str">
        <f aca="false">IF($A16="","",IFERROR(VLOOKUP($A16,PLANI_LLOGARIVE!$A$2:$I$500,2,FALSE()),""))</f>
        <v>Fitim / Humbje e pashpërndarë</v>
      </c>
      <c r="C16" s="172" t="str">
        <f aca="false">IF($A16="","",IFERROR(VLOOKUP($A16,PLANI_LLOGARIVE!$A$2:$I$500,4,FALSE()),""))</f>
        <v>1</v>
      </c>
      <c r="D16" s="173" t="n">
        <f aca="false">IF($A16="","",SUMIFS(DITARI!$F$6:$F$550,DITARI!$D$6:$D$550,$A16))</f>
        <v>0</v>
      </c>
      <c r="E16" s="173" t="n">
        <f aca="false">IF($A16="","",SUMIFS(DITARI!$G$6:$G$550,DITARI!$D$6:$D$550,$A16))</f>
        <v>0</v>
      </c>
      <c r="F16" s="173" t="n">
        <f aca="false">IF($A16="","",MAX($D16-$E16,0))</f>
        <v>0</v>
      </c>
      <c r="G16" s="173" t="n">
        <f aca="false">IF($A16="","",MAX($E16-$D16,0))</f>
        <v>0</v>
      </c>
      <c r="H16" s="172" t="str">
        <f aca="false">IF($A16="","",IF($F16&gt;0,"Saldo Debit",IF($G16&gt;0,"Saldo Kredit","Zero")))</f>
        <v>Zero</v>
      </c>
      <c r="I16" s="172" t="str">
        <f aca="false">IF($A16="","",IFERROR(VLOOKUP($A16,PLANI_LLOGARIVE!$A$2:$I$500,9,FALSE()),""))</f>
        <v>Debit/Credit</v>
      </c>
      <c r="J16" s="101" t="str">
        <f aca="false">IF(A16="","",IF(OR(H16="Zero",I16="Debit/Credit"),"",IF(OR(AND(H16="Saldo Debit",I16="Debit"),AND(H16="Saldo Kredit",OR(I16="Credit",I16="Kredit"))),"","⚠️ JO NORMALE")))</f>
        <v/>
      </c>
    </row>
    <row r="17" customFormat="false" ht="12.75" hidden="false" customHeight="true" outlineLevel="0" collapsed="false">
      <c r="A17" s="174" t="str">
        <f aca="false">IF(AND(PLANI_LLOGARIVE!$A11&lt;&gt;"",PLANI_LLOGARIVE!$J11=TRUE()),PLANI_LLOGARIVE!$A11&amp;"","")</f>
        <v/>
      </c>
      <c r="B17" s="174" t="str">
        <f aca="false">IF($A17="","",IFERROR(VLOOKUP($A17,PLANI_LLOGARIVE!$A$2:$I$500,2,FALSE()),""))</f>
        <v/>
      </c>
      <c r="C17" s="174" t="str">
        <f aca="false">IF($A17="","",IFERROR(VLOOKUP($A17,PLANI_LLOGARIVE!$A$2:$I$500,4,FALSE()),""))</f>
        <v/>
      </c>
      <c r="D17" s="175" t="str">
        <f aca="false">IF($A17="","",SUMIFS(DITARI!$F$6:$F$550,DITARI!$D$6:$D$550,$A17))</f>
        <v/>
      </c>
      <c r="E17" s="175" t="str">
        <f aca="false">IF($A17="","",SUMIFS(DITARI!$G$6:$G$550,DITARI!$D$6:$D$550,$A17))</f>
        <v/>
      </c>
      <c r="F17" s="175" t="str">
        <f aca="false">IF($A17="","",MAX($D17-$E17,0))</f>
        <v/>
      </c>
      <c r="G17" s="175" t="str">
        <f aca="false">IF($A17="","",MAX($E17-$D17,0))</f>
        <v/>
      </c>
      <c r="H17" s="174" t="str">
        <f aca="false">IF($A17="","",IF($F17&gt;0,"Saldo Debit",IF($G17&gt;0,"Saldo Kredit","Zero")))</f>
        <v/>
      </c>
      <c r="I17" s="174" t="str">
        <f aca="false">IF($A17="","",IFERROR(VLOOKUP($A17,PLANI_LLOGARIVE!$A$2:$I$500,9,FALSE()),""))</f>
        <v/>
      </c>
      <c r="J17" s="101" t="str">
        <f aca="false">IF(A17="","",IF(OR(H17="Zero",I17="Debit/Credit"),"",IF(OR(AND(H17="Saldo Debit",I17="Debit"),AND(H17="Saldo Kredit",OR(I17="Credit",I17="Kredit"))),"","⚠️ JO NORMALE")))</f>
        <v/>
      </c>
    </row>
    <row r="18" customFormat="false" ht="12.75" hidden="false" customHeight="true" outlineLevel="0" collapsed="false">
      <c r="A18" s="172" t="str">
        <f aca="false">IF(AND(PLANI_LLOGARIVE!$A12&lt;&gt;"",PLANI_LLOGARIVE!$J12=TRUE()),PLANI_LLOGARIVE!$A12&amp;"","")</f>
        <v>121</v>
      </c>
      <c r="B18" s="172" t="str">
        <f aca="false">IF($A18="","",IFERROR(VLOOKUP($A18,PLANI_LLOGARIVE!$A$2:$I$500,2,FALSE()),""))</f>
        <v>Rezultati i ushtrimit — viti aktual</v>
      </c>
      <c r="C18" s="172" t="str">
        <f aca="false">IF($A18="","",IFERROR(VLOOKUP($A18,PLANI_LLOGARIVE!$A$2:$I$500,4,FALSE()),""))</f>
        <v>1</v>
      </c>
      <c r="D18" s="173" t="n">
        <f aca="false">IF($A18="","",SUMIFS(DITARI!$F$6:$F$550,DITARI!$D$6:$D$550,$A18))</f>
        <v>0</v>
      </c>
      <c r="E18" s="173" t="n">
        <f aca="false">IF($A18="","",SUMIFS(DITARI!$G$6:$G$550,DITARI!$D$6:$D$550,$A18))</f>
        <v>0</v>
      </c>
      <c r="F18" s="173" t="n">
        <f aca="false">IF($A18="","",MAX($D18-$E18,0))</f>
        <v>0</v>
      </c>
      <c r="G18" s="173" t="n">
        <f aca="false">IF($A18="","",MAX($E18-$D18,0))</f>
        <v>0</v>
      </c>
      <c r="H18" s="172" t="str">
        <f aca="false">IF($A18="","",IF($F18&gt;0,"Saldo Debit",IF($G18&gt;0,"Saldo Kredit","Zero")))</f>
        <v>Zero</v>
      </c>
      <c r="I18" s="172" t="str">
        <f aca="false">IF($A18="","",IFERROR(VLOOKUP($A18,PLANI_LLOGARIVE!$A$2:$I$500,9,FALSE()),""))</f>
        <v>Debit/Credit</v>
      </c>
      <c r="J18" s="101" t="str">
        <f aca="false">IF(A18="","",IF(OR(H18="Zero",I18="Debit/Credit"),"",IF(OR(AND(H18="Saldo Debit",I18="Debit"),AND(H18="Saldo Kredit",OR(I18="Credit",I18="Kredit"))),"","⚠️ JO NORMALE")))</f>
        <v/>
      </c>
    </row>
    <row r="19" customFormat="false" ht="12.75" hidden="false" customHeight="true" outlineLevel="0" collapsed="false">
      <c r="A19" s="174" t="str">
        <f aca="false">IF(AND(PLANI_LLOGARIVE!$A13&lt;&gt;"",PLANI_LLOGARIVE!$J13=TRUE()),PLANI_LLOGARIVE!$A13&amp;"","")</f>
        <v/>
      </c>
      <c r="B19" s="174" t="str">
        <f aca="false">IF($A19="","",IFERROR(VLOOKUP($A19,PLANI_LLOGARIVE!$A$2:$I$500,2,FALSE()),""))</f>
        <v/>
      </c>
      <c r="C19" s="174" t="str">
        <f aca="false">IF($A19="","",IFERROR(VLOOKUP($A19,PLANI_LLOGARIVE!$A$2:$I$500,4,FALSE()),""))</f>
        <v/>
      </c>
      <c r="D19" s="175" t="str">
        <f aca="false">IF($A19="","",SUMIFS(DITARI!$F$6:$F$550,DITARI!$D$6:$D$550,$A19))</f>
        <v/>
      </c>
      <c r="E19" s="175" t="str">
        <f aca="false">IF($A19="","",SUMIFS(DITARI!$G$6:$G$550,DITARI!$D$6:$D$550,$A19))</f>
        <v/>
      </c>
      <c r="F19" s="175" t="str">
        <f aca="false">IF($A19="","",MAX($D19-$E19,0))</f>
        <v/>
      </c>
      <c r="G19" s="175" t="str">
        <f aca="false">IF($A19="","",MAX($E19-$D19,0))</f>
        <v/>
      </c>
      <c r="H19" s="174" t="str">
        <f aca="false">IF($A19="","",IF($F19&gt;0,"Saldo Debit",IF($G19&gt;0,"Saldo Kredit","Zero")))</f>
        <v/>
      </c>
      <c r="I19" s="174" t="str">
        <f aca="false">IF($A19="","",IFERROR(VLOOKUP($A19,PLANI_LLOGARIVE!$A$2:$I$500,9,FALSE()),""))</f>
        <v/>
      </c>
      <c r="J19" s="101" t="str">
        <f aca="false">IF(A19="","",IF(OR(H19="Zero",I19="Debit/Credit"),"",IF(OR(AND(H19="Saldo Debit",I19="Debit"),AND(H19="Saldo Kredit",OR(I19="Credit",I19="Kredit"))),"","⚠️ JO NORMALE")))</f>
        <v/>
      </c>
    </row>
    <row r="20" customFormat="false" ht="12.75" hidden="false" customHeight="true" outlineLevel="0" collapsed="false">
      <c r="A20" s="172" t="str">
        <f aca="false">IF(AND(PLANI_LLOGARIVE!$A14&lt;&gt;"",PLANI_LLOGARIVE!$J14=TRUE()),PLANI_LLOGARIVE!$A14&amp;"","")</f>
        <v/>
      </c>
      <c r="B20" s="172" t="str">
        <f aca="false">IF($A20="","",IFERROR(VLOOKUP($A20,PLANI_LLOGARIVE!$A$2:$I$500,2,FALSE()),""))</f>
        <v/>
      </c>
      <c r="C20" s="172" t="str">
        <f aca="false">IF($A20="","",IFERROR(VLOOKUP($A20,PLANI_LLOGARIVE!$A$2:$I$500,4,FALSE()),""))</f>
        <v/>
      </c>
      <c r="D20" s="173" t="str">
        <f aca="false">IF($A20="","",SUMIFS(DITARI!$F$6:$F$550,DITARI!$D$6:$D$550,$A20))</f>
        <v/>
      </c>
      <c r="E20" s="173" t="str">
        <f aca="false">IF($A20="","",SUMIFS(DITARI!$G$6:$G$550,DITARI!$D$6:$D$550,$A20))</f>
        <v/>
      </c>
      <c r="F20" s="173" t="str">
        <f aca="false">IF($A20="","",MAX($D20-$E20,0))</f>
        <v/>
      </c>
      <c r="G20" s="173" t="str">
        <f aca="false">IF($A20="","",MAX($E20-$D20,0))</f>
        <v/>
      </c>
      <c r="H20" s="172" t="str">
        <f aca="false">IF($A20="","",IF($F20&gt;0,"Saldo Debit",IF($G20&gt;0,"Saldo Kredit","Zero")))</f>
        <v/>
      </c>
      <c r="I20" s="172" t="str">
        <f aca="false">IF($A20="","",IFERROR(VLOOKUP($A20,PLANI_LLOGARIVE!$A$2:$I$500,9,FALSE()),""))</f>
        <v/>
      </c>
      <c r="J20" s="101" t="str">
        <f aca="false">IF(A20="","",IF(OR(H20="Zero",I20="Debit/Credit"),"",IF(OR(AND(H20="Saldo Debit",I20="Debit"),AND(H20="Saldo Kredit",OR(I20="Credit",I20="Kredit"))),"","⚠️ JO NORMALE")))</f>
        <v/>
      </c>
    </row>
    <row r="21" customFormat="false" ht="12.75" hidden="false" customHeight="true" outlineLevel="0" collapsed="false">
      <c r="A21" s="174" t="str">
        <f aca="false">IF(AND(PLANI_LLOGARIVE!$A15&lt;&gt;"",PLANI_LLOGARIVE!$J15=TRUE()),PLANI_LLOGARIVE!$A15&amp;"","")</f>
        <v>201</v>
      </c>
      <c r="B21" s="174" t="str">
        <f aca="false">IF($A21="","",IFERROR(VLOOKUP($A21,PLANI_LLOGARIVE!$A$2:$I$500,2,FALSE()),""))</f>
        <v>Emri i mirë</v>
      </c>
      <c r="C21" s="174" t="str">
        <f aca="false">IF($A21="","",IFERROR(VLOOKUP($A21,PLANI_LLOGARIVE!$A$2:$I$500,4,FALSE()),""))</f>
        <v>2</v>
      </c>
      <c r="D21" s="175" t="n">
        <f aca="false">IF($A21="","",SUMIFS(DITARI!$F$6:$F$550,DITARI!$D$6:$D$550,$A21))</f>
        <v>0</v>
      </c>
      <c r="E21" s="175" t="n">
        <f aca="false">IF($A21="","",SUMIFS(DITARI!$G$6:$G$550,DITARI!$D$6:$D$550,$A21))</f>
        <v>0</v>
      </c>
      <c r="F21" s="175" t="n">
        <f aca="false">IF($A21="","",MAX($D21-$E21,0))</f>
        <v>0</v>
      </c>
      <c r="G21" s="175" t="n">
        <f aca="false">IF($A21="","",MAX($E21-$D21,0))</f>
        <v>0</v>
      </c>
      <c r="H21" s="174" t="str">
        <f aca="false">IF($A21="","",IF($F21&gt;0,"Saldo Debit",IF($G21&gt;0,"Saldo Kredit","Zero")))</f>
        <v>Zero</v>
      </c>
      <c r="I21" s="174" t="str">
        <f aca="false">IF($A21="","",IFERROR(VLOOKUP($A21,PLANI_LLOGARIVE!$A$2:$I$500,9,FALSE()),""))</f>
        <v>Debit</v>
      </c>
      <c r="J21" s="101" t="str">
        <f aca="false">IF(A21="","",IF(OR(H21="Zero",I21="Debit/Credit"),"",IF(OR(AND(H21="Saldo Debit",I21="Debit"),AND(H21="Saldo Kredit",OR(I21="Credit",I21="Kredit"))),"","⚠️ JO NORMALE")))</f>
        <v/>
      </c>
    </row>
    <row r="22" customFormat="false" ht="12.75" hidden="false" customHeight="true" outlineLevel="0" collapsed="false">
      <c r="A22" s="172" t="str">
        <f aca="false">IF(AND(PLANI_LLOGARIVE!$A16&lt;&gt;"",PLANI_LLOGARIVE!$J16=TRUE()),PLANI_LLOGARIVE!$A16&amp;"","")</f>
        <v>203</v>
      </c>
      <c r="B22" s="172" t="str">
        <f aca="false">IF($A22="","",IFERROR(VLOOKUP($A22,PLANI_LLOGARIVE!$A$2:$I$500,2,FALSE()),""))</f>
        <v>Shpenzime zhvillimi</v>
      </c>
      <c r="C22" s="172" t="str">
        <f aca="false">IF($A22="","",IFERROR(VLOOKUP($A22,PLANI_LLOGARIVE!$A$2:$I$500,4,FALSE()),""))</f>
        <v>2</v>
      </c>
      <c r="D22" s="173" t="n">
        <f aca="false">IF($A22="","",SUMIFS(DITARI!$F$6:$F$550,DITARI!$D$6:$D$550,$A22))</f>
        <v>0</v>
      </c>
      <c r="E22" s="173" t="n">
        <f aca="false">IF($A22="","",SUMIFS(DITARI!$G$6:$G$550,DITARI!$D$6:$D$550,$A22))</f>
        <v>0</v>
      </c>
      <c r="F22" s="173" t="n">
        <f aca="false">IF($A22="","",MAX($D22-$E22,0))</f>
        <v>0</v>
      </c>
      <c r="G22" s="173" t="n">
        <f aca="false">IF($A22="","",MAX($E22-$D22,0))</f>
        <v>0</v>
      </c>
      <c r="H22" s="172" t="str">
        <f aca="false">IF($A22="","",IF($F22&gt;0,"Saldo Debit",IF($G22&gt;0,"Saldo Kredit","Zero")))</f>
        <v>Zero</v>
      </c>
      <c r="I22" s="172" t="str">
        <f aca="false">IF($A22="","",IFERROR(VLOOKUP($A22,PLANI_LLOGARIVE!$A$2:$I$500,9,FALSE()),""))</f>
        <v>Debit</v>
      </c>
      <c r="J22" s="101" t="str">
        <f aca="false">IF(A22="","",IF(OR(H22="Zero",I22="Debit/Credit"),"",IF(OR(AND(H22="Saldo Debit",I22="Debit"),AND(H22="Saldo Kredit",OR(I22="Credit",I22="Kredit"))),"","⚠️ JO NORMALE")))</f>
        <v/>
      </c>
    </row>
    <row r="23" customFormat="false" ht="12.75" hidden="false" customHeight="true" outlineLevel="0" collapsed="false">
      <c r="A23" s="174" t="str">
        <f aca="false">IF(AND(PLANI_LLOGARIVE!$A17&lt;&gt;"",PLANI_LLOGARIVE!$J17=TRUE()),PLANI_LLOGARIVE!$A17&amp;"","")</f>
        <v>205</v>
      </c>
      <c r="B23" s="174" t="str">
        <f aca="false">IF($A23="","",IFERROR(VLOOKUP($A23,PLANI_LLOGARIVE!$A$2:$I$500,2,FALSE()),""))</f>
        <v>Koncesione, patenta, licenca</v>
      </c>
      <c r="C23" s="174" t="str">
        <f aca="false">IF($A23="","",IFERROR(VLOOKUP($A23,PLANI_LLOGARIVE!$A$2:$I$500,4,FALSE()),""))</f>
        <v>2</v>
      </c>
      <c r="D23" s="175" t="n">
        <f aca="false">IF($A23="","",SUMIFS(DITARI!$F$6:$F$550,DITARI!$D$6:$D$550,$A23))</f>
        <v>0</v>
      </c>
      <c r="E23" s="175" t="n">
        <f aca="false">IF($A23="","",SUMIFS(DITARI!$G$6:$G$550,DITARI!$D$6:$D$550,$A23))</f>
        <v>0</v>
      </c>
      <c r="F23" s="175" t="n">
        <f aca="false">IF($A23="","",MAX($D23-$E23,0))</f>
        <v>0</v>
      </c>
      <c r="G23" s="175" t="n">
        <f aca="false">IF($A23="","",MAX($E23-$D23,0))</f>
        <v>0</v>
      </c>
      <c r="H23" s="174" t="str">
        <f aca="false">IF($A23="","",IF($F23&gt;0,"Saldo Debit",IF($G23&gt;0,"Saldo Kredit","Zero")))</f>
        <v>Zero</v>
      </c>
      <c r="I23" s="174" t="str">
        <f aca="false">IF($A23="","",IFERROR(VLOOKUP($A23,PLANI_LLOGARIVE!$A$2:$I$500,9,FALSE()),""))</f>
        <v>Debit</v>
      </c>
      <c r="J23" s="101" t="str">
        <f aca="false">IF(A23="","",IF(OR(H23="Zero",I23="Debit/Credit"),"",IF(OR(AND(H23="Saldo Debit",I23="Debit"),AND(H23="Saldo Kredit",OR(I23="Credit",I23="Kredit"))),"","⚠️ JO NORMALE")))</f>
        <v/>
      </c>
    </row>
    <row r="24" customFormat="false" ht="12.75" hidden="false" customHeight="true" outlineLevel="0" collapsed="false">
      <c r="A24" s="172" t="str">
        <f aca="false">IF(AND(PLANI_LLOGARIVE!$A18&lt;&gt;"",PLANI_LLOGARIVE!$J18=TRUE()),PLANI_LLOGARIVE!$A18&amp;"","")</f>
        <v>208</v>
      </c>
      <c r="B24" s="172" t="str">
        <f aca="false">IF($A24="","",IFERROR(VLOOKUP($A24,PLANI_LLOGARIVE!$A$2:$I$500,2,FALSE()),""))</f>
        <v>Të tjera AAM jomateriale</v>
      </c>
      <c r="C24" s="172" t="str">
        <f aca="false">IF($A24="","",IFERROR(VLOOKUP($A24,PLANI_LLOGARIVE!$A$2:$I$500,4,FALSE()),""))</f>
        <v>2</v>
      </c>
      <c r="D24" s="173" t="n">
        <f aca="false">IF($A24="","",SUMIFS(DITARI!$F$6:$F$550,DITARI!$D$6:$D$550,$A24))</f>
        <v>0</v>
      </c>
      <c r="E24" s="173" t="n">
        <f aca="false">IF($A24="","",SUMIFS(DITARI!$G$6:$G$550,DITARI!$D$6:$D$550,$A24))</f>
        <v>0</v>
      </c>
      <c r="F24" s="173" t="n">
        <f aca="false">IF($A24="","",MAX($D24-$E24,0))</f>
        <v>0</v>
      </c>
      <c r="G24" s="173" t="n">
        <f aca="false">IF($A24="","",MAX($E24-$D24,0))</f>
        <v>0</v>
      </c>
      <c r="H24" s="172" t="str">
        <f aca="false">IF($A24="","",IF($F24&gt;0,"Saldo Debit",IF($G24&gt;0,"Saldo Kredit","Zero")))</f>
        <v>Zero</v>
      </c>
      <c r="I24" s="172" t="str">
        <f aca="false">IF($A24="","",IFERROR(VLOOKUP($A24,PLANI_LLOGARIVE!$A$2:$I$500,9,FALSE()),""))</f>
        <v>Debit</v>
      </c>
      <c r="J24" s="101" t="str">
        <f aca="false">IF(A24="","",IF(OR(H24="Zero",I24="Debit/Credit"),"",IF(OR(AND(H24="Saldo Debit",I24="Debit"),AND(H24="Saldo Kredit",OR(I24="Credit",I24="Kredit"))),"","⚠️ JO NORMALE")))</f>
        <v/>
      </c>
    </row>
    <row r="25" customFormat="false" ht="12.75" hidden="false" customHeight="true" outlineLevel="0" collapsed="false">
      <c r="A25" s="174" t="str">
        <f aca="false">IF(AND(PLANI_LLOGARIVE!$A19&lt;&gt;"",PLANI_LLOGARIVE!$J19=TRUE()),PLANI_LLOGARIVE!$A19&amp;"","")</f>
        <v/>
      </c>
      <c r="B25" s="174" t="str">
        <f aca="false">IF($A25="","",IFERROR(VLOOKUP($A25,PLANI_LLOGARIVE!$A$2:$I$500,2,FALSE()),""))</f>
        <v/>
      </c>
      <c r="C25" s="174" t="str">
        <f aca="false">IF($A25="","",IFERROR(VLOOKUP($A25,PLANI_LLOGARIVE!$A$2:$I$500,4,FALSE()),""))</f>
        <v/>
      </c>
      <c r="D25" s="175" t="str">
        <f aca="false">IF($A25="","",SUMIFS(DITARI!$F$6:$F$550,DITARI!$D$6:$D$550,$A25))</f>
        <v/>
      </c>
      <c r="E25" s="175" t="str">
        <f aca="false">IF($A25="","",SUMIFS(DITARI!$G$6:$G$550,DITARI!$D$6:$D$550,$A25))</f>
        <v/>
      </c>
      <c r="F25" s="175" t="str">
        <f aca="false">IF($A25="","",MAX($D25-$E25,0))</f>
        <v/>
      </c>
      <c r="G25" s="175" t="str">
        <f aca="false">IF($A25="","",MAX($E25-$D25,0))</f>
        <v/>
      </c>
      <c r="H25" s="174" t="str">
        <f aca="false">IF($A25="","",IF($F25&gt;0,"Saldo Debit",IF($G25&gt;0,"Saldo Kredit","Zero")))</f>
        <v/>
      </c>
      <c r="I25" s="174" t="str">
        <f aca="false">IF($A25="","",IFERROR(VLOOKUP($A25,PLANI_LLOGARIVE!$A$2:$I$500,9,FALSE()),""))</f>
        <v/>
      </c>
      <c r="J25" s="101" t="str">
        <f aca="false">IF(A25="","",IF(OR(H25="Zero",I25="Debit/Credit"),"",IF(OR(AND(H25="Saldo Debit",I25="Debit"),AND(H25="Saldo Kredit",OR(I25="Credit",I25="Kredit"))),"","⚠️ JO NORMALE")))</f>
        <v/>
      </c>
    </row>
    <row r="26" customFormat="false" ht="12.75" hidden="false" customHeight="true" outlineLevel="0" collapsed="false">
      <c r="A26" s="172" t="str">
        <f aca="false">IF(AND(PLANI_LLOGARIVE!$A20&lt;&gt;"",PLANI_LLOGARIVE!$J20=TRUE()),PLANI_LLOGARIVE!$A20&amp;"","")</f>
        <v>211</v>
      </c>
      <c r="B26" s="172" t="str">
        <f aca="false">IF($A26="","",IFERROR(VLOOKUP($A26,PLANI_LLOGARIVE!$A$2:$I$500,2,FALSE()),""))</f>
        <v>Toka</v>
      </c>
      <c r="C26" s="172" t="str">
        <f aca="false">IF($A26="","",IFERROR(VLOOKUP($A26,PLANI_LLOGARIVE!$A$2:$I$500,4,FALSE()),""))</f>
        <v>2</v>
      </c>
      <c r="D26" s="173" t="n">
        <f aca="false">IF($A26="","",SUMIFS(DITARI!$F$6:$F$550,DITARI!$D$6:$D$550,$A26))</f>
        <v>0</v>
      </c>
      <c r="E26" s="173" t="n">
        <f aca="false">IF($A26="","",SUMIFS(DITARI!$G$6:$G$550,DITARI!$D$6:$D$550,$A26))</f>
        <v>0</v>
      </c>
      <c r="F26" s="173" t="n">
        <f aca="false">IF($A26="","",MAX($D26-$E26,0))</f>
        <v>0</v>
      </c>
      <c r="G26" s="173" t="n">
        <f aca="false">IF($A26="","",MAX($E26-$D26,0))</f>
        <v>0</v>
      </c>
      <c r="H26" s="172" t="str">
        <f aca="false">IF($A26="","",IF($F26&gt;0,"Saldo Debit",IF($G26&gt;0,"Saldo Kredit","Zero")))</f>
        <v>Zero</v>
      </c>
      <c r="I26" s="172" t="str">
        <f aca="false">IF($A26="","",IFERROR(VLOOKUP($A26,PLANI_LLOGARIVE!$A$2:$I$500,9,FALSE()),""))</f>
        <v>Debit</v>
      </c>
      <c r="J26" s="101" t="str">
        <f aca="false">IF(A26="","",IF(OR(H26="Zero",I26="Debit/Credit"),"",IF(OR(AND(H26="Saldo Debit",I26="Debit"),AND(H26="Saldo Kredit",OR(I26="Credit",I26="Kredit"))),"","⚠️ JO NORMALE")))</f>
        <v/>
      </c>
    </row>
    <row r="27" customFormat="false" ht="12.75" hidden="false" customHeight="true" outlineLevel="0" collapsed="false">
      <c r="A27" s="174" t="str">
        <f aca="false">IF(AND(PLANI_LLOGARIVE!$A21&lt;&gt;"",PLANI_LLOGARIVE!$J21=TRUE()),PLANI_LLOGARIVE!$A21&amp;"","")</f>
        <v>212</v>
      </c>
      <c r="B27" s="174" t="str">
        <f aca="false">IF($A27="","",IFERROR(VLOOKUP($A27,PLANI_LLOGARIVE!$A$2:$I$500,2,FALSE()),""))</f>
        <v>Ndërtesa</v>
      </c>
      <c r="C27" s="174" t="str">
        <f aca="false">IF($A27="","",IFERROR(VLOOKUP($A27,PLANI_LLOGARIVE!$A$2:$I$500,4,FALSE()),""))</f>
        <v>2</v>
      </c>
      <c r="D27" s="175" t="n">
        <f aca="false">IF($A27="","",SUMIFS(DITARI!$F$6:$F$550,DITARI!$D$6:$D$550,$A27))</f>
        <v>0</v>
      </c>
      <c r="E27" s="175" t="n">
        <f aca="false">IF($A27="","",SUMIFS(DITARI!$G$6:$G$550,DITARI!$D$6:$D$550,$A27))</f>
        <v>0</v>
      </c>
      <c r="F27" s="175" t="n">
        <f aca="false">IF($A27="","",MAX($D27-$E27,0))</f>
        <v>0</v>
      </c>
      <c r="G27" s="175" t="n">
        <f aca="false">IF($A27="","",MAX($E27-$D27,0))</f>
        <v>0</v>
      </c>
      <c r="H27" s="174" t="str">
        <f aca="false">IF($A27="","",IF($F27&gt;0,"Saldo Debit",IF($G27&gt;0,"Saldo Kredit","Zero")))</f>
        <v>Zero</v>
      </c>
      <c r="I27" s="174" t="str">
        <f aca="false">IF($A27="","",IFERROR(VLOOKUP($A27,PLANI_LLOGARIVE!$A$2:$I$500,9,FALSE()),""))</f>
        <v>Debit</v>
      </c>
      <c r="J27" s="101" t="str">
        <f aca="false">IF(A27="","",IF(OR(H27="Zero",I27="Debit/Credit"),"",IF(OR(AND(H27="Saldo Debit",I27="Debit"),AND(H27="Saldo Kredit",OR(I27="Credit",I27="Kredit"))),"","⚠️ JO NORMALE")))</f>
        <v/>
      </c>
    </row>
    <row r="28" customFormat="false" ht="12.75" hidden="false" customHeight="true" outlineLevel="0" collapsed="false">
      <c r="A28" s="172" t="str">
        <f aca="false">IF(AND(PLANI_LLOGARIVE!$A22&lt;&gt;"",PLANI_LLOGARIVE!$J22=TRUE()),PLANI_LLOGARIVE!$A22&amp;"","")</f>
        <v>213</v>
      </c>
      <c r="B28" s="172" t="str">
        <f aca="false">IF($A28="","",IFERROR(VLOOKUP($A28,PLANI_LLOGARIVE!$A$2:$I$500,2,FALSE()),""))</f>
        <v>Instalime teknike, makineri, pajisje</v>
      </c>
      <c r="C28" s="172" t="str">
        <f aca="false">IF($A28="","",IFERROR(VLOOKUP($A28,PLANI_LLOGARIVE!$A$2:$I$500,4,FALSE()),""))</f>
        <v>2</v>
      </c>
      <c r="D28" s="173" t="n">
        <f aca="false">IF($A28="","",SUMIFS(DITARI!$F$6:$F$550,DITARI!$D$6:$D$550,$A28))</f>
        <v>0</v>
      </c>
      <c r="E28" s="173" t="n">
        <f aca="false">IF($A28="","",SUMIFS(DITARI!$G$6:$G$550,DITARI!$D$6:$D$550,$A28))</f>
        <v>0</v>
      </c>
      <c r="F28" s="173" t="n">
        <f aca="false">IF($A28="","",MAX($D28-$E28,0))</f>
        <v>0</v>
      </c>
      <c r="G28" s="173" t="n">
        <f aca="false">IF($A28="","",MAX($E28-$D28,0))</f>
        <v>0</v>
      </c>
      <c r="H28" s="172" t="str">
        <f aca="false">IF($A28="","",IF($F28&gt;0,"Saldo Debit",IF($G28&gt;0,"Saldo Kredit","Zero")))</f>
        <v>Zero</v>
      </c>
      <c r="I28" s="172" t="str">
        <f aca="false">IF($A28="","",IFERROR(VLOOKUP($A28,PLANI_LLOGARIVE!$A$2:$I$500,9,FALSE()),""))</f>
        <v>Debit</v>
      </c>
      <c r="J28" s="101" t="str">
        <f aca="false">IF(A28="","",IF(OR(H28="Zero",I28="Debit/Credit"),"",IF(OR(AND(H28="Saldo Debit",I28="Debit"),AND(H28="Saldo Kredit",OR(I28="Credit",I28="Kredit"))),"","⚠️ JO NORMALE")))</f>
        <v/>
      </c>
    </row>
    <row r="29" customFormat="false" ht="12.75" hidden="false" customHeight="true" outlineLevel="0" collapsed="false">
      <c r="A29" s="174" t="str">
        <f aca="false">IF(AND(PLANI_LLOGARIVE!$A23&lt;&gt;"",PLANI_LLOGARIVE!$J23=TRUE()),PLANI_LLOGARIVE!$A23&amp;"","")</f>
        <v>215</v>
      </c>
      <c r="B29" s="174" t="str">
        <f aca="false">IF($A29="","",IFERROR(VLOOKUP($A29,PLANI_LLOGARIVE!$A$2:$I$500,2,FALSE()),""))</f>
        <v>Mjete transporti</v>
      </c>
      <c r="C29" s="174" t="str">
        <f aca="false">IF($A29="","",IFERROR(VLOOKUP($A29,PLANI_LLOGARIVE!$A$2:$I$500,4,FALSE()),""))</f>
        <v>2</v>
      </c>
      <c r="D29" s="175" t="n">
        <f aca="false">IF($A29="","",SUMIFS(DITARI!$F$6:$F$550,DITARI!$D$6:$D$550,$A29))</f>
        <v>0</v>
      </c>
      <c r="E29" s="175" t="n">
        <f aca="false">IF($A29="","",SUMIFS(DITARI!$G$6:$G$550,DITARI!$D$6:$D$550,$A29))</f>
        <v>0</v>
      </c>
      <c r="F29" s="175" t="n">
        <f aca="false">IF($A29="","",MAX($D29-$E29,0))</f>
        <v>0</v>
      </c>
      <c r="G29" s="175" t="n">
        <f aca="false">IF($A29="","",MAX($E29-$D29,0))</f>
        <v>0</v>
      </c>
      <c r="H29" s="174" t="str">
        <f aca="false">IF($A29="","",IF($F29&gt;0,"Saldo Debit",IF($G29&gt;0,"Saldo Kredit","Zero")))</f>
        <v>Zero</v>
      </c>
      <c r="I29" s="174" t="str">
        <f aca="false">IF($A29="","",IFERROR(VLOOKUP($A29,PLANI_LLOGARIVE!$A$2:$I$500,9,FALSE()),""))</f>
        <v>Debit</v>
      </c>
      <c r="J29" s="101" t="str">
        <f aca="false">IF(A29="","",IF(OR(H29="Zero",I29="Debit/Credit"),"",IF(OR(AND(H29="Saldo Debit",I29="Debit"),AND(H29="Saldo Kredit",OR(I29="Credit",I29="Kredit"))),"","⚠️ JO NORMALE")))</f>
        <v/>
      </c>
    </row>
    <row r="30" customFormat="false" ht="12.75" hidden="false" customHeight="true" outlineLevel="0" collapsed="false">
      <c r="A30" s="172" t="str">
        <f aca="false">IF(AND(PLANI_LLOGARIVE!$A24&lt;&gt;"",PLANI_LLOGARIVE!$J24=TRUE()),PLANI_LLOGARIVE!$A24&amp;"","")</f>
        <v>218</v>
      </c>
      <c r="B30" s="172" t="str">
        <f aca="false">IF($A30="","",IFERROR(VLOOKUP($A30,PLANI_LLOGARIVE!$A$2:$I$500,2,FALSE()),""))</f>
        <v>Të tjera AAM materiale</v>
      </c>
      <c r="C30" s="172" t="str">
        <f aca="false">IF($A30="","",IFERROR(VLOOKUP($A30,PLANI_LLOGARIVE!$A$2:$I$500,4,FALSE()),""))</f>
        <v>2</v>
      </c>
      <c r="D30" s="173" t="n">
        <f aca="false">IF($A30="","",SUMIFS(DITARI!$F$6:$F$550,DITARI!$D$6:$D$550,$A30))</f>
        <v>0</v>
      </c>
      <c r="E30" s="173" t="n">
        <f aca="false">IF($A30="","",SUMIFS(DITARI!$G$6:$G$550,DITARI!$D$6:$D$550,$A30))</f>
        <v>0</v>
      </c>
      <c r="F30" s="173" t="n">
        <f aca="false">IF($A30="","",MAX($D30-$E30,0))</f>
        <v>0</v>
      </c>
      <c r="G30" s="173" t="n">
        <f aca="false">IF($A30="","",MAX($E30-$D30,0))</f>
        <v>0</v>
      </c>
      <c r="H30" s="172" t="str">
        <f aca="false">IF($A30="","",IF($F30&gt;0,"Saldo Debit",IF($G30&gt;0,"Saldo Kredit","Zero")))</f>
        <v>Zero</v>
      </c>
      <c r="I30" s="172" t="str">
        <f aca="false">IF($A30="","",IFERROR(VLOOKUP($A30,PLANI_LLOGARIVE!$A$2:$I$500,9,FALSE()),""))</f>
        <v>Debit</v>
      </c>
      <c r="J30" s="101" t="str">
        <f aca="false">IF(A30="","",IF(OR(H30="Zero",I30="Debit/Credit"),"",IF(OR(AND(H30="Saldo Debit",I30="Debit"),AND(H30="Saldo Kredit",OR(I30="Credit",I30="Kredit"))),"","⚠️ JO NORMALE")))</f>
        <v/>
      </c>
    </row>
    <row r="31" customFormat="false" ht="12.75" hidden="false" customHeight="true" outlineLevel="0" collapsed="false">
      <c r="A31" s="174" t="str">
        <f aca="false">IF(AND(PLANI_LLOGARIVE!$A25&lt;&gt;"",PLANI_LLOGARIVE!$J25=TRUE()),PLANI_LLOGARIVE!$A25&amp;"","")</f>
        <v/>
      </c>
      <c r="B31" s="174" t="str">
        <f aca="false">IF($A31="","",IFERROR(VLOOKUP($A31,PLANI_LLOGARIVE!$A$2:$I$500,2,FALSE()),""))</f>
        <v/>
      </c>
      <c r="C31" s="174" t="str">
        <f aca="false">IF($A31="","",IFERROR(VLOOKUP($A31,PLANI_LLOGARIVE!$A$2:$I$500,4,FALSE()),""))</f>
        <v/>
      </c>
      <c r="D31" s="175" t="str">
        <f aca="false">IF($A31="","",SUMIFS(DITARI!$F$6:$F$550,DITARI!$D$6:$D$550,$A31))</f>
        <v/>
      </c>
      <c r="E31" s="175" t="str">
        <f aca="false">IF($A31="","",SUMIFS(DITARI!$G$6:$G$550,DITARI!$D$6:$D$550,$A31))</f>
        <v/>
      </c>
      <c r="F31" s="175" t="str">
        <f aca="false">IF($A31="","",MAX($D31-$E31,0))</f>
        <v/>
      </c>
      <c r="G31" s="175" t="str">
        <f aca="false">IF($A31="","",MAX($E31-$D31,0))</f>
        <v/>
      </c>
      <c r="H31" s="174" t="str">
        <f aca="false">IF($A31="","",IF($F31&gt;0,"Saldo Debit",IF($G31&gt;0,"Saldo Kredit","Zero")))</f>
        <v/>
      </c>
      <c r="I31" s="174" t="str">
        <f aca="false">IF($A31="","",IFERROR(VLOOKUP($A31,PLANI_LLOGARIVE!$A$2:$I$500,9,FALSE()),""))</f>
        <v/>
      </c>
      <c r="J31" s="101" t="str">
        <f aca="false">IF(A31="","",IF(OR(H31="Zero",I31="Debit/Credit"),"",IF(OR(AND(H31="Saldo Debit",I31="Debit"),AND(H31="Saldo Kredit",OR(I31="Credit",I31="Kredit"))),"","⚠️ JO NORMALE")))</f>
        <v/>
      </c>
    </row>
    <row r="32" customFormat="false" ht="12.75" hidden="false" customHeight="true" outlineLevel="0" collapsed="false">
      <c r="A32" s="172" t="str">
        <f aca="false">IF(AND(PLANI_LLOGARIVE!$A26&lt;&gt;"",PLANI_LLOGARIVE!$J26=TRUE()),PLANI_LLOGARIVE!$A26&amp;"","")</f>
        <v>231</v>
      </c>
      <c r="B32" s="172" t="str">
        <f aca="false">IF($A32="","",IFERROR(VLOOKUP($A32,PLANI_LLOGARIVE!$A$2:$I$500,2,FALSE()),""))</f>
        <v>AAM materiale në proces</v>
      </c>
      <c r="C32" s="172" t="str">
        <f aca="false">IF($A32="","",IFERROR(VLOOKUP($A32,PLANI_LLOGARIVE!$A$2:$I$500,4,FALSE()),""))</f>
        <v>2</v>
      </c>
      <c r="D32" s="173" t="n">
        <f aca="false">IF($A32="","",SUMIFS(DITARI!$F$6:$F$550,DITARI!$D$6:$D$550,$A32))</f>
        <v>0</v>
      </c>
      <c r="E32" s="173" t="n">
        <f aca="false">IF($A32="","",SUMIFS(DITARI!$G$6:$G$550,DITARI!$D$6:$D$550,$A32))</f>
        <v>0</v>
      </c>
      <c r="F32" s="173" t="n">
        <f aca="false">IF($A32="","",MAX($D32-$E32,0))</f>
        <v>0</v>
      </c>
      <c r="G32" s="173" t="n">
        <f aca="false">IF($A32="","",MAX($E32-$D32,0))</f>
        <v>0</v>
      </c>
      <c r="H32" s="172" t="str">
        <f aca="false">IF($A32="","",IF($F32&gt;0,"Saldo Debit",IF($G32&gt;0,"Saldo Kredit","Zero")))</f>
        <v>Zero</v>
      </c>
      <c r="I32" s="172" t="str">
        <f aca="false">IF($A32="","",IFERROR(VLOOKUP($A32,PLANI_LLOGARIVE!$A$2:$I$500,9,FALSE()),""))</f>
        <v>Debit</v>
      </c>
      <c r="J32" s="101" t="str">
        <f aca="false">IF(A32="","",IF(OR(H32="Zero",I32="Debit/Credit"),"",IF(OR(AND(H32="Saldo Debit",I32="Debit"),AND(H32="Saldo Kredit",OR(I32="Credit",I32="Kredit"))),"","⚠️ JO NORMALE")))</f>
        <v/>
      </c>
    </row>
    <row r="33" customFormat="false" ht="12.75" hidden="false" customHeight="true" outlineLevel="0" collapsed="false">
      <c r="A33" s="174" t="str">
        <f aca="false">IF(AND(PLANI_LLOGARIVE!$A27&lt;&gt;"",PLANI_LLOGARIVE!$J27=TRUE()),PLANI_LLOGARIVE!$A27&amp;"","")</f>
        <v>232</v>
      </c>
      <c r="B33" s="174" t="str">
        <f aca="false">IF($A33="","",IFERROR(VLOOKUP($A33,PLANI_LLOGARIVE!$A$2:$I$500,2,FALSE()),""))</f>
        <v>AAM jomateriale në proces</v>
      </c>
      <c r="C33" s="174" t="str">
        <f aca="false">IF($A33="","",IFERROR(VLOOKUP($A33,PLANI_LLOGARIVE!$A$2:$I$500,4,FALSE()),""))</f>
        <v>2</v>
      </c>
      <c r="D33" s="175" t="n">
        <f aca="false">IF($A33="","",SUMIFS(DITARI!$F$6:$F$550,DITARI!$D$6:$D$550,$A33))</f>
        <v>0</v>
      </c>
      <c r="E33" s="175" t="n">
        <f aca="false">IF($A33="","",SUMIFS(DITARI!$G$6:$G$550,DITARI!$D$6:$D$550,$A33))</f>
        <v>0</v>
      </c>
      <c r="F33" s="175" t="n">
        <f aca="false">IF($A33="","",MAX($D33-$E33,0))</f>
        <v>0</v>
      </c>
      <c r="G33" s="175" t="n">
        <f aca="false">IF($A33="","",MAX($E33-$D33,0))</f>
        <v>0</v>
      </c>
      <c r="H33" s="174" t="str">
        <f aca="false">IF($A33="","",IF($F33&gt;0,"Saldo Debit",IF($G33&gt;0,"Saldo Kredit","Zero")))</f>
        <v>Zero</v>
      </c>
      <c r="I33" s="174" t="str">
        <f aca="false">IF($A33="","",IFERROR(VLOOKUP($A33,PLANI_LLOGARIVE!$A$2:$I$500,9,FALSE()),""))</f>
        <v>Debit</v>
      </c>
      <c r="J33" s="101" t="str">
        <f aca="false">IF(A33="","",IF(OR(H33="Zero",I33="Debit/Credit"),"",IF(OR(AND(H33="Saldo Debit",I33="Debit"),AND(H33="Saldo Kredit",OR(I33="Credit",I33="Kredit"))),"","⚠️ JO NORMALE")))</f>
        <v/>
      </c>
    </row>
    <row r="34" customFormat="false" ht="12.75" hidden="false" customHeight="true" outlineLevel="0" collapsed="false">
      <c r="A34" s="172" t="str">
        <f aca="false">IF(AND(PLANI_LLOGARIVE!$A28&lt;&gt;"",PLANI_LLOGARIVE!$J28=TRUE()),PLANI_LLOGARIVE!$A28&amp;"","")</f>
        <v/>
      </c>
      <c r="B34" s="172" t="str">
        <f aca="false">IF($A34="","",IFERROR(VLOOKUP($A34,PLANI_LLOGARIVE!$A$2:$I$500,2,FALSE()),""))</f>
        <v/>
      </c>
      <c r="C34" s="172" t="str">
        <f aca="false">IF($A34="","",IFERROR(VLOOKUP($A34,PLANI_LLOGARIVE!$A$2:$I$500,4,FALSE()),""))</f>
        <v/>
      </c>
      <c r="D34" s="173" t="str">
        <f aca="false">IF($A34="","",SUMIFS(DITARI!$F$6:$F$550,DITARI!$D$6:$D$550,$A34))</f>
        <v/>
      </c>
      <c r="E34" s="173" t="str">
        <f aca="false">IF($A34="","",SUMIFS(DITARI!$G$6:$G$550,DITARI!$D$6:$D$550,$A34))</f>
        <v/>
      </c>
      <c r="F34" s="173" t="str">
        <f aca="false">IF($A34="","",MAX($D34-$E34,0))</f>
        <v/>
      </c>
      <c r="G34" s="173" t="str">
        <f aca="false">IF($A34="","",MAX($E34-$D34,0))</f>
        <v/>
      </c>
      <c r="H34" s="172" t="str">
        <f aca="false">IF($A34="","",IF($F34&gt;0,"Saldo Debit",IF($G34&gt;0,"Saldo Kredit","Zero")))</f>
        <v/>
      </c>
      <c r="I34" s="172" t="str">
        <f aca="false">IF($A34="","",IFERROR(VLOOKUP($A34,PLANI_LLOGARIVE!$A$2:$I$500,9,FALSE()),""))</f>
        <v/>
      </c>
      <c r="J34" s="101" t="str">
        <f aca="false">IF(A34="","",IF(OR(H34="Zero",I34="Debit/Credit"),"",IF(OR(AND(H34="Saldo Debit",I34="Debit"),AND(H34="Saldo Kredit",OR(I34="Credit",I34="Kredit"))),"","⚠️ JO NORMALE")))</f>
        <v/>
      </c>
    </row>
    <row r="35" customFormat="false" ht="12.75" hidden="false" customHeight="true" outlineLevel="0" collapsed="false">
      <c r="A35" s="174" t="str">
        <f aca="false">IF(AND(PLANI_LLOGARIVE!$A29&lt;&gt;"",PLANI_LLOGARIVE!$J29=TRUE()),PLANI_LLOGARIVE!$A29&amp;"","")</f>
        <v>280</v>
      </c>
      <c r="B35" s="174" t="str">
        <f aca="false">IF($A35="","",IFERROR(VLOOKUP($A35,PLANI_LLOGARIVE!$A$2:$I$500,2,FALSE()),""))</f>
        <v>Amortizimi i AA jomateriale</v>
      </c>
      <c r="C35" s="174" t="str">
        <f aca="false">IF($A35="","",IFERROR(VLOOKUP($A35,PLANI_LLOGARIVE!$A$2:$I$500,4,FALSE()),""))</f>
        <v>2</v>
      </c>
      <c r="D35" s="175" t="n">
        <f aca="false">IF($A35="","",SUMIFS(DITARI!$F$6:$F$550,DITARI!$D$6:$D$550,$A35))</f>
        <v>0</v>
      </c>
      <c r="E35" s="175" t="n">
        <f aca="false">IF($A35="","",SUMIFS(DITARI!$G$6:$G$550,DITARI!$D$6:$D$550,$A35))</f>
        <v>0</v>
      </c>
      <c r="F35" s="175" t="n">
        <f aca="false">IF($A35="","",MAX($D35-$E35,0))</f>
        <v>0</v>
      </c>
      <c r="G35" s="175" t="n">
        <f aca="false">IF($A35="","",MAX($E35-$D35,0))</f>
        <v>0</v>
      </c>
      <c r="H35" s="174" t="str">
        <f aca="false">IF($A35="","",IF($F35&gt;0,"Saldo Debit",IF($G35&gt;0,"Saldo Kredit","Zero")))</f>
        <v>Zero</v>
      </c>
      <c r="I35" s="174" t="str">
        <f aca="false">IF($A35="","",IFERROR(VLOOKUP($A35,PLANI_LLOGARIVE!$A$2:$I$500,9,FALSE()),""))</f>
        <v>Credit</v>
      </c>
      <c r="J35" s="101" t="str">
        <f aca="false">IF(A35="","",IF(OR(H35="Zero",I35="Debit/Credit"),"",IF(OR(AND(H35="Saldo Debit",I35="Debit"),AND(H35="Saldo Kredit",OR(I35="Credit",I35="Kredit"))),"","⚠️ JO NORMALE")))</f>
        <v/>
      </c>
    </row>
    <row r="36" customFormat="false" ht="12.75" hidden="false" customHeight="true" outlineLevel="0" collapsed="false">
      <c r="A36" s="172" t="str">
        <f aca="false">IF(AND(PLANI_LLOGARIVE!$A30&lt;&gt;"",PLANI_LLOGARIVE!$J30=TRUE()),PLANI_LLOGARIVE!$A30&amp;"","")</f>
        <v>281</v>
      </c>
      <c r="B36" s="172" t="str">
        <f aca="false">IF($A36="","",IFERROR(VLOOKUP($A36,PLANI_LLOGARIVE!$A$2:$I$500,2,FALSE()),""))</f>
        <v>Amortizimi i AA materiale</v>
      </c>
      <c r="C36" s="172" t="str">
        <f aca="false">IF($A36="","",IFERROR(VLOOKUP($A36,PLANI_LLOGARIVE!$A$2:$I$500,4,FALSE()),""))</f>
        <v>2</v>
      </c>
      <c r="D36" s="173" t="n">
        <f aca="false">IF($A36="","",SUMIFS(DITARI!$F$6:$F$550,DITARI!$D$6:$D$550,$A36))</f>
        <v>0</v>
      </c>
      <c r="E36" s="173" t="n">
        <f aca="false">IF($A36="","",SUMIFS(DITARI!$G$6:$G$550,DITARI!$D$6:$D$550,$A36))</f>
        <v>0</v>
      </c>
      <c r="F36" s="173" t="n">
        <f aca="false">IF($A36="","",MAX($D36-$E36,0))</f>
        <v>0</v>
      </c>
      <c r="G36" s="173" t="n">
        <f aca="false">IF($A36="","",MAX($E36-$D36,0))</f>
        <v>0</v>
      </c>
      <c r="H36" s="172" t="str">
        <f aca="false">IF($A36="","",IF($F36&gt;0,"Saldo Debit",IF($G36&gt;0,"Saldo Kredit","Zero")))</f>
        <v>Zero</v>
      </c>
      <c r="I36" s="172" t="str">
        <f aca="false">IF($A36="","",IFERROR(VLOOKUP($A36,PLANI_LLOGARIVE!$A$2:$I$500,9,FALSE()),""))</f>
        <v>Credit</v>
      </c>
      <c r="J36" s="101" t="str">
        <f aca="false">IF(A36="","",IF(OR(H36="Zero",I36="Debit/Credit"),"",IF(OR(AND(H36="Saldo Debit",I36="Debit"),AND(H36="Saldo Kredit",OR(I36="Credit",I36="Kredit"))),"","⚠️ JO NORMALE")))</f>
        <v/>
      </c>
    </row>
    <row r="37" customFormat="false" ht="12.75" hidden="false" customHeight="true" outlineLevel="0" collapsed="false">
      <c r="A37" s="174" t="str">
        <f aca="false">IF(AND(PLANI_LLOGARIVE!$A31&lt;&gt;"",PLANI_LLOGARIVE!$J31=TRUE()),PLANI_LLOGARIVE!$A31&amp;"","")</f>
        <v/>
      </c>
      <c r="B37" s="174" t="str">
        <f aca="false">IF($A37="","",IFERROR(VLOOKUP($A37,PLANI_LLOGARIVE!$A$2:$I$500,2,FALSE()),""))</f>
        <v/>
      </c>
      <c r="C37" s="174" t="str">
        <f aca="false">IF($A37="","",IFERROR(VLOOKUP($A37,PLANI_LLOGARIVE!$A$2:$I$500,4,FALSE()),""))</f>
        <v/>
      </c>
      <c r="D37" s="175" t="str">
        <f aca="false">IF($A37="","",SUMIFS(DITARI!$F$6:$F$550,DITARI!$D$6:$D$550,$A37))</f>
        <v/>
      </c>
      <c r="E37" s="175" t="str">
        <f aca="false">IF($A37="","",SUMIFS(DITARI!$G$6:$G$550,DITARI!$D$6:$D$550,$A37))</f>
        <v/>
      </c>
      <c r="F37" s="175" t="str">
        <f aca="false">IF($A37="","",MAX($D37-$E37,0))</f>
        <v/>
      </c>
      <c r="G37" s="175" t="str">
        <f aca="false">IF($A37="","",MAX($E37-$D37,0))</f>
        <v/>
      </c>
      <c r="H37" s="174" t="str">
        <f aca="false">IF($A37="","",IF($F37&gt;0,"Saldo Debit",IF($G37&gt;0,"Saldo Kredit","Zero")))</f>
        <v/>
      </c>
      <c r="I37" s="174" t="str">
        <f aca="false">IF($A37="","",IFERROR(VLOOKUP($A37,PLANI_LLOGARIVE!$A$2:$I$500,9,FALSE()),""))</f>
        <v/>
      </c>
      <c r="J37" s="101" t="str">
        <f aca="false">IF(A37="","",IF(OR(H37="Zero",I37="Debit/Credit"),"",IF(OR(AND(H37="Saldo Debit",I37="Debit"),AND(H37="Saldo Kredit",OR(I37="Credit",I37="Kredit"))),"","⚠️ JO NORMALE")))</f>
        <v/>
      </c>
    </row>
    <row r="38" customFormat="false" ht="12.75" hidden="false" customHeight="true" outlineLevel="0" collapsed="false">
      <c r="A38" s="172" t="str">
        <f aca="false">IF(AND(PLANI_LLOGARIVE!$A32&lt;&gt;"",PLANI_LLOGARIVE!$J32=TRUE()),PLANI_LLOGARIVE!$A32&amp;"","")</f>
        <v>290</v>
      </c>
      <c r="B38" s="172" t="str">
        <f aca="false">IF($A38="","",IFERROR(VLOOKUP($A38,PLANI_LLOGARIVE!$A$2:$I$500,2,FALSE()),""))</f>
        <v>Zhvlerësim i AA jomateriale</v>
      </c>
      <c r="C38" s="172" t="str">
        <f aca="false">IF($A38="","",IFERROR(VLOOKUP($A38,PLANI_LLOGARIVE!$A$2:$I$500,4,FALSE()),""))</f>
        <v>2</v>
      </c>
      <c r="D38" s="173" t="n">
        <f aca="false">IF($A38="","",SUMIFS(DITARI!$F$6:$F$550,DITARI!$D$6:$D$550,$A38))</f>
        <v>0</v>
      </c>
      <c r="E38" s="173" t="n">
        <f aca="false">IF($A38="","",SUMIFS(DITARI!$G$6:$G$550,DITARI!$D$6:$D$550,$A38))</f>
        <v>0</v>
      </c>
      <c r="F38" s="173" t="n">
        <f aca="false">IF($A38="","",MAX($D38-$E38,0))</f>
        <v>0</v>
      </c>
      <c r="G38" s="173" t="n">
        <f aca="false">IF($A38="","",MAX($E38-$D38,0))</f>
        <v>0</v>
      </c>
      <c r="H38" s="172" t="str">
        <f aca="false">IF($A38="","",IF($F38&gt;0,"Saldo Debit",IF($G38&gt;0,"Saldo Kredit","Zero")))</f>
        <v>Zero</v>
      </c>
      <c r="I38" s="172" t="str">
        <f aca="false">IF($A38="","",IFERROR(VLOOKUP($A38,PLANI_LLOGARIVE!$A$2:$I$500,9,FALSE()),""))</f>
        <v>Credit</v>
      </c>
      <c r="J38" s="101" t="str">
        <f aca="false">IF(A38="","",IF(OR(H38="Zero",I38="Debit/Credit"),"",IF(OR(AND(H38="Saldo Debit",I38="Debit"),AND(H38="Saldo Kredit",OR(I38="Credit",I38="Kredit"))),"","⚠️ JO NORMALE")))</f>
        <v/>
      </c>
    </row>
    <row r="39" customFormat="false" ht="12.75" hidden="false" customHeight="true" outlineLevel="0" collapsed="false">
      <c r="A39" s="174" t="str">
        <f aca="false">IF(AND(PLANI_LLOGARIVE!$A33&lt;&gt;"",PLANI_LLOGARIVE!$J33=TRUE()),PLANI_LLOGARIVE!$A33&amp;"","")</f>
        <v>291</v>
      </c>
      <c r="B39" s="174" t="str">
        <f aca="false">IF($A39="","",IFERROR(VLOOKUP($A39,PLANI_LLOGARIVE!$A$2:$I$500,2,FALSE()),""))</f>
        <v>Zhvlerësim i AA materiale</v>
      </c>
      <c r="C39" s="174" t="str">
        <f aca="false">IF($A39="","",IFERROR(VLOOKUP($A39,PLANI_LLOGARIVE!$A$2:$I$500,4,FALSE()),""))</f>
        <v>2</v>
      </c>
      <c r="D39" s="175" t="n">
        <f aca="false">IF($A39="","",SUMIFS(DITARI!$F$6:$F$550,DITARI!$D$6:$D$550,$A39))</f>
        <v>0</v>
      </c>
      <c r="E39" s="175" t="n">
        <f aca="false">IF($A39="","",SUMIFS(DITARI!$G$6:$G$550,DITARI!$D$6:$D$550,$A39))</f>
        <v>0</v>
      </c>
      <c r="F39" s="175" t="n">
        <f aca="false">IF($A39="","",MAX($D39-$E39,0))</f>
        <v>0</v>
      </c>
      <c r="G39" s="175" t="n">
        <f aca="false">IF($A39="","",MAX($E39-$D39,0))</f>
        <v>0</v>
      </c>
      <c r="H39" s="174" t="str">
        <f aca="false">IF($A39="","",IF($F39&gt;0,"Saldo Debit",IF($G39&gt;0,"Saldo Kredit","Zero")))</f>
        <v>Zero</v>
      </c>
      <c r="I39" s="174" t="str">
        <f aca="false">IF($A39="","",IFERROR(VLOOKUP($A39,PLANI_LLOGARIVE!$A$2:$I$500,9,FALSE()),""))</f>
        <v>Credit</v>
      </c>
      <c r="J39" s="101" t="str">
        <f aca="false">IF(A39="","",IF(OR(H39="Zero",I39="Debit/Credit"),"",IF(OR(AND(H39="Saldo Debit",I39="Debit"),AND(H39="Saldo Kredit",OR(I39="Credit",I39="Kredit"))),"","⚠️ JO NORMALE")))</f>
        <v/>
      </c>
    </row>
    <row r="40" customFormat="false" ht="12.75" hidden="false" customHeight="true" outlineLevel="0" collapsed="false">
      <c r="A40" s="172" t="str">
        <f aca="false">IF(AND(PLANI_LLOGARIVE!$A34&lt;&gt;"",PLANI_LLOGARIVE!$J34=TRUE()),PLANI_LLOGARIVE!$A34&amp;"","")</f>
        <v/>
      </c>
      <c r="B40" s="172" t="str">
        <f aca="false">IF($A40="","",IFERROR(VLOOKUP($A40,PLANI_LLOGARIVE!$A$2:$I$500,2,FALSE()),""))</f>
        <v/>
      </c>
      <c r="C40" s="172" t="str">
        <f aca="false">IF($A40="","",IFERROR(VLOOKUP($A40,PLANI_LLOGARIVE!$A$2:$I$500,4,FALSE()),""))</f>
        <v/>
      </c>
      <c r="D40" s="173" t="str">
        <f aca="false">IF($A40="","",SUMIFS(DITARI!$F$6:$F$550,DITARI!$D$6:$D$550,$A40))</f>
        <v/>
      </c>
      <c r="E40" s="173" t="str">
        <f aca="false">IF($A40="","",SUMIFS(DITARI!$G$6:$G$550,DITARI!$D$6:$D$550,$A40))</f>
        <v/>
      </c>
      <c r="F40" s="173" t="str">
        <f aca="false">IF($A40="","",MAX($D40-$E40,0))</f>
        <v/>
      </c>
      <c r="G40" s="173" t="str">
        <f aca="false">IF($A40="","",MAX($E40-$D40,0))</f>
        <v/>
      </c>
      <c r="H40" s="172" t="str">
        <f aca="false">IF($A40="","",IF($F40&gt;0,"Saldo Debit",IF($G40&gt;0,"Saldo Kredit","Zero")))</f>
        <v/>
      </c>
      <c r="I40" s="172" t="str">
        <f aca="false">IF($A40="","",IFERROR(VLOOKUP($A40,PLANI_LLOGARIVE!$A$2:$I$500,9,FALSE()),""))</f>
        <v/>
      </c>
      <c r="J40" s="101" t="str">
        <f aca="false">IF(A40="","",IF(OR(H40="Zero",I40="Debit/Credit"),"",IF(OR(AND(H40="Saldo Debit",I40="Debit"),AND(H40="Saldo Kredit",OR(I40="Credit",I40="Kredit"))),"","⚠️ JO NORMALE")))</f>
        <v/>
      </c>
    </row>
    <row r="41" customFormat="false" ht="12.75" hidden="false" customHeight="true" outlineLevel="0" collapsed="false">
      <c r="A41" s="174" t="str">
        <f aca="false">IF(AND(PLANI_LLOGARIVE!$A35&lt;&gt;"",PLANI_LLOGARIVE!$J35=TRUE()),PLANI_LLOGARIVE!$A35&amp;"","")</f>
        <v/>
      </c>
      <c r="B41" s="174" t="str">
        <f aca="false">IF($A41="","",IFERROR(VLOOKUP($A41,PLANI_LLOGARIVE!$A$2:$I$500,2,FALSE()),""))</f>
        <v/>
      </c>
      <c r="C41" s="174" t="str">
        <f aca="false">IF($A41="","",IFERROR(VLOOKUP($A41,PLANI_LLOGARIVE!$A$2:$I$500,4,FALSE()),""))</f>
        <v/>
      </c>
      <c r="D41" s="175" t="str">
        <f aca="false">IF($A41="","",SUMIFS(DITARI!$F$6:$F$550,DITARI!$D$6:$D$550,$A41))</f>
        <v/>
      </c>
      <c r="E41" s="175" t="str">
        <f aca="false">IF($A41="","",SUMIFS(DITARI!$G$6:$G$550,DITARI!$D$6:$D$550,$A41))</f>
        <v/>
      </c>
      <c r="F41" s="175" t="str">
        <f aca="false">IF($A41="","",MAX($D41-$E41,0))</f>
        <v/>
      </c>
      <c r="G41" s="175" t="str">
        <f aca="false">IF($A41="","",MAX($E41-$D41,0))</f>
        <v/>
      </c>
      <c r="H41" s="174" t="str">
        <f aca="false">IF($A41="","",IF($F41&gt;0,"Saldo Debit",IF($G41&gt;0,"Saldo Kredit","Zero")))</f>
        <v/>
      </c>
      <c r="I41" s="174" t="str">
        <f aca="false">IF($A41="","",IFERROR(VLOOKUP($A41,PLANI_LLOGARIVE!$A$2:$I$500,9,FALSE()),""))</f>
        <v/>
      </c>
      <c r="J41" s="101" t="str">
        <f aca="false">IF(A41="","",IF(OR(H41="Zero",I41="Debit/Credit"),"",IF(OR(AND(H41="Saldo Debit",I41="Debit"),AND(H41="Saldo Kredit",OR(I41="Credit",I41="Kredit"))),"","⚠️ JO NORMALE")))</f>
        <v/>
      </c>
    </row>
    <row r="42" customFormat="false" ht="12.75" hidden="false" customHeight="true" outlineLevel="0" collapsed="false">
      <c r="A42" s="172" t="str">
        <f aca="false">IF(AND(PLANI_LLOGARIVE!$A36&lt;&gt;"",PLANI_LLOGARIVE!$J36=TRUE()),PLANI_LLOGARIVE!$A36&amp;"","")</f>
        <v>311</v>
      </c>
      <c r="B42" s="172" t="str">
        <f aca="false">IF($A42="","",IFERROR(VLOOKUP($A42,PLANI_LLOGARIVE!$A$2:$I$500,2,FALSE()),""))</f>
        <v>Materiale të para</v>
      </c>
      <c r="C42" s="172" t="str">
        <f aca="false">IF($A42="","",IFERROR(VLOOKUP($A42,PLANI_LLOGARIVE!$A$2:$I$500,4,FALSE()),""))</f>
        <v>3</v>
      </c>
      <c r="D42" s="173" t="n">
        <f aca="false">IF($A42="","",SUMIFS(DITARI!$F$6:$F$550,DITARI!$D$6:$D$550,$A42))</f>
        <v>0</v>
      </c>
      <c r="E42" s="173" t="n">
        <f aca="false">IF($A42="","",SUMIFS(DITARI!$G$6:$G$550,DITARI!$D$6:$D$550,$A42))</f>
        <v>0</v>
      </c>
      <c r="F42" s="173" t="n">
        <f aca="false">IF($A42="","",MAX($D42-$E42,0))</f>
        <v>0</v>
      </c>
      <c r="G42" s="173" t="n">
        <f aca="false">IF($A42="","",MAX($E42-$D42,0))</f>
        <v>0</v>
      </c>
      <c r="H42" s="172" t="str">
        <f aca="false">IF($A42="","",IF($F42&gt;0,"Saldo Debit",IF($G42&gt;0,"Saldo Kredit","Zero")))</f>
        <v>Zero</v>
      </c>
      <c r="I42" s="172" t="str">
        <f aca="false">IF($A42="","",IFERROR(VLOOKUP($A42,PLANI_LLOGARIVE!$A$2:$I$500,9,FALSE()),""))</f>
        <v>Debit</v>
      </c>
      <c r="J42" s="101" t="str">
        <f aca="false">IF(A42="","",IF(OR(H42="Zero",I42="Debit/Credit"),"",IF(OR(AND(H42="Saldo Debit",I42="Debit"),AND(H42="Saldo Kredit",OR(I42="Credit",I42="Kredit"))),"","⚠️ JO NORMALE")))</f>
        <v/>
      </c>
    </row>
    <row r="43" customFormat="false" ht="12.75" hidden="false" customHeight="true" outlineLevel="0" collapsed="false">
      <c r="A43" s="174" t="str">
        <f aca="false">IF(AND(PLANI_LLOGARIVE!$A37&lt;&gt;"",PLANI_LLOGARIVE!$J37=TRUE()),PLANI_LLOGARIVE!$A37&amp;"","")</f>
        <v>312</v>
      </c>
      <c r="B43" s="174" t="str">
        <f aca="false">IF($A43="","",IFERROR(VLOOKUP($A43,PLANI_LLOGARIVE!$A$2:$I$500,2,FALSE()),""))</f>
        <v>Materiale të tjera</v>
      </c>
      <c r="C43" s="174" t="str">
        <f aca="false">IF($A43="","",IFERROR(VLOOKUP($A43,PLANI_LLOGARIVE!$A$2:$I$500,4,FALSE()),""))</f>
        <v>3</v>
      </c>
      <c r="D43" s="175" t="n">
        <f aca="false">IF($A43="","",SUMIFS(DITARI!$F$6:$F$550,DITARI!$D$6:$D$550,$A43))</f>
        <v>0</v>
      </c>
      <c r="E43" s="175" t="n">
        <f aca="false">IF($A43="","",SUMIFS(DITARI!$G$6:$G$550,DITARI!$D$6:$D$550,$A43))</f>
        <v>0</v>
      </c>
      <c r="F43" s="175" t="n">
        <f aca="false">IF($A43="","",MAX($D43-$E43,0))</f>
        <v>0</v>
      </c>
      <c r="G43" s="175" t="n">
        <f aca="false">IF($A43="","",MAX($E43-$D43,0))</f>
        <v>0</v>
      </c>
      <c r="H43" s="174" t="str">
        <f aca="false">IF($A43="","",IF($F43&gt;0,"Saldo Debit",IF($G43&gt;0,"Saldo Kredit","Zero")))</f>
        <v>Zero</v>
      </c>
      <c r="I43" s="174" t="str">
        <f aca="false">IF($A43="","",IFERROR(VLOOKUP($A43,PLANI_LLOGARIVE!$A$2:$I$500,9,FALSE()),""))</f>
        <v>Debit</v>
      </c>
      <c r="J43" s="101" t="str">
        <f aca="false">IF(A43="","",IF(OR(H43="Zero",I43="Debit/Credit"),"",IF(OR(AND(H43="Saldo Debit",I43="Debit"),AND(H43="Saldo Kredit",OR(I43="Credit",I43="Kredit"))),"","⚠️ JO NORMALE")))</f>
        <v/>
      </c>
    </row>
    <row r="44" customFormat="false" ht="12.75" hidden="false" customHeight="true" outlineLevel="0" collapsed="false">
      <c r="A44" s="172" t="str">
        <f aca="false">IF(AND(PLANI_LLOGARIVE!$A38&lt;&gt;"",PLANI_LLOGARIVE!$J38=TRUE()),PLANI_LLOGARIVE!$A38&amp;"","")</f>
        <v/>
      </c>
      <c r="B44" s="172" t="str">
        <f aca="false">IF($A44="","",IFERROR(VLOOKUP($A44,PLANI_LLOGARIVE!$A$2:$I$500,2,FALSE()),""))</f>
        <v/>
      </c>
      <c r="C44" s="172" t="str">
        <f aca="false">IF($A44="","",IFERROR(VLOOKUP($A44,PLANI_LLOGARIVE!$A$2:$I$500,4,FALSE()),""))</f>
        <v/>
      </c>
      <c r="D44" s="173" t="str">
        <f aca="false">IF($A44="","",SUMIFS(DITARI!$F$6:$F$550,DITARI!$D$6:$D$550,$A44))</f>
        <v/>
      </c>
      <c r="E44" s="173" t="str">
        <f aca="false">IF($A44="","",SUMIFS(DITARI!$G$6:$G$550,DITARI!$D$6:$D$550,$A44))</f>
        <v/>
      </c>
      <c r="F44" s="173" t="str">
        <f aca="false">IF($A44="","",MAX($D44-$E44,0))</f>
        <v/>
      </c>
      <c r="G44" s="173" t="str">
        <f aca="false">IF($A44="","",MAX($E44-$D44,0))</f>
        <v/>
      </c>
      <c r="H44" s="172" t="str">
        <f aca="false">IF($A44="","",IF($F44&gt;0,"Saldo Debit",IF($G44&gt;0,"Saldo Kredit","Zero")))</f>
        <v/>
      </c>
      <c r="I44" s="172" t="str">
        <f aca="false">IF($A44="","",IFERROR(VLOOKUP($A44,PLANI_LLOGARIVE!$A$2:$I$500,9,FALSE()),""))</f>
        <v/>
      </c>
      <c r="J44" s="101" t="str">
        <f aca="false">IF(A44="","",IF(OR(H44="Zero",I44="Debit/Credit"),"",IF(OR(AND(H44="Saldo Debit",I44="Debit"),AND(H44="Saldo Kredit",OR(I44="Credit",I44="Kredit"))),"","⚠️ JO NORMALE")))</f>
        <v/>
      </c>
    </row>
    <row r="45" customFormat="false" ht="12.75" hidden="false" customHeight="true" outlineLevel="0" collapsed="false">
      <c r="A45" s="174" t="str">
        <f aca="false">IF(AND(PLANI_LLOGARIVE!$A39&lt;&gt;"",PLANI_LLOGARIVE!$J39=TRUE()),PLANI_LLOGARIVE!$A39&amp;"","")</f>
        <v>321</v>
      </c>
      <c r="B45" s="174" t="str">
        <f aca="false">IF($A45="","",IFERROR(VLOOKUP($A45,PLANI_LLOGARIVE!$A$2:$I$500,2,FALSE()),""))</f>
        <v>Objekte inventari</v>
      </c>
      <c r="C45" s="174" t="str">
        <f aca="false">IF($A45="","",IFERROR(VLOOKUP($A45,PLANI_LLOGARIVE!$A$2:$I$500,4,FALSE()),""))</f>
        <v>3</v>
      </c>
      <c r="D45" s="175" t="n">
        <f aca="false">IF($A45="","",SUMIFS(DITARI!$F$6:$F$550,DITARI!$D$6:$D$550,$A45))</f>
        <v>0</v>
      </c>
      <c r="E45" s="175" t="n">
        <f aca="false">IF($A45="","",SUMIFS(DITARI!$G$6:$G$550,DITARI!$D$6:$D$550,$A45))</f>
        <v>0</v>
      </c>
      <c r="F45" s="175" t="n">
        <f aca="false">IF($A45="","",MAX($D45-$E45,0))</f>
        <v>0</v>
      </c>
      <c r="G45" s="175" t="n">
        <f aca="false">IF($A45="","",MAX($E45-$D45,0))</f>
        <v>0</v>
      </c>
      <c r="H45" s="174" t="str">
        <f aca="false">IF($A45="","",IF($F45&gt;0,"Saldo Debit",IF($G45&gt;0,"Saldo Kredit","Zero")))</f>
        <v>Zero</v>
      </c>
      <c r="I45" s="174" t="str">
        <f aca="false">IF($A45="","",IFERROR(VLOOKUP($A45,PLANI_LLOGARIVE!$A$2:$I$500,9,FALSE()),""))</f>
        <v>Debit</v>
      </c>
      <c r="J45" s="101" t="str">
        <f aca="false">IF(A45="","",IF(OR(H45="Zero",I45="Debit/Credit"),"",IF(OR(AND(H45="Saldo Debit",I45="Debit"),AND(H45="Saldo Kredit",OR(I45="Credit",I45="Kredit"))),"","⚠️ JO NORMALE")))</f>
        <v/>
      </c>
    </row>
    <row r="46" customFormat="false" ht="12.75" hidden="false" customHeight="true" outlineLevel="0" collapsed="false">
      <c r="A46" s="172" t="str">
        <f aca="false">IF(AND(PLANI_LLOGARIVE!$A40&lt;&gt;"",PLANI_LLOGARIVE!$J40=TRUE()),PLANI_LLOGARIVE!$A40&amp;"","")</f>
        <v>326</v>
      </c>
      <c r="B46" s="172" t="str">
        <f aca="false">IF($A46="","",IFERROR(VLOOKUP($A46,PLANI_LLOGARIVE!$A$2:$I$500,2,FALSE()),""))</f>
        <v>Ambalazh i kthyeshëm</v>
      </c>
      <c r="C46" s="172" t="str">
        <f aca="false">IF($A46="","",IFERROR(VLOOKUP($A46,PLANI_LLOGARIVE!$A$2:$I$500,4,FALSE()),""))</f>
        <v>3</v>
      </c>
      <c r="D46" s="173" t="n">
        <f aca="false">IF($A46="","",SUMIFS(DITARI!$F$6:$F$550,DITARI!$D$6:$D$550,$A46))</f>
        <v>0</v>
      </c>
      <c r="E46" s="173" t="n">
        <f aca="false">IF($A46="","",SUMIFS(DITARI!$G$6:$G$550,DITARI!$D$6:$D$550,$A46))</f>
        <v>0</v>
      </c>
      <c r="F46" s="173" t="n">
        <f aca="false">IF($A46="","",MAX($D46-$E46,0))</f>
        <v>0</v>
      </c>
      <c r="G46" s="173" t="n">
        <f aca="false">IF($A46="","",MAX($E46-$D46,0))</f>
        <v>0</v>
      </c>
      <c r="H46" s="172" t="str">
        <f aca="false">IF($A46="","",IF($F46&gt;0,"Saldo Debit",IF($G46&gt;0,"Saldo Kredit","Zero")))</f>
        <v>Zero</v>
      </c>
      <c r="I46" s="172" t="str">
        <f aca="false">IF($A46="","",IFERROR(VLOOKUP($A46,PLANI_LLOGARIVE!$A$2:$I$500,9,FALSE()),""))</f>
        <v>Debit</v>
      </c>
      <c r="J46" s="101" t="str">
        <f aca="false">IF(A46="","",IF(OR(H46="Zero",I46="Debit/Credit"),"",IF(OR(AND(H46="Saldo Debit",I46="Debit"),AND(H46="Saldo Kredit",OR(I46="Credit",I46="Kredit"))),"","⚠️ JO NORMALE")))</f>
        <v/>
      </c>
    </row>
    <row r="47" customFormat="false" ht="12.75" hidden="false" customHeight="true" outlineLevel="0" collapsed="false">
      <c r="A47" s="174" t="str">
        <f aca="false">IF(AND(PLANI_LLOGARIVE!$A41&lt;&gt;"",PLANI_LLOGARIVE!$J41=TRUE()),PLANI_LLOGARIVE!$A41&amp;"","")</f>
        <v/>
      </c>
      <c r="B47" s="174" t="str">
        <f aca="false">IF($A47="","",IFERROR(VLOOKUP($A47,PLANI_LLOGARIVE!$A$2:$I$500,2,FALSE()),""))</f>
        <v/>
      </c>
      <c r="C47" s="174" t="str">
        <f aca="false">IF($A47="","",IFERROR(VLOOKUP($A47,PLANI_LLOGARIVE!$A$2:$I$500,4,FALSE()),""))</f>
        <v/>
      </c>
      <c r="D47" s="175" t="str">
        <f aca="false">IF($A47="","",SUMIFS(DITARI!$F$6:$F$550,DITARI!$D$6:$D$550,$A47))</f>
        <v/>
      </c>
      <c r="E47" s="175" t="str">
        <f aca="false">IF($A47="","",SUMIFS(DITARI!$G$6:$G$550,DITARI!$D$6:$D$550,$A47))</f>
        <v/>
      </c>
      <c r="F47" s="175" t="str">
        <f aca="false">IF($A47="","",MAX($D47-$E47,0))</f>
        <v/>
      </c>
      <c r="G47" s="175" t="str">
        <f aca="false">IF($A47="","",MAX($E47-$D47,0))</f>
        <v/>
      </c>
      <c r="H47" s="174" t="str">
        <f aca="false">IF($A47="","",IF($F47&gt;0,"Saldo Debit",IF($G47&gt;0,"Saldo Kredit","Zero")))</f>
        <v/>
      </c>
      <c r="I47" s="174" t="str">
        <f aca="false">IF($A47="","",IFERROR(VLOOKUP($A47,PLANI_LLOGARIVE!$A$2:$I$500,9,FALSE()),""))</f>
        <v/>
      </c>
      <c r="J47" s="101" t="str">
        <f aca="false">IF(A47="","",IF(OR(H47="Zero",I47="Debit/Credit"),"",IF(OR(AND(H47="Saldo Debit",I47="Debit"),AND(H47="Saldo Kredit",OR(I47="Credit",I47="Kredit"))),"","⚠️ JO NORMALE")))</f>
        <v/>
      </c>
    </row>
    <row r="48" customFormat="false" ht="12.75" hidden="false" customHeight="true" outlineLevel="0" collapsed="false">
      <c r="A48" s="172" t="str">
        <f aca="false">IF(AND(PLANI_LLOGARIVE!$A42&lt;&gt;"",PLANI_LLOGARIVE!$J42=TRUE()),PLANI_LLOGARIVE!$A42&amp;"","")</f>
        <v>331</v>
      </c>
      <c r="B48" s="172" t="str">
        <f aca="false">IF($A48="","",IFERROR(VLOOKUP($A48,PLANI_LLOGARIVE!$A$2:$I$500,2,FALSE()),""))</f>
        <v>Prodhime në proces</v>
      </c>
      <c r="C48" s="172" t="str">
        <f aca="false">IF($A48="","",IFERROR(VLOOKUP($A48,PLANI_LLOGARIVE!$A$2:$I$500,4,FALSE()),""))</f>
        <v>3</v>
      </c>
      <c r="D48" s="173" t="n">
        <f aca="false">IF($A48="","",SUMIFS(DITARI!$F$6:$F$550,DITARI!$D$6:$D$550,$A48))</f>
        <v>0</v>
      </c>
      <c r="E48" s="173" t="n">
        <f aca="false">IF($A48="","",SUMIFS(DITARI!$G$6:$G$550,DITARI!$D$6:$D$550,$A48))</f>
        <v>0</v>
      </c>
      <c r="F48" s="173" t="n">
        <f aca="false">IF($A48="","",MAX($D48-$E48,0))</f>
        <v>0</v>
      </c>
      <c r="G48" s="173" t="n">
        <f aca="false">IF($A48="","",MAX($E48-$D48,0))</f>
        <v>0</v>
      </c>
      <c r="H48" s="172" t="str">
        <f aca="false">IF($A48="","",IF($F48&gt;0,"Saldo Debit",IF($G48&gt;0,"Saldo Kredit","Zero")))</f>
        <v>Zero</v>
      </c>
      <c r="I48" s="172" t="str">
        <f aca="false">IF($A48="","",IFERROR(VLOOKUP($A48,PLANI_LLOGARIVE!$A$2:$I$500,9,FALSE()),""))</f>
        <v>Debit</v>
      </c>
      <c r="J48" s="101" t="str">
        <f aca="false">IF(A48="","",IF(OR(H48="Zero",I48="Debit/Credit"),"",IF(OR(AND(H48="Saldo Debit",I48="Debit"),AND(H48="Saldo Kredit",OR(I48="Credit",I48="Kredit"))),"","⚠️ JO NORMALE")))</f>
        <v/>
      </c>
    </row>
    <row r="49" customFormat="false" ht="12.75" hidden="false" customHeight="true" outlineLevel="0" collapsed="false">
      <c r="A49" s="174" t="str">
        <f aca="false">IF(AND(PLANI_LLOGARIVE!$A43&lt;&gt;"",PLANI_LLOGARIVE!$J43=TRUE()),PLANI_LLOGARIVE!$A43&amp;"","")</f>
        <v>332</v>
      </c>
      <c r="B49" s="174" t="str">
        <f aca="false">IF($A49="","",IFERROR(VLOOKUP($A49,PLANI_LLOGARIVE!$A$2:$I$500,2,FALSE()),""))</f>
        <v>Punime në proces</v>
      </c>
      <c r="C49" s="174" t="str">
        <f aca="false">IF($A49="","",IFERROR(VLOOKUP($A49,PLANI_LLOGARIVE!$A$2:$I$500,4,FALSE()),""))</f>
        <v>3</v>
      </c>
      <c r="D49" s="175" t="n">
        <f aca="false">IF($A49="","",SUMIFS(DITARI!$F$6:$F$550,DITARI!$D$6:$D$550,$A49))</f>
        <v>0</v>
      </c>
      <c r="E49" s="175" t="n">
        <f aca="false">IF($A49="","",SUMIFS(DITARI!$G$6:$G$550,DITARI!$D$6:$D$550,$A49))</f>
        <v>0</v>
      </c>
      <c r="F49" s="175" t="n">
        <f aca="false">IF($A49="","",MAX($D49-$E49,0))</f>
        <v>0</v>
      </c>
      <c r="G49" s="175" t="n">
        <f aca="false">IF($A49="","",MAX($E49-$D49,0))</f>
        <v>0</v>
      </c>
      <c r="H49" s="174" t="str">
        <f aca="false">IF($A49="","",IF($F49&gt;0,"Saldo Debit",IF($G49&gt;0,"Saldo Kredit","Zero")))</f>
        <v>Zero</v>
      </c>
      <c r="I49" s="174" t="str">
        <f aca="false">IF($A49="","",IFERROR(VLOOKUP($A49,PLANI_LLOGARIVE!$A$2:$I$500,9,FALSE()),""))</f>
        <v>Debit</v>
      </c>
      <c r="J49" s="101" t="str">
        <f aca="false">IF(A49="","",IF(OR(H49="Zero",I49="Debit/Credit"),"",IF(OR(AND(H49="Saldo Debit",I49="Debit"),AND(H49="Saldo Kredit",OR(I49="Credit",I49="Kredit"))),"","⚠️ JO NORMALE")))</f>
        <v/>
      </c>
    </row>
    <row r="50" customFormat="false" ht="12.75" hidden="false" customHeight="true" outlineLevel="0" collapsed="false">
      <c r="A50" s="172" t="str">
        <f aca="false">IF(AND(PLANI_LLOGARIVE!$A44&lt;&gt;"",PLANI_LLOGARIVE!$J44=TRUE()),PLANI_LLOGARIVE!$A44&amp;"","")</f>
        <v/>
      </c>
      <c r="B50" s="172" t="str">
        <f aca="false">IF($A50="","",IFERROR(VLOOKUP($A50,PLANI_LLOGARIVE!$A$2:$I$500,2,FALSE()),""))</f>
        <v/>
      </c>
      <c r="C50" s="172" t="str">
        <f aca="false">IF($A50="","",IFERROR(VLOOKUP($A50,PLANI_LLOGARIVE!$A$2:$I$500,4,FALSE()),""))</f>
        <v/>
      </c>
      <c r="D50" s="173" t="str">
        <f aca="false">IF($A50="","",SUMIFS(DITARI!$F$6:$F$550,DITARI!$D$6:$D$550,$A50))</f>
        <v/>
      </c>
      <c r="E50" s="173" t="str">
        <f aca="false">IF($A50="","",SUMIFS(DITARI!$G$6:$G$550,DITARI!$D$6:$D$550,$A50))</f>
        <v/>
      </c>
      <c r="F50" s="173" t="str">
        <f aca="false">IF($A50="","",MAX($D50-$E50,0))</f>
        <v/>
      </c>
      <c r="G50" s="173" t="str">
        <f aca="false">IF($A50="","",MAX($E50-$D50,0))</f>
        <v/>
      </c>
      <c r="H50" s="172" t="str">
        <f aca="false">IF($A50="","",IF($F50&gt;0,"Saldo Debit",IF($G50&gt;0,"Saldo Kredit","Zero")))</f>
        <v/>
      </c>
      <c r="I50" s="172" t="str">
        <f aca="false">IF($A50="","",IFERROR(VLOOKUP($A50,PLANI_LLOGARIVE!$A$2:$I$500,9,FALSE()),""))</f>
        <v/>
      </c>
      <c r="J50" s="101" t="str">
        <f aca="false">IF(A50="","",IF(OR(H50="Zero",I50="Debit/Credit"),"",IF(OR(AND(H50="Saldo Debit",I50="Debit"),AND(H50="Saldo Kredit",OR(I50="Credit",I50="Kredit"))),"","⚠️ JO NORMALE")))</f>
        <v/>
      </c>
    </row>
    <row r="51" customFormat="false" ht="12.75" hidden="false" customHeight="true" outlineLevel="0" collapsed="false">
      <c r="A51" s="174" t="str">
        <f aca="false">IF(AND(PLANI_LLOGARIVE!$A45&lt;&gt;"",PLANI_LLOGARIVE!$J45=TRUE()),PLANI_LLOGARIVE!$A45&amp;"","")</f>
        <v>341</v>
      </c>
      <c r="B51" s="174" t="str">
        <f aca="false">IF($A51="","",IFERROR(VLOOKUP($A51,PLANI_LLOGARIVE!$A$2:$I$500,2,FALSE()),""))</f>
        <v>Produkte të ndërmjetme</v>
      </c>
      <c r="C51" s="174" t="str">
        <f aca="false">IF($A51="","",IFERROR(VLOOKUP($A51,PLANI_LLOGARIVE!$A$2:$I$500,4,FALSE()),""))</f>
        <v>3</v>
      </c>
      <c r="D51" s="175" t="n">
        <f aca="false">IF($A51="","",SUMIFS(DITARI!$F$6:$F$550,DITARI!$D$6:$D$550,$A51))</f>
        <v>0</v>
      </c>
      <c r="E51" s="175" t="n">
        <f aca="false">IF($A51="","",SUMIFS(DITARI!$G$6:$G$550,DITARI!$D$6:$D$550,$A51))</f>
        <v>0</v>
      </c>
      <c r="F51" s="175" t="n">
        <f aca="false">IF($A51="","",MAX($D51-$E51,0))</f>
        <v>0</v>
      </c>
      <c r="G51" s="175" t="n">
        <f aca="false">IF($A51="","",MAX($E51-$D51,0))</f>
        <v>0</v>
      </c>
      <c r="H51" s="174" t="str">
        <f aca="false">IF($A51="","",IF($F51&gt;0,"Saldo Debit",IF($G51&gt;0,"Saldo Kredit","Zero")))</f>
        <v>Zero</v>
      </c>
      <c r="I51" s="174" t="str">
        <f aca="false">IF($A51="","",IFERROR(VLOOKUP($A51,PLANI_LLOGARIVE!$A$2:$I$500,9,FALSE()),""))</f>
        <v>Debit</v>
      </c>
      <c r="J51" s="101" t="str">
        <f aca="false">IF(A51="","",IF(OR(H51="Zero",I51="Debit/Credit"),"",IF(OR(AND(H51="Saldo Debit",I51="Debit"),AND(H51="Saldo Kredit",OR(I51="Credit",I51="Kredit"))),"","⚠️ JO NORMALE")))</f>
        <v/>
      </c>
    </row>
    <row r="52" customFormat="false" ht="12.75" hidden="false" customHeight="true" outlineLevel="0" collapsed="false">
      <c r="A52" s="172" t="str">
        <f aca="false">IF(AND(PLANI_LLOGARIVE!$A46&lt;&gt;"",PLANI_LLOGARIVE!$J46=TRUE()),PLANI_LLOGARIVE!$A46&amp;"","")</f>
        <v>342</v>
      </c>
      <c r="B52" s="172" t="str">
        <f aca="false">IF($A52="","",IFERROR(VLOOKUP($A52,PLANI_LLOGARIVE!$A$2:$I$500,2,FALSE()),""))</f>
        <v>Produkte të gatshme</v>
      </c>
      <c r="C52" s="172" t="str">
        <f aca="false">IF($A52="","",IFERROR(VLOOKUP($A52,PLANI_LLOGARIVE!$A$2:$I$500,4,FALSE()),""))</f>
        <v>3</v>
      </c>
      <c r="D52" s="173" t="n">
        <f aca="false">IF($A52="","",SUMIFS(DITARI!$F$6:$F$550,DITARI!$D$6:$D$550,$A52))</f>
        <v>0</v>
      </c>
      <c r="E52" s="173" t="n">
        <f aca="false">IF($A52="","",SUMIFS(DITARI!$G$6:$G$550,DITARI!$D$6:$D$550,$A52))</f>
        <v>0</v>
      </c>
      <c r="F52" s="173" t="n">
        <f aca="false">IF($A52="","",MAX($D52-$E52,0))</f>
        <v>0</v>
      </c>
      <c r="G52" s="173" t="n">
        <f aca="false">IF($A52="","",MAX($E52-$D52,0))</f>
        <v>0</v>
      </c>
      <c r="H52" s="172" t="str">
        <f aca="false">IF($A52="","",IF($F52&gt;0,"Saldo Debit",IF($G52&gt;0,"Saldo Kredit","Zero")))</f>
        <v>Zero</v>
      </c>
      <c r="I52" s="172" t="str">
        <f aca="false">IF($A52="","",IFERROR(VLOOKUP($A52,PLANI_LLOGARIVE!$A$2:$I$500,9,FALSE()),""))</f>
        <v>Debit</v>
      </c>
      <c r="J52" s="101" t="str">
        <f aca="false">IF(A52="","",IF(OR(H52="Zero",I52="Debit/Credit"),"",IF(OR(AND(H52="Saldo Debit",I52="Debit"),AND(H52="Saldo Kredit",OR(I52="Credit",I52="Kredit"))),"","⚠️ JO NORMALE")))</f>
        <v/>
      </c>
    </row>
    <row r="53" customFormat="false" ht="12.75" hidden="false" customHeight="true" outlineLevel="0" collapsed="false">
      <c r="A53" s="174" t="str">
        <f aca="false">IF(AND(PLANI_LLOGARIVE!$A47&lt;&gt;"",PLANI_LLOGARIVE!$J47=TRUE()),PLANI_LLOGARIVE!$A47&amp;"","")</f>
        <v/>
      </c>
      <c r="B53" s="174" t="str">
        <f aca="false">IF($A53="","",IFERROR(VLOOKUP($A53,PLANI_LLOGARIVE!$A$2:$I$500,2,FALSE()),""))</f>
        <v/>
      </c>
      <c r="C53" s="174" t="str">
        <f aca="false">IF($A53="","",IFERROR(VLOOKUP($A53,PLANI_LLOGARIVE!$A$2:$I$500,4,FALSE()),""))</f>
        <v/>
      </c>
      <c r="D53" s="175" t="str">
        <f aca="false">IF($A53="","",SUMIFS(DITARI!$F$6:$F$550,DITARI!$D$6:$D$550,$A53))</f>
        <v/>
      </c>
      <c r="E53" s="175" t="str">
        <f aca="false">IF($A53="","",SUMIFS(DITARI!$G$6:$G$550,DITARI!$D$6:$D$550,$A53))</f>
        <v/>
      </c>
      <c r="F53" s="175" t="str">
        <f aca="false">IF($A53="","",MAX($D53-$E53,0))</f>
        <v/>
      </c>
      <c r="G53" s="175" t="str">
        <f aca="false">IF($A53="","",MAX($E53-$D53,0))</f>
        <v/>
      </c>
      <c r="H53" s="174" t="str">
        <f aca="false">IF($A53="","",IF($F53&gt;0,"Saldo Debit",IF($G53&gt;0,"Saldo Kredit","Zero")))</f>
        <v/>
      </c>
      <c r="I53" s="174" t="str">
        <f aca="false">IF($A53="","",IFERROR(VLOOKUP($A53,PLANI_LLOGARIVE!$A$2:$I$500,9,FALSE()),""))</f>
        <v/>
      </c>
      <c r="J53" s="101" t="str">
        <f aca="false">IF(A53="","",IF(OR(H53="Zero",I53="Debit/Credit"),"",IF(OR(AND(H53="Saldo Debit",I53="Debit"),AND(H53="Saldo Kredit",OR(I53="Credit",I53="Kredit"))),"","⚠️ JO NORMALE")))</f>
        <v/>
      </c>
    </row>
    <row r="54" customFormat="false" ht="12.75" hidden="false" customHeight="true" outlineLevel="0" collapsed="false">
      <c r="A54" s="172" t="str">
        <f aca="false">IF(AND(PLANI_LLOGARIVE!$A48&lt;&gt;"",PLANI_LLOGARIVE!$J48=TRUE()),PLANI_LLOGARIVE!$A48&amp;"","")</f>
        <v>351</v>
      </c>
      <c r="B54" s="172" t="str">
        <f aca="false">IF($A54="","",IFERROR(VLOOKUP($A54,PLANI_LLOGARIVE!$A$2:$I$500,2,FALSE()),""))</f>
        <v>Mallra për shitje</v>
      </c>
      <c r="C54" s="172" t="str">
        <f aca="false">IF($A54="","",IFERROR(VLOOKUP($A54,PLANI_LLOGARIVE!$A$2:$I$500,4,FALSE()),""))</f>
        <v>3</v>
      </c>
      <c r="D54" s="173" t="n">
        <f aca="false">IF($A54="","",SUMIFS(DITARI!$F$6:$F$550,DITARI!$D$6:$D$550,$A54))</f>
        <v>0</v>
      </c>
      <c r="E54" s="173" t="n">
        <f aca="false">IF($A54="","",SUMIFS(DITARI!$G$6:$G$550,DITARI!$D$6:$D$550,$A54))</f>
        <v>0</v>
      </c>
      <c r="F54" s="173" t="n">
        <f aca="false">IF($A54="","",MAX($D54-$E54,0))</f>
        <v>0</v>
      </c>
      <c r="G54" s="173" t="n">
        <f aca="false">IF($A54="","",MAX($E54-$D54,0))</f>
        <v>0</v>
      </c>
      <c r="H54" s="172" t="str">
        <f aca="false">IF($A54="","",IF($F54&gt;0,"Saldo Debit",IF($G54&gt;0,"Saldo Kredit","Zero")))</f>
        <v>Zero</v>
      </c>
      <c r="I54" s="172" t="str">
        <f aca="false">IF($A54="","",IFERROR(VLOOKUP($A54,PLANI_LLOGARIVE!$A$2:$I$500,9,FALSE()),""))</f>
        <v>Debit</v>
      </c>
      <c r="J54" s="101" t="str">
        <f aca="false">IF(A54="","",IF(OR(H54="Zero",I54="Debit/Credit"),"",IF(OR(AND(H54="Saldo Debit",I54="Debit"),AND(H54="Saldo Kredit",OR(I54="Credit",I54="Kredit"))),"","⚠️ JO NORMALE")))</f>
        <v/>
      </c>
    </row>
    <row r="55" customFormat="false" ht="12.75" hidden="false" customHeight="true" outlineLevel="0" collapsed="false">
      <c r="A55" s="174" t="str">
        <f aca="false">IF(AND(PLANI_LLOGARIVE!$A49&lt;&gt;"",PLANI_LLOGARIVE!$J49=TRUE()),PLANI_LLOGARIVE!$A49&amp;"","")</f>
        <v/>
      </c>
      <c r="B55" s="174" t="str">
        <f aca="false">IF($A55="","",IFERROR(VLOOKUP($A55,PLANI_LLOGARIVE!$A$2:$I$500,2,FALSE()),""))</f>
        <v/>
      </c>
      <c r="C55" s="174" t="str">
        <f aca="false">IF($A55="","",IFERROR(VLOOKUP($A55,PLANI_LLOGARIVE!$A$2:$I$500,4,FALSE()),""))</f>
        <v/>
      </c>
      <c r="D55" s="175" t="str">
        <f aca="false">IF($A55="","",SUMIFS(DITARI!$F$6:$F$550,DITARI!$D$6:$D$550,$A55))</f>
        <v/>
      </c>
      <c r="E55" s="175" t="str">
        <f aca="false">IF($A55="","",SUMIFS(DITARI!$G$6:$G$550,DITARI!$D$6:$D$550,$A55))</f>
        <v/>
      </c>
      <c r="F55" s="175" t="str">
        <f aca="false">IF($A55="","",MAX($D55-$E55,0))</f>
        <v/>
      </c>
      <c r="G55" s="175" t="str">
        <f aca="false">IF($A55="","",MAX($E55-$D55,0))</f>
        <v/>
      </c>
      <c r="H55" s="174" t="str">
        <f aca="false">IF($A55="","",IF($F55&gt;0,"Saldo Debit",IF($G55&gt;0,"Saldo Kredit","Zero")))</f>
        <v/>
      </c>
      <c r="I55" s="174" t="str">
        <f aca="false">IF($A55="","",IFERROR(VLOOKUP($A55,PLANI_LLOGARIVE!$A$2:$I$500,9,FALSE()),""))</f>
        <v/>
      </c>
      <c r="J55" s="101" t="str">
        <f aca="false">IF(A55="","",IF(OR(H55="Zero",I55="Debit/Credit"),"",IF(OR(AND(H55="Saldo Debit",I55="Debit"),AND(H55="Saldo Kredit",OR(I55="Credit",I55="Kredit"))),"","⚠️ JO NORMALE")))</f>
        <v/>
      </c>
    </row>
    <row r="56" customFormat="false" ht="12.75" hidden="false" customHeight="true" outlineLevel="0" collapsed="false">
      <c r="A56" s="172" t="str">
        <f aca="false">IF(AND(PLANI_LLOGARIVE!$A50&lt;&gt;"",PLANI_LLOGARIVE!$J50=TRUE()),PLANI_LLOGARIVE!$A50&amp;"","")</f>
        <v>371</v>
      </c>
      <c r="B56" s="172" t="str">
        <f aca="false">IF($A56="","",IFERROR(VLOOKUP($A56,PLANI_LLOGARIVE!$A$2:$I$500,2,FALSE()),""))</f>
        <v>Materiale të para në rrugë</v>
      </c>
      <c r="C56" s="172" t="str">
        <f aca="false">IF($A56="","",IFERROR(VLOOKUP($A56,PLANI_LLOGARIVE!$A$2:$I$500,4,FALSE()),""))</f>
        <v>3</v>
      </c>
      <c r="D56" s="173" t="n">
        <f aca="false">IF($A56="","",SUMIFS(DITARI!$F$6:$F$550,DITARI!$D$6:$D$550,$A56))</f>
        <v>0</v>
      </c>
      <c r="E56" s="173" t="n">
        <f aca="false">IF($A56="","",SUMIFS(DITARI!$G$6:$G$550,DITARI!$D$6:$D$550,$A56))</f>
        <v>0</v>
      </c>
      <c r="F56" s="173" t="n">
        <f aca="false">IF($A56="","",MAX($D56-$E56,0))</f>
        <v>0</v>
      </c>
      <c r="G56" s="173" t="n">
        <f aca="false">IF($A56="","",MAX($E56-$D56,0))</f>
        <v>0</v>
      </c>
      <c r="H56" s="172" t="str">
        <f aca="false">IF($A56="","",IF($F56&gt;0,"Saldo Debit",IF($G56&gt;0,"Saldo Kredit","Zero")))</f>
        <v>Zero</v>
      </c>
      <c r="I56" s="172" t="str">
        <f aca="false">IF($A56="","",IFERROR(VLOOKUP($A56,PLANI_LLOGARIVE!$A$2:$I$500,9,FALSE()),""))</f>
        <v>Debit</v>
      </c>
      <c r="J56" s="101" t="str">
        <f aca="false">IF(A56="","",IF(OR(H56="Zero",I56="Debit/Credit"),"",IF(OR(AND(H56="Saldo Debit",I56="Debit"),AND(H56="Saldo Kredit",OR(I56="Credit",I56="Kredit"))),"","⚠️ JO NORMALE")))</f>
        <v/>
      </c>
    </row>
    <row r="57" customFormat="false" ht="12.75" hidden="false" customHeight="true" outlineLevel="0" collapsed="false">
      <c r="A57" s="174" t="str">
        <f aca="false">IF(AND(PLANI_LLOGARIVE!$A51&lt;&gt;"",PLANI_LLOGARIVE!$J51=TRUE()),PLANI_LLOGARIVE!$A51&amp;"","")</f>
        <v>372</v>
      </c>
      <c r="B57" s="174" t="str">
        <f aca="false">IF($A57="","",IFERROR(VLOOKUP($A57,PLANI_LLOGARIVE!$A$2:$I$500,2,FALSE()),""))</f>
        <v>Materiale të tjera në rrugë</v>
      </c>
      <c r="C57" s="174" t="str">
        <f aca="false">IF($A57="","",IFERROR(VLOOKUP($A57,PLANI_LLOGARIVE!$A$2:$I$500,4,FALSE()),""))</f>
        <v>3</v>
      </c>
      <c r="D57" s="175" t="n">
        <f aca="false">IF($A57="","",SUMIFS(DITARI!$F$6:$F$550,DITARI!$D$6:$D$550,$A57))</f>
        <v>0</v>
      </c>
      <c r="E57" s="175" t="n">
        <f aca="false">IF($A57="","",SUMIFS(DITARI!$G$6:$G$550,DITARI!$D$6:$D$550,$A57))</f>
        <v>0</v>
      </c>
      <c r="F57" s="175" t="n">
        <f aca="false">IF($A57="","",MAX($D57-$E57,0))</f>
        <v>0</v>
      </c>
      <c r="G57" s="175" t="n">
        <f aca="false">IF($A57="","",MAX($E57-$D57,0))</f>
        <v>0</v>
      </c>
      <c r="H57" s="174" t="str">
        <f aca="false">IF($A57="","",IF($F57&gt;0,"Saldo Debit",IF($G57&gt;0,"Saldo Kredit","Zero")))</f>
        <v>Zero</v>
      </c>
      <c r="I57" s="174" t="str">
        <f aca="false">IF($A57="","",IFERROR(VLOOKUP($A57,PLANI_LLOGARIVE!$A$2:$I$500,9,FALSE()),""))</f>
        <v>Debit</v>
      </c>
      <c r="J57" s="101" t="str">
        <f aca="false">IF(A57="","",IF(OR(H57="Zero",I57="Debit/Credit"),"",IF(OR(AND(H57="Saldo Debit",I57="Debit"),AND(H57="Saldo Kredit",OR(I57="Credit",I57="Kredit"))),"","⚠️ JO NORMALE")))</f>
        <v/>
      </c>
    </row>
    <row r="58" customFormat="false" ht="12.75" hidden="false" customHeight="true" outlineLevel="0" collapsed="false">
      <c r="A58" s="172" t="str">
        <f aca="false">IF(AND(PLANI_LLOGARIVE!$A52&lt;&gt;"",PLANI_LLOGARIVE!$J52=TRUE()),PLANI_LLOGARIVE!$A52&amp;"","")</f>
        <v>374</v>
      </c>
      <c r="B58" s="172" t="str">
        <f aca="false">IF($A58="","",IFERROR(VLOOKUP($A58,PLANI_LLOGARIVE!$A$2:$I$500,2,FALSE()),""))</f>
        <v>Produkte të gatshme në rrugë</v>
      </c>
      <c r="C58" s="172" t="str">
        <f aca="false">IF($A58="","",IFERROR(VLOOKUP($A58,PLANI_LLOGARIVE!$A$2:$I$500,4,FALSE()),""))</f>
        <v>3</v>
      </c>
      <c r="D58" s="173" t="n">
        <f aca="false">IF($A58="","",SUMIFS(DITARI!$F$6:$F$550,DITARI!$D$6:$D$550,$A58))</f>
        <v>0</v>
      </c>
      <c r="E58" s="173" t="n">
        <f aca="false">IF($A58="","",SUMIFS(DITARI!$G$6:$G$550,DITARI!$D$6:$D$550,$A58))</f>
        <v>0</v>
      </c>
      <c r="F58" s="173" t="n">
        <f aca="false">IF($A58="","",MAX($D58-$E58,0))</f>
        <v>0</v>
      </c>
      <c r="G58" s="173" t="n">
        <f aca="false">IF($A58="","",MAX($E58-$D58,0))</f>
        <v>0</v>
      </c>
      <c r="H58" s="172" t="str">
        <f aca="false">IF($A58="","",IF($F58&gt;0,"Saldo Debit",IF($G58&gt;0,"Saldo Kredit","Zero")))</f>
        <v>Zero</v>
      </c>
      <c r="I58" s="172" t="str">
        <f aca="false">IF($A58="","",IFERROR(VLOOKUP($A58,PLANI_LLOGARIVE!$A$2:$I$500,9,FALSE()),""))</f>
        <v>Debit</v>
      </c>
      <c r="J58" s="101" t="str">
        <f aca="false">IF(A58="","",IF(OR(H58="Zero",I58="Debit/Credit"),"",IF(OR(AND(H58="Saldo Debit",I58="Debit"),AND(H58="Saldo Kredit",OR(I58="Credit",I58="Kredit"))),"","⚠️ JO NORMALE")))</f>
        <v/>
      </c>
    </row>
    <row r="59" customFormat="false" ht="12.75" hidden="false" customHeight="true" outlineLevel="0" collapsed="false">
      <c r="A59" s="174" t="str">
        <f aca="false">IF(AND(PLANI_LLOGARIVE!$A53&lt;&gt;"",PLANI_LLOGARIVE!$J53=TRUE()),PLANI_LLOGARIVE!$A53&amp;"","")</f>
        <v>375</v>
      </c>
      <c r="B59" s="174" t="str">
        <f aca="false">IF($A59="","",IFERROR(VLOOKUP($A59,PLANI_LLOGARIVE!$A$2:$I$500,2,FALSE()),""))</f>
        <v>Mallra në rrugë</v>
      </c>
      <c r="C59" s="174" t="str">
        <f aca="false">IF($A59="","",IFERROR(VLOOKUP($A59,PLANI_LLOGARIVE!$A$2:$I$500,4,FALSE()),""))</f>
        <v>3</v>
      </c>
      <c r="D59" s="175" t="n">
        <f aca="false">IF($A59="","",SUMIFS(DITARI!$F$6:$F$550,DITARI!$D$6:$D$550,$A59))</f>
        <v>0</v>
      </c>
      <c r="E59" s="175" t="n">
        <f aca="false">IF($A59="","",SUMIFS(DITARI!$G$6:$G$550,DITARI!$D$6:$D$550,$A59))</f>
        <v>0</v>
      </c>
      <c r="F59" s="175" t="n">
        <f aca="false">IF($A59="","",MAX($D59-$E59,0))</f>
        <v>0</v>
      </c>
      <c r="G59" s="175" t="n">
        <f aca="false">IF($A59="","",MAX($E59-$D59,0))</f>
        <v>0</v>
      </c>
      <c r="H59" s="174" t="str">
        <f aca="false">IF($A59="","",IF($F59&gt;0,"Saldo Debit",IF($G59&gt;0,"Saldo Kredit","Zero")))</f>
        <v>Zero</v>
      </c>
      <c r="I59" s="174" t="str">
        <f aca="false">IF($A59="","",IFERROR(VLOOKUP($A59,PLANI_LLOGARIVE!$A$2:$I$500,9,FALSE()),""))</f>
        <v>Debit</v>
      </c>
      <c r="J59" s="101" t="str">
        <f aca="false">IF(A59="","",IF(OR(H59="Zero",I59="Debit/Credit"),"",IF(OR(AND(H59="Saldo Debit",I59="Debit"),AND(H59="Saldo Kredit",OR(I59="Credit",I59="Kredit"))),"","⚠️ JO NORMALE")))</f>
        <v/>
      </c>
    </row>
    <row r="60" customFormat="false" ht="12.75" hidden="false" customHeight="true" outlineLevel="0" collapsed="false">
      <c r="A60" s="172" t="str">
        <f aca="false">IF(AND(PLANI_LLOGARIVE!$A54&lt;&gt;"",PLANI_LLOGARIVE!$J54=TRUE()),PLANI_LLOGARIVE!$A54&amp;"","")</f>
        <v/>
      </c>
      <c r="B60" s="172" t="str">
        <f aca="false">IF($A60="","",IFERROR(VLOOKUP($A60,PLANI_LLOGARIVE!$A$2:$I$500,2,FALSE()),""))</f>
        <v/>
      </c>
      <c r="C60" s="172" t="str">
        <f aca="false">IF($A60="","",IFERROR(VLOOKUP($A60,PLANI_LLOGARIVE!$A$2:$I$500,4,FALSE()),""))</f>
        <v/>
      </c>
      <c r="D60" s="173" t="str">
        <f aca="false">IF($A60="","",SUMIFS(DITARI!$F$6:$F$550,DITARI!$D$6:$D$550,$A60))</f>
        <v/>
      </c>
      <c r="E60" s="173" t="str">
        <f aca="false">IF($A60="","",SUMIFS(DITARI!$G$6:$G$550,DITARI!$D$6:$D$550,$A60))</f>
        <v/>
      </c>
      <c r="F60" s="173" t="str">
        <f aca="false">IF($A60="","",MAX($D60-$E60,0))</f>
        <v/>
      </c>
      <c r="G60" s="173" t="str">
        <f aca="false">IF($A60="","",MAX($E60-$D60,0))</f>
        <v/>
      </c>
      <c r="H60" s="172" t="str">
        <f aca="false">IF($A60="","",IF($F60&gt;0,"Saldo Debit",IF($G60&gt;0,"Saldo Kredit","Zero")))</f>
        <v/>
      </c>
      <c r="I60" s="172" t="str">
        <f aca="false">IF($A60="","",IFERROR(VLOOKUP($A60,PLANI_LLOGARIVE!$A$2:$I$500,9,FALSE()),""))</f>
        <v/>
      </c>
      <c r="J60" s="101" t="str">
        <f aca="false">IF(A60="","",IF(OR(H60="Zero",I60="Debit/Credit"),"",IF(OR(AND(H60="Saldo Debit",I60="Debit"),AND(H60="Saldo Kredit",OR(I60="Credit",I60="Kredit"))),"","⚠️ JO NORMALE")))</f>
        <v/>
      </c>
    </row>
    <row r="61" customFormat="false" ht="12.75" hidden="false" customHeight="true" outlineLevel="0" collapsed="false">
      <c r="A61" s="174" t="str">
        <f aca="false">IF(AND(PLANI_LLOGARIVE!$A55&lt;&gt;"",PLANI_LLOGARIVE!$J55=TRUE()),PLANI_LLOGARIVE!$A55&amp;"","")</f>
        <v>391</v>
      </c>
      <c r="B61" s="174" t="str">
        <f aca="false">IF($A61="","",IFERROR(VLOOKUP($A61,PLANI_LLOGARIVE!$A$2:$I$500,2,FALSE()),""))</f>
        <v>Zhvlerësim i materialeve të para</v>
      </c>
      <c r="C61" s="174" t="str">
        <f aca="false">IF($A61="","",IFERROR(VLOOKUP($A61,PLANI_LLOGARIVE!$A$2:$I$500,4,FALSE()),""))</f>
        <v>3</v>
      </c>
      <c r="D61" s="175" t="n">
        <f aca="false">IF($A61="","",SUMIFS(DITARI!$F$6:$F$550,DITARI!$D$6:$D$550,$A61))</f>
        <v>0</v>
      </c>
      <c r="E61" s="175" t="n">
        <f aca="false">IF($A61="","",SUMIFS(DITARI!$G$6:$G$550,DITARI!$D$6:$D$550,$A61))</f>
        <v>0</v>
      </c>
      <c r="F61" s="175" t="n">
        <f aca="false">IF($A61="","",MAX($D61-$E61,0))</f>
        <v>0</v>
      </c>
      <c r="G61" s="175" t="n">
        <f aca="false">IF($A61="","",MAX($E61-$D61,0))</f>
        <v>0</v>
      </c>
      <c r="H61" s="174" t="str">
        <f aca="false">IF($A61="","",IF($F61&gt;0,"Saldo Debit",IF($G61&gt;0,"Saldo Kredit","Zero")))</f>
        <v>Zero</v>
      </c>
      <c r="I61" s="174" t="str">
        <f aca="false">IF($A61="","",IFERROR(VLOOKUP($A61,PLANI_LLOGARIVE!$A$2:$I$500,9,FALSE()),""))</f>
        <v>Credit</v>
      </c>
      <c r="J61" s="101" t="str">
        <f aca="false">IF(A61="","",IF(OR(H61="Zero",I61="Debit/Credit"),"",IF(OR(AND(H61="Saldo Debit",I61="Debit"),AND(H61="Saldo Kredit",OR(I61="Credit",I61="Kredit"))),"","⚠️ JO NORMALE")))</f>
        <v/>
      </c>
    </row>
    <row r="62" customFormat="false" ht="12.75" hidden="false" customHeight="true" outlineLevel="0" collapsed="false">
      <c r="A62" s="172" t="str">
        <f aca="false">IF(AND(PLANI_LLOGARIVE!$A56&lt;&gt;"",PLANI_LLOGARIVE!$J56=TRUE()),PLANI_LLOGARIVE!$A56&amp;"","")</f>
        <v>394</v>
      </c>
      <c r="B62" s="172" t="str">
        <f aca="false">IF($A62="","",IFERROR(VLOOKUP($A62,PLANI_LLOGARIVE!$A$2:$I$500,2,FALSE()),""))</f>
        <v>Zhvlerësim i produkteve të gatshme</v>
      </c>
      <c r="C62" s="172" t="str">
        <f aca="false">IF($A62="","",IFERROR(VLOOKUP($A62,PLANI_LLOGARIVE!$A$2:$I$500,4,FALSE()),""))</f>
        <v>3</v>
      </c>
      <c r="D62" s="173" t="n">
        <f aca="false">IF($A62="","",SUMIFS(DITARI!$F$6:$F$550,DITARI!$D$6:$D$550,$A62))</f>
        <v>0</v>
      </c>
      <c r="E62" s="173" t="n">
        <f aca="false">IF($A62="","",SUMIFS(DITARI!$G$6:$G$550,DITARI!$D$6:$D$550,$A62))</f>
        <v>0</v>
      </c>
      <c r="F62" s="173" t="n">
        <f aca="false">IF($A62="","",MAX($D62-$E62,0))</f>
        <v>0</v>
      </c>
      <c r="G62" s="173" t="n">
        <f aca="false">IF($A62="","",MAX($E62-$D62,0))</f>
        <v>0</v>
      </c>
      <c r="H62" s="172" t="str">
        <f aca="false">IF($A62="","",IF($F62&gt;0,"Saldo Debit",IF($G62&gt;0,"Saldo Kredit","Zero")))</f>
        <v>Zero</v>
      </c>
      <c r="I62" s="172" t="str">
        <f aca="false">IF($A62="","",IFERROR(VLOOKUP($A62,PLANI_LLOGARIVE!$A$2:$I$500,9,FALSE()),""))</f>
        <v>Credit</v>
      </c>
      <c r="J62" s="101" t="str">
        <f aca="false">IF(A62="","",IF(OR(H62="Zero",I62="Debit/Credit"),"",IF(OR(AND(H62="Saldo Debit",I62="Debit"),AND(H62="Saldo Kredit",OR(I62="Credit",I62="Kredit"))),"","⚠️ JO NORMALE")))</f>
        <v/>
      </c>
    </row>
    <row r="63" customFormat="false" ht="12.75" hidden="false" customHeight="true" outlineLevel="0" collapsed="false">
      <c r="A63" s="174" t="str">
        <f aca="false">IF(AND(PLANI_LLOGARIVE!$A57&lt;&gt;"",PLANI_LLOGARIVE!$J57=TRUE()),PLANI_LLOGARIVE!$A57&amp;"","")</f>
        <v>395</v>
      </c>
      <c r="B63" s="174" t="str">
        <f aca="false">IF($A63="","",IFERROR(VLOOKUP($A63,PLANI_LLOGARIVE!$A$2:$I$500,2,FALSE()),""))</f>
        <v>Zhvlerësim i mallrave për shitje</v>
      </c>
      <c r="C63" s="174" t="str">
        <f aca="false">IF($A63="","",IFERROR(VLOOKUP($A63,PLANI_LLOGARIVE!$A$2:$I$500,4,FALSE()),""))</f>
        <v>3</v>
      </c>
      <c r="D63" s="175" t="n">
        <f aca="false">IF($A63="","",SUMIFS(DITARI!$F$6:$F$550,DITARI!$D$6:$D$550,$A63))</f>
        <v>0</v>
      </c>
      <c r="E63" s="175" t="n">
        <f aca="false">IF($A63="","",SUMIFS(DITARI!$G$6:$G$550,DITARI!$D$6:$D$550,$A63))</f>
        <v>0</v>
      </c>
      <c r="F63" s="175" t="n">
        <f aca="false">IF($A63="","",MAX($D63-$E63,0))</f>
        <v>0</v>
      </c>
      <c r="G63" s="175" t="n">
        <f aca="false">IF($A63="","",MAX($E63-$D63,0))</f>
        <v>0</v>
      </c>
      <c r="H63" s="174" t="str">
        <f aca="false">IF($A63="","",IF($F63&gt;0,"Saldo Debit",IF($G63&gt;0,"Saldo Kredit","Zero")))</f>
        <v>Zero</v>
      </c>
      <c r="I63" s="174" t="str">
        <f aca="false">IF($A63="","",IFERROR(VLOOKUP($A63,PLANI_LLOGARIVE!$A$2:$I$500,9,FALSE()),""))</f>
        <v>Credit</v>
      </c>
      <c r="J63" s="101" t="str">
        <f aca="false">IF(A63="","",IF(OR(H63="Zero",I63="Debit/Credit"),"",IF(OR(AND(H63="Saldo Debit",I63="Debit"),AND(H63="Saldo Kredit",OR(I63="Credit",I63="Kredit"))),"","⚠️ JO NORMALE")))</f>
        <v/>
      </c>
    </row>
    <row r="64" customFormat="false" ht="12.75" hidden="false" customHeight="true" outlineLevel="0" collapsed="false">
      <c r="A64" s="172" t="str">
        <f aca="false">IF(AND(PLANI_LLOGARIVE!$A58&lt;&gt;"",PLANI_LLOGARIVE!$J58=TRUE()),PLANI_LLOGARIVE!$A58&amp;"","")</f>
        <v/>
      </c>
      <c r="B64" s="172" t="str">
        <f aca="false">IF($A64="","",IFERROR(VLOOKUP($A64,PLANI_LLOGARIVE!$A$2:$I$500,2,FALSE()),""))</f>
        <v/>
      </c>
      <c r="C64" s="172" t="str">
        <f aca="false">IF($A64="","",IFERROR(VLOOKUP($A64,PLANI_LLOGARIVE!$A$2:$I$500,4,FALSE()),""))</f>
        <v/>
      </c>
      <c r="D64" s="173" t="str">
        <f aca="false">IF($A64="","",SUMIFS(DITARI!$F$6:$F$550,DITARI!$D$6:$D$550,$A64))</f>
        <v/>
      </c>
      <c r="E64" s="173" t="str">
        <f aca="false">IF($A64="","",SUMIFS(DITARI!$G$6:$G$550,DITARI!$D$6:$D$550,$A64))</f>
        <v/>
      </c>
      <c r="F64" s="173" t="str">
        <f aca="false">IF($A64="","",MAX($D64-$E64,0))</f>
        <v/>
      </c>
      <c r="G64" s="173" t="str">
        <f aca="false">IF($A64="","",MAX($E64-$D64,0))</f>
        <v/>
      </c>
      <c r="H64" s="172" t="str">
        <f aca="false">IF($A64="","",IF($F64&gt;0,"Saldo Debit",IF($G64&gt;0,"Saldo Kredit","Zero")))</f>
        <v/>
      </c>
      <c r="I64" s="172" t="str">
        <f aca="false">IF($A64="","",IFERROR(VLOOKUP($A64,PLANI_LLOGARIVE!$A$2:$I$500,9,FALSE()),""))</f>
        <v/>
      </c>
      <c r="J64" s="101" t="str">
        <f aca="false">IF(A64="","",IF(OR(H64="Zero",I64="Debit/Credit"),"",IF(OR(AND(H64="Saldo Debit",I64="Debit"),AND(H64="Saldo Kredit",OR(I64="Credit",I64="Kredit"))),"","⚠️ JO NORMALE")))</f>
        <v/>
      </c>
    </row>
    <row r="65" customFormat="false" ht="12.75" hidden="false" customHeight="true" outlineLevel="0" collapsed="false">
      <c r="A65" s="174" t="str">
        <f aca="false">IF(AND(PLANI_LLOGARIVE!$A59&lt;&gt;"",PLANI_LLOGARIVE!$J59=TRUE()),PLANI_LLOGARIVE!$A59&amp;"","")</f>
        <v/>
      </c>
      <c r="B65" s="174" t="str">
        <f aca="false">IF($A65="","",IFERROR(VLOOKUP($A65,PLANI_LLOGARIVE!$A$2:$I$500,2,FALSE()),""))</f>
        <v/>
      </c>
      <c r="C65" s="174" t="str">
        <f aca="false">IF($A65="","",IFERROR(VLOOKUP($A65,PLANI_LLOGARIVE!$A$2:$I$500,4,FALSE()),""))</f>
        <v/>
      </c>
      <c r="D65" s="175" t="str">
        <f aca="false">IF($A65="","",SUMIFS(DITARI!$F$6:$F$550,DITARI!$D$6:$D$550,$A65))</f>
        <v/>
      </c>
      <c r="E65" s="175" t="str">
        <f aca="false">IF($A65="","",SUMIFS(DITARI!$G$6:$G$550,DITARI!$D$6:$D$550,$A65))</f>
        <v/>
      </c>
      <c r="F65" s="175" t="str">
        <f aca="false">IF($A65="","",MAX($D65-$E65,0))</f>
        <v/>
      </c>
      <c r="G65" s="175" t="str">
        <f aca="false">IF($A65="","",MAX($E65-$D65,0))</f>
        <v/>
      </c>
      <c r="H65" s="174" t="str">
        <f aca="false">IF($A65="","",IF($F65&gt;0,"Saldo Debit",IF($G65&gt;0,"Saldo Kredit","Zero")))</f>
        <v/>
      </c>
      <c r="I65" s="174" t="str">
        <f aca="false">IF($A65="","",IFERROR(VLOOKUP($A65,PLANI_LLOGARIVE!$A$2:$I$500,9,FALSE()),""))</f>
        <v/>
      </c>
      <c r="J65" s="101" t="str">
        <f aca="false">IF(A65="","",IF(OR(H65="Zero",I65="Debit/Credit"),"",IF(OR(AND(H65="Saldo Debit",I65="Debit"),AND(H65="Saldo Kredit",OR(I65="Credit",I65="Kredit"))),"","⚠️ JO NORMALE")))</f>
        <v/>
      </c>
    </row>
    <row r="66" customFormat="false" ht="12.75" hidden="false" customHeight="true" outlineLevel="0" collapsed="false">
      <c r="A66" s="172" t="str">
        <f aca="false">IF(AND(PLANI_LLOGARIVE!$A60&lt;&gt;"",PLANI_LLOGARIVE!$J60=TRUE()),PLANI_LLOGARIVE!$A60&amp;"","")</f>
        <v>401</v>
      </c>
      <c r="B66" s="172" t="str">
        <f aca="false">IF($A66="","",IFERROR(VLOOKUP($A66,PLANI_LLOGARIVE!$A$2:$I$500,2,FALSE()),""))</f>
        <v>Furnitorë për mallra, produkte e shërbime</v>
      </c>
      <c r="C66" s="172" t="str">
        <f aca="false">IF($A66="","",IFERROR(VLOOKUP($A66,PLANI_LLOGARIVE!$A$2:$I$500,4,FALSE()),""))</f>
        <v>4</v>
      </c>
      <c r="D66" s="173" t="n">
        <f aca="false">IF($A66="","",SUMIFS(DITARI!$F$6:$F$550,DITARI!$D$6:$D$550,$A66))</f>
        <v>0</v>
      </c>
      <c r="E66" s="173" t="n">
        <f aca="false">IF($A66="","",SUMIFS(DITARI!$G$6:$G$550,DITARI!$D$6:$D$550,$A66))</f>
        <v>0</v>
      </c>
      <c r="F66" s="173" t="n">
        <f aca="false">IF($A66="","",MAX($D66-$E66,0))</f>
        <v>0</v>
      </c>
      <c r="G66" s="173" t="n">
        <f aca="false">IF($A66="","",MAX($E66-$D66,0))</f>
        <v>0</v>
      </c>
      <c r="H66" s="172" t="str">
        <f aca="false">IF($A66="","",IF($F66&gt;0,"Saldo Debit",IF($G66&gt;0,"Saldo Kredit","Zero")))</f>
        <v>Zero</v>
      </c>
      <c r="I66" s="172" t="str">
        <f aca="false">IF($A66="","",IFERROR(VLOOKUP($A66,PLANI_LLOGARIVE!$A$2:$I$500,9,FALSE()),""))</f>
        <v>Credit</v>
      </c>
      <c r="J66" s="101" t="str">
        <f aca="false">IF(A66="","",IF(OR(H66="Zero",I66="Debit/Credit"),"",IF(OR(AND(H66="Saldo Debit",I66="Debit"),AND(H66="Saldo Kredit",OR(I66="Credit",I66="Kredit"))),"","⚠️ JO NORMALE")))</f>
        <v/>
      </c>
    </row>
    <row r="67" customFormat="false" ht="12.75" hidden="false" customHeight="true" outlineLevel="0" collapsed="false">
      <c r="A67" s="174" t="str">
        <f aca="false">IF(AND(PLANI_LLOGARIVE!$A61&lt;&gt;"",PLANI_LLOGARIVE!$J61=TRUE()),PLANI_LLOGARIVE!$A61&amp;"","")</f>
        <v>403</v>
      </c>
      <c r="B67" s="174" t="str">
        <f aca="false">IF($A67="","",IFERROR(VLOOKUP($A67,PLANI_LLOGARIVE!$A$2:$I$500,2,FALSE()),""))</f>
        <v>Premtim pagesa të pagueshme</v>
      </c>
      <c r="C67" s="174" t="str">
        <f aca="false">IF($A67="","",IFERROR(VLOOKUP($A67,PLANI_LLOGARIVE!$A$2:$I$500,4,FALSE()),""))</f>
        <v>4</v>
      </c>
      <c r="D67" s="175" t="n">
        <f aca="false">IF($A67="","",SUMIFS(DITARI!$F$6:$F$550,DITARI!$D$6:$D$550,$A67))</f>
        <v>0</v>
      </c>
      <c r="E67" s="175" t="n">
        <f aca="false">IF($A67="","",SUMIFS(DITARI!$G$6:$G$550,DITARI!$D$6:$D$550,$A67))</f>
        <v>0</v>
      </c>
      <c r="F67" s="175" t="n">
        <f aca="false">IF($A67="","",MAX($D67-$E67,0))</f>
        <v>0</v>
      </c>
      <c r="G67" s="175" t="n">
        <f aca="false">IF($A67="","",MAX($E67-$D67,0))</f>
        <v>0</v>
      </c>
      <c r="H67" s="174" t="str">
        <f aca="false">IF($A67="","",IF($F67&gt;0,"Saldo Debit",IF($G67&gt;0,"Saldo Kredit","Zero")))</f>
        <v>Zero</v>
      </c>
      <c r="I67" s="174" t="str">
        <f aca="false">IF($A67="","",IFERROR(VLOOKUP($A67,PLANI_LLOGARIVE!$A$2:$I$500,9,FALSE()),""))</f>
        <v>Credit</v>
      </c>
      <c r="J67" s="101" t="str">
        <f aca="false">IF(A67="","",IF(OR(H67="Zero",I67="Debit/Credit"),"",IF(OR(AND(H67="Saldo Debit",I67="Debit"),AND(H67="Saldo Kredit",OR(I67="Credit",I67="Kredit"))),"","⚠️ JO NORMALE")))</f>
        <v/>
      </c>
    </row>
    <row r="68" customFormat="false" ht="12.75" hidden="false" customHeight="true" outlineLevel="0" collapsed="false">
      <c r="A68" s="172" t="str">
        <f aca="false">IF(AND(PLANI_LLOGARIVE!$A62&lt;&gt;"",PLANI_LLOGARIVE!$J62=TRUE()),PLANI_LLOGARIVE!$A62&amp;"","")</f>
        <v>404</v>
      </c>
      <c r="B68" s="172" t="str">
        <f aca="false">IF($A68="","",IFERROR(VLOOKUP($A68,PLANI_LLOGARIVE!$A$2:$I$500,2,FALSE()),""))</f>
        <v>Furnitorë për aktive afatgjata</v>
      </c>
      <c r="C68" s="172" t="str">
        <f aca="false">IF($A68="","",IFERROR(VLOOKUP($A68,PLANI_LLOGARIVE!$A$2:$I$500,4,FALSE()),""))</f>
        <v>4</v>
      </c>
      <c r="D68" s="173" t="n">
        <f aca="false">IF($A68="","",SUMIFS(DITARI!$F$6:$F$550,DITARI!$D$6:$D$550,$A68))</f>
        <v>0</v>
      </c>
      <c r="E68" s="173" t="n">
        <f aca="false">IF($A68="","",SUMIFS(DITARI!$G$6:$G$550,DITARI!$D$6:$D$550,$A68))</f>
        <v>0</v>
      </c>
      <c r="F68" s="173" t="n">
        <f aca="false">IF($A68="","",MAX($D68-$E68,0))</f>
        <v>0</v>
      </c>
      <c r="G68" s="173" t="n">
        <f aca="false">IF($A68="","",MAX($E68-$D68,0))</f>
        <v>0</v>
      </c>
      <c r="H68" s="172" t="str">
        <f aca="false">IF($A68="","",IF($F68&gt;0,"Saldo Debit",IF($G68&gt;0,"Saldo Kredit","Zero")))</f>
        <v>Zero</v>
      </c>
      <c r="I68" s="172" t="str">
        <f aca="false">IF($A68="","",IFERROR(VLOOKUP($A68,PLANI_LLOGARIVE!$A$2:$I$500,9,FALSE()),""))</f>
        <v>Credit</v>
      </c>
      <c r="J68" s="101" t="str">
        <f aca="false">IF(A68="","",IF(OR(H68="Zero",I68="Debit/Credit"),"",IF(OR(AND(H68="Saldo Debit",I68="Debit"),AND(H68="Saldo Kredit",OR(I68="Credit",I68="Kredit"))),"","⚠️ JO NORMALE")))</f>
        <v/>
      </c>
    </row>
    <row r="69" customFormat="false" ht="12.75" hidden="false" customHeight="true" outlineLevel="0" collapsed="false">
      <c r="A69" s="174" t="str">
        <f aca="false">IF(AND(PLANI_LLOGARIVE!$A63&lt;&gt;"",PLANI_LLOGARIVE!$J63=TRUE()),PLANI_LLOGARIVE!$A63&amp;"","")</f>
        <v>408</v>
      </c>
      <c r="B69" s="174" t="str">
        <f aca="false">IF($A69="","",IFERROR(VLOOKUP($A69,PLANI_LLOGARIVE!$A$2:$I$500,2,FALSE()),""))</f>
        <v>Furnitorë për fatura të pambërritura</v>
      </c>
      <c r="C69" s="174" t="str">
        <f aca="false">IF($A69="","",IFERROR(VLOOKUP($A69,PLANI_LLOGARIVE!$A$2:$I$500,4,FALSE()),""))</f>
        <v>4</v>
      </c>
      <c r="D69" s="175" t="n">
        <f aca="false">IF($A69="","",SUMIFS(DITARI!$F$6:$F$550,DITARI!$D$6:$D$550,$A69))</f>
        <v>0</v>
      </c>
      <c r="E69" s="175" t="n">
        <f aca="false">IF($A69="","",SUMIFS(DITARI!$G$6:$G$550,DITARI!$D$6:$D$550,$A69))</f>
        <v>0</v>
      </c>
      <c r="F69" s="175" t="n">
        <f aca="false">IF($A69="","",MAX($D69-$E69,0))</f>
        <v>0</v>
      </c>
      <c r="G69" s="175" t="n">
        <f aca="false">IF($A69="","",MAX($E69-$D69,0))</f>
        <v>0</v>
      </c>
      <c r="H69" s="174" t="str">
        <f aca="false">IF($A69="","",IF($F69&gt;0,"Saldo Debit",IF($G69&gt;0,"Saldo Kredit","Zero")))</f>
        <v>Zero</v>
      </c>
      <c r="I69" s="174" t="str">
        <f aca="false">IF($A69="","",IFERROR(VLOOKUP($A69,PLANI_LLOGARIVE!$A$2:$I$500,9,FALSE()),""))</f>
        <v>Credit</v>
      </c>
      <c r="J69" s="101" t="str">
        <f aca="false">IF(A69="","",IF(OR(H69="Zero",I69="Debit/Credit"),"",IF(OR(AND(H69="Saldo Debit",I69="Debit"),AND(H69="Saldo Kredit",OR(I69="Credit",I69="Kredit"))),"","⚠️ JO NORMALE")))</f>
        <v/>
      </c>
    </row>
    <row r="70" customFormat="false" ht="12.75" hidden="false" customHeight="true" outlineLevel="0" collapsed="false">
      <c r="A70" s="172" t="str">
        <f aca="false">IF(AND(PLANI_LLOGARIVE!$A64&lt;&gt;"",PLANI_LLOGARIVE!$J64=TRUE()),PLANI_LLOGARIVE!$A64&amp;"","")</f>
        <v>409</v>
      </c>
      <c r="B70" s="172" t="str">
        <f aca="false">IF($A70="","",IFERROR(VLOOKUP($A70,PLANI_LLOGARIVE!$A$2:$I$500,2,FALSE()),""))</f>
        <v>Parapagime të marra</v>
      </c>
      <c r="C70" s="172" t="str">
        <f aca="false">IF($A70="","",IFERROR(VLOOKUP($A70,PLANI_LLOGARIVE!$A$2:$I$500,4,FALSE()),""))</f>
        <v>4</v>
      </c>
      <c r="D70" s="173" t="n">
        <f aca="false">IF($A70="","",SUMIFS(DITARI!$F$6:$F$550,DITARI!$D$6:$D$550,$A70))</f>
        <v>0</v>
      </c>
      <c r="E70" s="173" t="n">
        <f aca="false">IF($A70="","",SUMIFS(DITARI!$G$6:$G$550,DITARI!$D$6:$D$550,$A70))</f>
        <v>0</v>
      </c>
      <c r="F70" s="173" t="n">
        <f aca="false">IF($A70="","",MAX($D70-$E70,0))</f>
        <v>0</v>
      </c>
      <c r="G70" s="173" t="n">
        <f aca="false">IF($A70="","",MAX($E70-$D70,0))</f>
        <v>0</v>
      </c>
      <c r="H70" s="172" t="str">
        <f aca="false">IF($A70="","",IF($F70&gt;0,"Saldo Debit",IF($G70&gt;0,"Saldo Kredit","Zero")))</f>
        <v>Zero</v>
      </c>
      <c r="I70" s="172" t="str">
        <f aca="false">IF($A70="","",IFERROR(VLOOKUP($A70,PLANI_LLOGARIVE!$A$2:$I$500,9,FALSE()),""))</f>
        <v>Credit</v>
      </c>
      <c r="J70" s="101" t="str">
        <f aca="false">IF(A70="","",IF(OR(H70="Zero",I70="Debit/Credit"),"",IF(OR(AND(H70="Saldo Debit",I70="Debit"),AND(H70="Saldo Kredit",OR(I70="Credit",I70="Kredit"))),"","⚠️ JO NORMALE")))</f>
        <v/>
      </c>
    </row>
    <row r="71" customFormat="false" ht="12.75" hidden="false" customHeight="true" outlineLevel="0" collapsed="false">
      <c r="A71" s="174" t="str">
        <f aca="false">IF(AND(PLANI_LLOGARIVE!$A65&lt;&gt;"",PLANI_LLOGARIVE!$J65=TRUE()),PLANI_LLOGARIVE!$A65&amp;"","")</f>
        <v/>
      </c>
      <c r="B71" s="174" t="str">
        <f aca="false">IF($A71="","",IFERROR(VLOOKUP($A71,PLANI_LLOGARIVE!$A$2:$I$500,2,FALSE()),""))</f>
        <v/>
      </c>
      <c r="C71" s="174" t="str">
        <f aca="false">IF($A71="","",IFERROR(VLOOKUP($A71,PLANI_LLOGARIVE!$A$2:$I$500,4,FALSE()),""))</f>
        <v/>
      </c>
      <c r="D71" s="175" t="str">
        <f aca="false">IF($A71="","",SUMIFS(DITARI!$F$6:$F$550,DITARI!$D$6:$D$550,$A71))</f>
        <v/>
      </c>
      <c r="E71" s="175" t="str">
        <f aca="false">IF($A71="","",SUMIFS(DITARI!$G$6:$G$550,DITARI!$D$6:$D$550,$A71))</f>
        <v/>
      </c>
      <c r="F71" s="175" t="str">
        <f aca="false">IF($A71="","",MAX($D71-$E71,0))</f>
        <v/>
      </c>
      <c r="G71" s="175" t="str">
        <f aca="false">IF($A71="","",MAX($E71-$D71,0))</f>
        <v/>
      </c>
      <c r="H71" s="174" t="str">
        <f aca="false">IF($A71="","",IF($F71&gt;0,"Saldo Debit",IF($G71&gt;0,"Saldo Kredit","Zero")))</f>
        <v/>
      </c>
      <c r="I71" s="174" t="str">
        <f aca="false">IF($A71="","",IFERROR(VLOOKUP($A71,PLANI_LLOGARIVE!$A$2:$I$500,9,FALSE()),""))</f>
        <v/>
      </c>
      <c r="J71" s="101" t="str">
        <f aca="false">IF(A71="","",IF(OR(H71="Zero",I71="Debit/Credit"),"",IF(OR(AND(H71="Saldo Debit",I71="Debit"),AND(H71="Saldo Kredit",OR(I71="Credit",I71="Kredit"))),"","⚠️ JO NORMALE")))</f>
        <v/>
      </c>
    </row>
    <row r="72" customFormat="false" ht="12.75" hidden="false" customHeight="true" outlineLevel="0" collapsed="false">
      <c r="A72" s="172" t="str">
        <f aca="false">IF(AND(PLANI_LLOGARIVE!$A66&lt;&gt;"",PLANI_LLOGARIVE!$J66=TRUE()),PLANI_LLOGARIVE!$A66&amp;"","")</f>
        <v>411</v>
      </c>
      <c r="B72" s="172" t="str">
        <f aca="false">IF($A72="","",IFERROR(VLOOKUP($A72,PLANI_LLOGARIVE!$A$2:$I$500,2,FALSE()),""))</f>
        <v>Klientë për mallra, produkte e shërbime</v>
      </c>
      <c r="C72" s="172" t="str">
        <f aca="false">IF($A72="","",IFERROR(VLOOKUP($A72,PLANI_LLOGARIVE!$A$2:$I$500,4,FALSE()),""))</f>
        <v>4</v>
      </c>
      <c r="D72" s="173" t="n">
        <f aca="false">IF($A72="","",SUMIFS(DITARI!$F$6:$F$550,DITARI!$D$6:$D$550,$A72))</f>
        <v>0</v>
      </c>
      <c r="E72" s="173" t="n">
        <f aca="false">IF($A72="","",SUMIFS(DITARI!$G$6:$G$550,DITARI!$D$6:$D$550,$A72))</f>
        <v>0</v>
      </c>
      <c r="F72" s="173" t="n">
        <f aca="false">IF($A72="","",MAX($D72-$E72,0))</f>
        <v>0</v>
      </c>
      <c r="G72" s="173" t="n">
        <f aca="false">IF($A72="","",MAX($E72-$D72,0))</f>
        <v>0</v>
      </c>
      <c r="H72" s="172" t="str">
        <f aca="false">IF($A72="","",IF($F72&gt;0,"Saldo Debit",IF($G72&gt;0,"Saldo Kredit","Zero")))</f>
        <v>Zero</v>
      </c>
      <c r="I72" s="172" t="str">
        <f aca="false">IF($A72="","",IFERROR(VLOOKUP($A72,PLANI_LLOGARIVE!$A$2:$I$500,9,FALSE()),""))</f>
        <v>Debit</v>
      </c>
      <c r="J72" s="101" t="str">
        <f aca="false">IF(A72="","",IF(OR(H72="Zero",I72="Debit/Credit"),"",IF(OR(AND(H72="Saldo Debit",I72="Debit"),AND(H72="Saldo Kredit",OR(I72="Credit",I72="Kredit"))),"","⚠️ JO NORMALE")))</f>
        <v/>
      </c>
    </row>
    <row r="73" customFormat="false" ht="12.75" hidden="false" customHeight="true" outlineLevel="0" collapsed="false">
      <c r="A73" s="174" t="str">
        <f aca="false">IF(AND(PLANI_LLOGARIVE!$A67&lt;&gt;"",PLANI_LLOGARIVE!$J67=TRUE()),PLANI_LLOGARIVE!$A67&amp;"","")</f>
        <v>413</v>
      </c>
      <c r="B73" s="174" t="str">
        <f aca="false">IF($A73="","",IFERROR(VLOOKUP($A73,PLANI_LLOGARIVE!$A$2:$I$500,2,FALSE()),""))</f>
        <v>Premtim pagesa të arkëtueshme</v>
      </c>
      <c r="C73" s="174" t="str">
        <f aca="false">IF($A73="","",IFERROR(VLOOKUP($A73,PLANI_LLOGARIVE!$A$2:$I$500,4,FALSE()),""))</f>
        <v>4</v>
      </c>
      <c r="D73" s="175" t="n">
        <f aca="false">IF($A73="","",SUMIFS(DITARI!$F$6:$F$550,DITARI!$D$6:$D$550,$A73))</f>
        <v>0</v>
      </c>
      <c r="E73" s="175" t="n">
        <f aca="false">IF($A73="","",SUMIFS(DITARI!$G$6:$G$550,DITARI!$D$6:$D$550,$A73))</f>
        <v>0</v>
      </c>
      <c r="F73" s="175" t="n">
        <f aca="false">IF($A73="","",MAX($D73-$E73,0))</f>
        <v>0</v>
      </c>
      <c r="G73" s="175" t="n">
        <f aca="false">IF($A73="","",MAX($E73-$D73,0))</f>
        <v>0</v>
      </c>
      <c r="H73" s="174" t="str">
        <f aca="false">IF($A73="","",IF($F73&gt;0,"Saldo Debit",IF($G73&gt;0,"Saldo Kredit","Zero")))</f>
        <v>Zero</v>
      </c>
      <c r="I73" s="174" t="str">
        <f aca="false">IF($A73="","",IFERROR(VLOOKUP($A73,PLANI_LLOGARIVE!$A$2:$I$500,9,FALSE()),""))</f>
        <v>Debit</v>
      </c>
      <c r="J73" s="101" t="str">
        <f aca="false">IF(A73="","",IF(OR(H73="Zero",I73="Debit/Credit"),"",IF(OR(AND(H73="Saldo Debit",I73="Debit"),AND(H73="Saldo Kredit",OR(I73="Credit",I73="Kredit"))),"","⚠️ JO NORMALE")))</f>
        <v/>
      </c>
    </row>
    <row r="74" customFormat="false" ht="12.75" hidden="false" customHeight="true" outlineLevel="0" collapsed="false">
      <c r="A74" s="172" t="str">
        <f aca="false">IF(AND(PLANI_LLOGARIVE!$A68&lt;&gt;"",PLANI_LLOGARIVE!$J68=TRUE()),PLANI_LLOGARIVE!$A68&amp;"","")</f>
        <v>414</v>
      </c>
      <c r="B74" s="172" t="str">
        <f aca="false">IF($A74="","",IFERROR(VLOOKUP($A74,PLANI_LLOGARIVE!$A$2:$I$500,2,FALSE()),""))</f>
        <v>Klientë për aktive afatgjata</v>
      </c>
      <c r="C74" s="172" t="str">
        <f aca="false">IF($A74="","",IFERROR(VLOOKUP($A74,PLANI_LLOGARIVE!$A$2:$I$500,4,FALSE()),""))</f>
        <v>4</v>
      </c>
      <c r="D74" s="173" t="n">
        <f aca="false">IF($A74="","",SUMIFS(DITARI!$F$6:$F$550,DITARI!$D$6:$D$550,$A74))</f>
        <v>0</v>
      </c>
      <c r="E74" s="173" t="n">
        <f aca="false">IF($A74="","",SUMIFS(DITARI!$G$6:$G$550,DITARI!$D$6:$D$550,$A74))</f>
        <v>0</v>
      </c>
      <c r="F74" s="173" t="n">
        <f aca="false">IF($A74="","",MAX($D74-$E74,0))</f>
        <v>0</v>
      </c>
      <c r="G74" s="173" t="n">
        <f aca="false">IF($A74="","",MAX($E74-$D74,0))</f>
        <v>0</v>
      </c>
      <c r="H74" s="172" t="str">
        <f aca="false">IF($A74="","",IF($F74&gt;0,"Saldo Debit",IF($G74&gt;0,"Saldo Kredit","Zero")))</f>
        <v>Zero</v>
      </c>
      <c r="I74" s="172" t="str">
        <f aca="false">IF($A74="","",IFERROR(VLOOKUP($A74,PLANI_LLOGARIVE!$A$2:$I$500,9,FALSE()),""))</f>
        <v>Debit</v>
      </c>
      <c r="J74" s="101" t="str">
        <f aca="false">IF(A74="","",IF(OR(H74="Zero",I74="Debit/Credit"),"",IF(OR(AND(H74="Saldo Debit",I74="Debit"),AND(H74="Saldo Kredit",OR(I74="Credit",I74="Kredit"))),"","⚠️ JO NORMALE")))</f>
        <v/>
      </c>
    </row>
    <row r="75" customFormat="false" ht="12.75" hidden="false" customHeight="true" outlineLevel="0" collapsed="false">
      <c r="A75" s="174" t="str">
        <f aca="false">IF(AND(PLANI_LLOGARIVE!$A69&lt;&gt;"",PLANI_LLOGARIVE!$J69=TRUE()),PLANI_LLOGARIVE!$A69&amp;"","")</f>
        <v>418</v>
      </c>
      <c r="B75" s="174" t="str">
        <f aca="false">IF($A75="","",IFERROR(VLOOKUP($A75,PLANI_LLOGARIVE!$A$2:$I$500,2,FALSE()),""))</f>
        <v>Parapagime të dhëna</v>
      </c>
      <c r="C75" s="174" t="str">
        <f aca="false">IF($A75="","",IFERROR(VLOOKUP($A75,PLANI_LLOGARIVE!$A$2:$I$500,4,FALSE()),""))</f>
        <v>4</v>
      </c>
      <c r="D75" s="175" t="n">
        <f aca="false">IF($A75="","",SUMIFS(DITARI!$F$6:$F$550,DITARI!$D$6:$D$550,$A75))</f>
        <v>0</v>
      </c>
      <c r="E75" s="175" t="n">
        <f aca="false">IF($A75="","",SUMIFS(DITARI!$G$6:$G$550,DITARI!$D$6:$D$550,$A75))</f>
        <v>0</v>
      </c>
      <c r="F75" s="175" t="n">
        <f aca="false">IF($A75="","",MAX($D75-$E75,0))</f>
        <v>0</v>
      </c>
      <c r="G75" s="175" t="n">
        <f aca="false">IF($A75="","",MAX($E75-$D75,0))</f>
        <v>0</v>
      </c>
      <c r="H75" s="174" t="str">
        <f aca="false">IF($A75="","",IF($F75&gt;0,"Saldo Debit",IF($G75&gt;0,"Saldo Kredit","Zero")))</f>
        <v>Zero</v>
      </c>
      <c r="I75" s="174" t="str">
        <f aca="false">IF($A75="","",IFERROR(VLOOKUP($A75,PLANI_LLOGARIVE!$A$2:$I$500,9,FALSE()),""))</f>
        <v>Debit</v>
      </c>
      <c r="J75" s="101" t="str">
        <f aca="false">IF(A75="","",IF(OR(H75="Zero",I75="Debit/Credit"),"",IF(OR(AND(H75="Saldo Debit",I75="Debit"),AND(H75="Saldo Kredit",OR(I75="Credit",I75="Kredit"))),"","⚠️ JO NORMALE")))</f>
        <v/>
      </c>
    </row>
    <row r="76" customFormat="false" ht="12.75" hidden="false" customHeight="true" outlineLevel="0" collapsed="false">
      <c r="A76" s="172" t="str">
        <f aca="false">IF(AND(PLANI_LLOGARIVE!$A70&lt;&gt;"",PLANI_LLOGARIVE!$J70=TRUE()),PLANI_LLOGARIVE!$A70&amp;"","")</f>
        <v/>
      </c>
      <c r="B76" s="172" t="str">
        <f aca="false">IF($A76="","",IFERROR(VLOOKUP($A76,PLANI_LLOGARIVE!$A$2:$I$500,2,FALSE()),""))</f>
        <v/>
      </c>
      <c r="C76" s="172" t="str">
        <f aca="false">IF($A76="","",IFERROR(VLOOKUP($A76,PLANI_LLOGARIVE!$A$2:$I$500,4,FALSE()),""))</f>
        <v/>
      </c>
      <c r="D76" s="173" t="str">
        <f aca="false">IF($A76="","",SUMIFS(DITARI!$F$6:$F$550,DITARI!$D$6:$D$550,$A76))</f>
        <v/>
      </c>
      <c r="E76" s="173" t="str">
        <f aca="false">IF($A76="","",SUMIFS(DITARI!$G$6:$G$550,DITARI!$D$6:$D$550,$A76))</f>
        <v/>
      </c>
      <c r="F76" s="173" t="str">
        <f aca="false">IF($A76="","",MAX($D76-$E76,0))</f>
        <v/>
      </c>
      <c r="G76" s="173" t="str">
        <f aca="false">IF($A76="","",MAX($E76-$D76,0))</f>
        <v/>
      </c>
      <c r="H76" s="172" t="str">
        <f aca="false">IF($A76="","",IF($F76&gt;0,"Saldo Debit",IF($G76&gt;0,"Saldo Kredit","Zero")))</f>
        <v/>
      </c>
      <c r="I76" s="172" t="str">
        <f aca="false">IF($A76="","",IFERROR(VLOOKUP($A76,PLANI_LLOGARIVE!$A$2:$I$500,9,FALSE()),""))</f>
        <v/>
      </c>
      <c r="J76" s="101" t="str">
        <f aca="false">IF(A76="","",IF(OR(H76="Zero",I76="Debit/Credit"),"",IF(OR(AND(H76="Saldo Debit",I76="Debit"),AND(H76="Saldo Kredit",OR(I76="Credit",I76="Kredit"))),"","⚠️ JO NORMALE")))</f>
        <v/>
      </c>
    </row>
    <row r="77" customFormat="false" ht="12.75" hidden="false" customHeight="true" outlineLevel="0" collapsed="false">
      <c r="A77" s="174" t="str">
        <f aca="false">IF(AND(PLANI_LLOGARIVE!$A71&lt;&gt;"",PLANI_LLOGARIVE!$J71=TRUE()),PLANI_LLOGARIVE!$A71&amp;"","")</f>
        <v>421</v>
      </c>
      <c r="B77" s="174" t="str">
        <f aca="false">IF($A77="","",IFERROR(VLOOKUP($A77,PLANI_LLOGARIVE!$A$2:$I$500,2,FALSE()),""))</f>
        <v>Paga dhe shpërblime</v>
      </c>
      <c r="C77" s="174" t="str">
        <f aca="false">IF($A77="","",IFERROR(VLOOKUP($A77,PLANI_LLOGARIVE!$A$2:$I$500,4,FALSE()),""))</f>
        <v>4</v>
      </c>
      <c r="D77" s="175" t="n">
        <f aca="false">IF($A77="","",SUMIFS(DITARI!$F$6:$F$550,DITARI!$D$6:$D$550,$A77))</f>
        <v>0</v>
      </c>
      <c r="E77" s="175" t="n">
        <f aca="false">IF($A77="","",SUMIFS(DITARI!$G$6:$G$550,DITARI!$D$6:$D$550,$A77))</f>
        <v>0</v>
      </c>
      <c r="F77" s="175" t="n">
        <f aca="false">IF($A77="","",MAX($D77-$E77,0))</f>
        <v>0</v>
      </c>
      <c r="G77" s="175" t="n">
        <f aca="false">IF($A77="","",MAX($E77-$D77,0))</f>
        <v>0</v>
      </c>
      <c r="H77" s="174" t="str">
        <f aca="false">IF($A77="","",IF($F77&gt;0,"Saldo Debit",IF($G77&gt;0,"Saldo Kredit","Zero")))</f>
        <v>Zero</v>
      </c>
      <c r="I77" s="174" t="str">
        <f aca="false">IF($A77="","",IFERROR(VLOOKUP($A77,PLANI_LLOGARIVE!$A$2:$I$500,9,FALSE()),""))</f>
        <v>Credit</v>
      </c>
      <c r="J77" s="101" t="str">
        <f aca="false">IF(A77="","",IF(OR(H77="Zero",I77="Debit/Credit"),"",IF(OR(AND(H77="Saldo Debit",I77="Debit"),AND(H77="Saldo Kredit",OR(I77="Credit",I77="Kredit"))),"","⚠️ JO NORMALE")))</f>
        <v/>
      </c>
    </row>
    <row r="78" customFormat="false" ht="12.75" hidden="false" customHeight="true" outlineLevel="0" collapsed="false">
      <c r="A78" s="172" t="str">
        <f aca="false">IF(AND(PLANI_LLOGARIVE!$A72&lt;&gt;"",PLANI_LLOGARIVE!$J72=TRUE()),PLANI_LLOGARIVE!$A72&amp;"","")</f>
        <v>423</v>
      </c>
      <c r="B78" s="172" t="str">
        <f aca="false">IF($A78="","",IFERROR(VLOOKUP($A78,PLANI_LLOGARIVE!$A$2:$I$500,2,FALSE()),""))</f>
        <v>Paradhënie për punonjësit</v>
      </c>
      <c r="C78" s="172" t="str">
        <f aca="false">IF($A78="","",IFERROR(VLOOKUP($A78,PLANI_LLOGARIVE!$A$2:$I$500,4,FALSE()),""))</f>
        <v>4</v>
      </c>
      <c r="D78" s="173" t="n">
        <f aca="false">IF($A78="","",SUMIFS(DITARI!$F$6:$F$550,DITARI!$D$6:$D$550,$A78))</f>
        <v>0</v>
      </c>
      <c r="E78" s="173" t="n">
        <f aca="false">IF($A78="","",SUMIFS(DITARI!$G$6:$G$550,DITARI!$D$6:$D$550,$A78))</f>
        <v>0</v>
      </c>
      <c r="F78" s="173" t="n">
        <f aca="false">IF($A78="","",MAX($D78-$E78,0))</f>
        <v>0</v>
      </c>
      <c r="G78" s="173" t="n">
        <f aca="false">IF($A78="","",MAX($E78-$D78,0))</f>
        <v>0</v>
      </c>
      <c r="H78" s="172" t="str">
        <f aca="false">IF($A78="","",IF($F78&gt;0,"Saldo Debit",IF($G78&gt;0,"Saldo Kredit","Zero")))</f>
        <v>Zero</v>
      </c>
      <c r="I78" s="172" t="str">
        <f aca="false">IF($A78="","",IFERROR(VLOOKUP($A78,PLANI_LLOGARIVE!$A$2:$I$500,9,FALSE()),""))</f>
        <v>Debit</v>
      </c>
      <c r="J78" s="101" t="str">
        <f aca="false">IF(A78="","",IF(OR(H78="Zero",I78="Debit/Credit"),"",IF(OR(AND(H78="Saldo Debit",I78="Debit"),AND(H78="Saldo Kredit",OR(I78="Credit",I78="Kredit"))),"","⚠️ JO NORMALE")))</f>
        <v/>
      </c>
    </row>
    <row r="79" customFormat="false" ht="12.75" hidden="false" customHeight="true" outlineLevel="0" collapsed="false">
      <c r="A79" s="174" t="str">
        <f aca="false">IF(AND(PLANI_LLOGARIVE!$A73&lt;&gt;"",PLANI_LLOGARIVE!$J73=TRUE()),PLANI_LLOGARIVE!$A73&amp;"","")</f>
        <v/>
      </c>
      <c r="B79" s="174" t="str">
        <f aca="false">IF($A79="","",IFERROR(VLOOKUP($A79,PLANI_LLOGARIVE!$A$2:$I$500,2,FALSE()),""))</f>
        <v/>
      </c>
      <c r="C79" s="174" t="str">
        <f aca="false">IF($A79="","",IFERROR(VLOOKUP($A79,PLANI_LLOGARIVE!$A$2:$I$500,4,FALSE()),""))</f>
        <v/>
      </c>
      <c r="D79" s="175" t="str">
        <f aca="false">IF($A79="","",SUMIFS(DITARI!$F$6:$F$550,DITARI!$D$6:$D$550,$A79))</f>
        <v/>
      </c>
      <c r="E79" s="175" t="str">
        <f aca="false">IF($A79="","",SUMIFS(DITARI!$G$6:$G$550,DITARI!$D$6:$D$550,$A79))</f>
        <v/>
      </c>
      <c r="F79" s="175" t="str">
        <f aca="false">IF($A79="","",MAX($D79-$E79,0))</f>
        <v/>
      </c>
      <c r="G79" s="175" t="str">
        <f aca="false">IF($A79="","",MAX($E79-$D79,0))</f>
        <v/>
      </c>
      <c r="H79" s="174" t="str">
        <f aca="false">IF($A79="","",IF($F79&gt;0,"Saldo Debit",IF($G79&gt;0,"Saldo Kredit","Zero")))</f>
        <v/>
      </c>
      <c r="I79" s="174" t="str">
        <f aca="false">IF($A79="","",IFERROR(VLOOKUP($A79,PLANI_LLOGARIVE!$A$2:$I$500,9,FALSE()),""))</f>
        <v/>
      </c>
      <c r="J79" s="101" t="str">
        <f aca="false">IF(A79="","",IF(OR(H79="Zero",I79="Debit/Credit"),"",IF(OR(AND(H79="Saldo Debit",I79="Debit"),AND(H79="Saldo Kredit",OR(I79="Credit",I79="Kredit"))),"","⚠️ JO NORMALE")))</f>
        <v/>
      </c>
    </row>
    <row r="80" customFormat="false" ht="12.75" hidden="false" customHeight="true" outlineLevel="0" collapsed="false">
      <c r="A80" s="172" t="str">
        <f aca="false">IF(AND(PLANI_LLOGARIVE!$A74&lt;&gt;"",PLANI_LLOGARIVE!$J74=TRUE()),PLANI_LLOGARIVE!$A74&amp;"","")</f>
        <v>431</v>
      </c>
      <c r="B80" s="172" t="str">
        <f aca="false">IF($A80="","",IFERROR(VLOOKUP($A80,PLANI_LLOGARIVE!$A$2:$I$500,2,FALSE()),""))</f>
        <v>Sigurime shoqërore dhe shëndetësore</v>
      </c>
      <c r="C80" s="172" t="str">
        <f aca="false">IF($A80="","",IFERROR(VLOOKUP($A80,PLANI_LLOGARIVE!$A$2:$I$500,4,FALSE()),""))</f>
        <v>4</v>
      </c>
      <c r="D80" s="173" t="n">
        <f aca="false">IF($A80="","",SUMIFS(DITARI!$F$6:$F$550,DITARI!$D$6:$D$550,$A80))</f>
        <v>0</v>
      </c>
      <c r="E80" s="173" t="n">
        <f aca="false">IF($A80="","",SUMIFS(DITARI!$G$6:$G$550,DITARI!$D$6:$D$550,$A80))</f>
        <v>0</v>
      </c>
      <c r="F80" s="173" t="n">
        <f aca="false">IF($A80="","",MAX($D80-$E80,0))</f>
        <v>0</v>
      </c>
      <c r="G80" s="173" t="n">
        <f aca="false">IF($A80="","",MAX($E80-$D80,0))</f>
        <v>0</v>
      </c>
      <c r="H80" s="172" t="str">
        <f aca="false">IF($A80="","",IF($F80&gt;0,"Saldo Debit",IF($G80&gt;0,"Saldo Kredit","Zero")))</f>
        <v>Zero</v>
      </c>
      <c r="I80" s="172" t="str">
        <f aca="false">IF($A80="","",IFERROR(VLOOKUP($A80,PLANI_LLOGARIVE!$A$2:$I$500,9,FALSE()),""))</f>
        <v>Credit</v>
      </c>
      <c r="J80" s="101" t="str">
        <f aca="false">IF(A80="","",IF(OR(H80="Zero",I80="Debit/Credit"),"",IF(OR(AND(H80="Saldo Debit",I80="Debit"),AND(H80="Saldo Kredit",OR(I80="Credit",I80="Kredit"))),"","⚠️ JO NORMALE")))</f>
        <v/>
      </c>
    </row>
    <row r="81" customFormat="false" ht="12.75" hidden="false" customHeight="true" outlineLevel="0" collapsed="false">
      <c r="A81" s="174" t="str">
        <f aca="false">IF(AND(PLANI_LLOGARIVE!$A75&lt;&gt;"",PLANI_LLOGARIVE!$J75=TRUE()),PLANI_LLOGARIVE!$A75&amp;"","")</f>
        <v>437</v>
      </c>
      <c r="B81" s="174" t="str">
        <f aca="false">IF($A81="","",IFERROR(VLOOKUP($A81,PLANI_LLOGARIVE!$A$2:$I$500,2,FALSE()),""))</f>
        <v>Organizma të tjera shoqërore</v>
      </c>
      <c r="C81" s="174" t="str">
        <f aca="false">IF($A81="","",IFERROR(VLOOKUP($A81,PLANI_LLOGARIVE!$A$2:$I$500,4,FALSE()),""))</f>
        <v>4</v>
      </c>
      <c r="D81" s="175" t="n">
        <f aca="false">IF($A81="","",SUMIFS(DITARI!$F$6:$F$550,DITARI!$D$6:$D$550,$A81))</f>
        <v>0</v>
      </c>
      <c r="E81" s="175" t="n">
        <f aca="false">IF($A81="","",SUMIFS(DITARI!$G$6:$G$550,DITARI!$D$6:$D$550,$A81))</f>
        <v>0</v>
      </c>
      <c r="F81" s="175" t="n">
        <f aca="false">IF($A81="","",MAX($D81-$E81,0))</f>
        <v>0</v>
      </c>
      <c r="G81" s="175" t="n">
        <f aca="false">IF($A81="","",MAX($E81-$D81,0))</f>
        <v>0</v>
      </c>
      <c r="H81" s="174" t="str">
        <f aca="false">IF($A81="","",IF($F81&gt;0,"Saldo Debit",IF($G81&gt;0,"Saldo Kredit","Zero")))</f>
        <v>Zero</v>
      </c>
      <c r="I81" s="174" t="str">
        <f aca="false">IF($A81="","",IFERROR(VLOOKUP($A81,PLANI_LLOGARIVE!$A$2:$I$500,9,FALSE()),""))</f>
        <v>Credit</v>
      </c>
      <c r="J81" s="101" t="str">
        <f aca="false">IF(A81="","",IF(OR(H81="Zero",I81="Debit/Credit"),"",IF(OR(AND(H81="Saldo Debit",I81="Debit"),AND(H81="Saldo Kredit",OR(I81="Credit",I81="Kredit"))),"","⚠️ JO NORMALE")))</f>
        <v/>
      </c>
    </row>
    <row r="82" customFormat="false" ht="12.75" hidden="false" customHeight="true" outlineLevel="0" collapsed="false">
      <c r="A82" s="172" t="str">
        <f aca="false">IF(AND(PLANI_LLOGARIVE!$A76&lt;&gt;"",PLANI_LLOGARIVE!$J76=TRUE()),PLANI_LLOGARIVE!$A76&amp;"","")</f>
        <v>438</v>
      </c>
      <c r="B82" s="172" t="str">
        <f aca="false">IF($A82="","",IFERROR(VLOOKUP($A82,PLANI_LLOGARIVE!$A$2:$I$500,2,FALSE()),""))</f>
        <v>Detyrime të tjera</v>
      </c>
      <c r="C82" s="172" t="str">
        <f aca="false">IF($A82="","",IFERROR(VLOOKUP($A82,PLANI_LLOGARIVE!$A$2:$I$500,4,FALSE()),""))</f>
        <v>4</v>
      </c>
      <c r="D82" s="173" t="n">
        <f aca="false">IF($A82="","",SUMIFS(DITARI!$F$6:$F$550,DITARI!$D$6:$D$550,$A82))</f>
        <v>0</v>
      </c>
      <c r="E82" s="173" t="n">
        <f aca="false">IF($A82="","",SUMIFS(DITARI!$G$6:$G$550,DITARI!$D$6:$D$550,$A82))</f>
        <v>0</v>
      </c>
      <c r="F82" s="173" t="n">
        <f aca="false">IF($A82="","",MAX($D82-$E82,0))</f>
        <v>0</v>
      </c>
      <c r="G82" s="173" t="n">
        <f aca="false">IF($A82="","",MAX($E82-$D82,0))</f>
        <v>0</v>
      </c>
      <c r="H82" s="172" t="str">
        <f aca="false">IF($A82="","",IF($F82&gt;0,"Saldo Debit",IF($G82&gt;0,"Saldo Kredit","Zero")))</f>
        <v>Zero</v>
      </c>
      <c r="I82" s="172" t="str">
        <f aca="false">IF($A82="","",IFERROR(VLOOKUP($A82,PLANI_LLOGARIVE!$A$2:$I$500,9,FALSE()),""))</f>
        <v>Credit</v>
      </c>
      <c r="J82" s="101" t="str">
        <f aca="false">IF(A82="","",IF(OR(H82="Zero",I82="Debit/Credit"),"",IF(OR(AND(H82="Saldo Debit",I82="Debit"),AND(H82="Saldo Kredit",OR(I82="Credit",I82="Kredit"))),"","⚠️ JO NORMALE")))</f>
        <v/>
      </c>
    </row>
    <row r="83" customFormat="false" ht="12.75" hidden="false" customHeight="true" outlineLevel="0" collapsed="false">
      <c r="A83" s="174" t="str">
        <f aca="false">IF(AND(PLANI_LLOGARIVE!$A77&lt;&gt;"",PLANI_LLOGARIVE!$J77=TRUE()),PLANI_LLOGARIVE!$A77&amp;"","")</f>
        <v/>
      </c>
      <c r="B83" s="174" t="str">
        <f aca="false">IF($A83="","",IFERROR(VLOOKUP($A83,PLANI_LLOGARIVE!$A$2:$I$500,2,FALSE()),""))</f>
        <v/>
      </c>
      <c r="C83" s="174" t="str">
        <f aca="false">IF($A83="","",IFERROR(VLOOKUP($A83,PLANI_LLOGARIVE!$A$2:$I$500,4,FALSE()),""))</f>
        <v/>
      </c>
      <c r="D83" s="175" t="str">
        <f aca="false">IF($A83="","",SUMIFS(DITARI!$F$6:$F$550,DITARI!$D$6:$D$550,$A83))</f>
        <v/>
      </c>
      <c r="E83" s="175" t="str">
        <f aca="false">IF($A83="","",SUMIFS(DITARI!$G$6:$G$550,DITARI!$D$6:$D$550,$A83))</f>
        <v/>
      </c>
      <c r="F83" s="175" t="str">
        <f aca="false">IF($A83="","",MAX($D83-$E83,0))</f>
        <v/>
      </c>
      <c r="G83" s="175" t="str">
        <f aca="false">IF($A83="","",MAX($E83-$D83,0))</f>
        <v/>
      </c>
      <c r="H83" s="174" t="str">
        <f aca="false">IF($A83="","",IF($F83&gt;0,"Saldo Debit",IF($G83&gt;0,"Saldo Kredit","Zero")))</f>
        <v/>
      </c>
      <c r="I83" s="174" t="str">
        <f aca="false">IF($A83="","",IFERROR(VLOOKUP($A83,PLANI_LLOGARIVE!$A$2:$I$500,9,FALSE()),""))</f>
        <v/>
      </c>
      <c r="J83" s="101" t="str">
        <f aca="false">IF(A83="","",IF(OR(H83="Zero",I83="Debit/Credit"),"",IF(OR(AND(H83="Saldo Debit",I83="Debit"),AND(H83="Saldo Kredit",OR(I83="Credit",I83="Kredit"))),"","⚠️ JO NORMALE")))</f>
        <v/>
      </c>
    </row>
    <row r="84" customFormat="false" ht="12.75" hidden="false" customHeight="true" outlineLevel="0" collapsed="false">
      <c r="A84" s="172" t="str">
        <f aca="false">IF(AND(PLANI_LLOGARIVE!$A78&lt;&gt;"",PLANI_LLOGARIVE!$J78=TRUE()),PLANI_LLOGARIVE!$A78&amp;"","")</f>
        <v>441</v>
      </c>
      <c r="B84" s="172" t="str">
        <f aca="false">IF($A84="","",IFERROR(VLOOKUP($A84,PLANI_LLOGARIVE!$A$2:$I$500,2,FALSE()),""))</f>
        <v>Akciza</v>
      </c>
      <c r="C84" s="172" t="str">
        <f aca="false">IF($A84="","",IFERROR(VLOOKUP($A84,PLANI_LLOGARIVE!$A$2:$I$500,4,FALSE()),""))</f>
        <v>4</v>
      </c>
      <c r="D84" s="173" t="n">
        <f aca="false">IF($A84="","",SUMIFS(DITARI!$F$6:$F$550,DITARI!$D$6:$D$550,$A84))</f>
        <v>0</v>
      </c>
      <c r="E84" s="173" t="n">
        <f aca="false">IF($A84="","",SUMIFS(DITARI!$G$6:$G$550,DITARI!$D$6:$D$550,$A84))</f>
        <v>0</v>
      </c>
      <c r="F84" s="173" t="n">
        <f aca="false">IF($A84="","",MAX($D84-$E84,0))</f>
        <v>0</v>
      </c>
      <c r="G84" s="173" t="n">
        <f aca="false">IF($A84="","",MAX($E84-$D84,0))</f>
        <v>0</v>
      </c>
      <c r="H84" s="172" t="str">
        <f aca="false">IF($A84="","",IF($F84&gt;0,"Saldo Debit",IF($G84&gt;0,"Saldo Kredit","Zero")))</f>
        <v>Zero</v>
      </c>
      <c r="I84" s="172" t="str">
        <f aca="false">IF($A84="","",IFERROR(VLOOKUP($A84,PLANI_LLOGARIVE!$A$2:$I$500,9,FALSE()),""))</f>
        <v>Credit</v>
      </c>
      <c r="J84" s="101" t="str">
        <f aca="false">IF(A84="","",IF(OR(H84="Zero",I84="Debit/Credit"),"",IF(OR(AND(H84="Saldo Debit",I84="Debit"),AND(H84="Saldo Kredit",OR(I84="Credit",I84="Kredit"))),"","⚠️ JO NORMALE")))</f>
        <v/>
      </c>
    </row>
    <row r="85" customFormat="false" ht="12.75" hidden="false" customHeight="true" outlineLevel="0" collapsed="false">
      <c r="A85" s="174" t="str">
        <f aca="false">IF(AND(PLANI_LLOGARIVE!$A79&lt;&gt;"",PLANI_LLOGARIVE!$J79=TRUE()),PLANI_LLOGARIVE!$A79&amp;"","")</f>
        <v>442</v>
      </c>
      <c r="B85" s="174" t="str">
        <f aca="false">IF($A85="","",IFERROR(VLOOKUP($A85,PLANI_LLOGARIVE!$A$2:$I$500,2,FALSE()),""))</f>
        <v>Tatimi mbi të ardhurat personale</v>
      </c>
      <c r="C85" s="174" t="str">
        <f aca="false">IF($A85="","",IFERROR(VLOOKUP($A85,PLANI_LLOGARIVE!$A$2:$I$500,4,FALSE()),""))</f>
        <v>4</v>
      </c>
      <c r="D85" s="175" t="n">
        <f aca="false">IF($A85="","",SUMIFS(DITARI!$F$6:$F$550,DITARI!$D$6:$D$550,$A85))</f>
        <v>0</v>
      </c>
      <c r="E85" s="175" t="n">
        <f aca="false">IF($A85="","",SUMIFS(DITARI!$G$6:$G$550,DITARI!$D$6:$D$550,$A85))</f>
        <v>0</v>
      </c>
      <c r="F85" s="175" t="n">
        <f aca="false">IF($A85="","",MAX($D85-$E85,0))</f>
        <v>0</v>
      </c>
      <c r="G85" s="175" t="n">
        <f aca="false">IF($A85="","",MAX($E85-$D85,0))</f>
        <v>0</v>
      </c>
      <c r="H85" s="174" t="str">
        <f aca="false">IF($A85="","",IF($F85&gt;0,"Saldo Debit",IF($G85&gt;0,"Saldo Kredit","Zero")))</f>
        <v>Zero</v>
      </c>
      <c r="I85" s="174" t="str">
        <f aca="false">IF($A85="","",IFERROR(VLOOKUP($A85,PLANI_LLOGARIVE!$A$2:$I$500,9,FALSE()),""))</f>
        <v>Credit</v>
      </c>
      <c r="J85" s="101" t="str">
        <f aca="false">IF(A85="","",IF(OR(H85="Zero",I85="Debit/Credit"),"",IF(OR(AND(H85="Saldo Debit",I85="Debit"),AND(H85="Saldo Kredit",OR(I85="Credit",I85="Kredit"))),"","⚠️ JO NORMALE")))</f>
        <v/>
      </c>
    </row>
    <row r="86" customFormat="false" ht="12.75" hidden="false" customHeight="true" outlineLevel="0" collapsed="false">
      <c r="A86" s="172" t="str">
        <f aca="false">IF(AND(PLANI_LLOGARIVE!$A80&lt;&gt;"",PLANI_LLOGARIVE!$J80=TRUE()),PLANI_LLOGARIVE!$A80&amp;"","")</f>
        <v>443</v>
      </c>
      <c r="B86" s="172" t="str">
        <f aca="false">IF($A86="","",IFERROR(VLOOKUP($A86,PLANI_LLOGARIVE!$A$2:$I$500,2,FALSE()),""))</f>
        <v>Tatime të tjera për punonjësit</v>
      </c>
      <c r="C86" s="172" t="str">
        <f aca="false">IF($A86="","",IFERROR(VLOOKUP($A86,PLANI_LLOGARIVE!$A$2:$I$500,4,FALSE()),""))</f>
        <v>4</v>
      </c>
      <c r="D86" s="173" t="n">
        <f aca="false">IF($A86="","",SUMIFS(DITARI!$F$6:$F$550,DITARI!$D$6:$D$550,$A86))</f>
        <v>0</v>
      </c>
      <c r="E86" s="173" t="n">
        <f aca="false">IF($A86="","",SUMIFS(DITARI!$G$6:$G$550,DITARI!$D$6:$D$550,$A86))</f>
        <v>0</v>
      </c>
      <c r="F86" s="173" t="n">
        <f aca="false">IF($A86="","",MAX($D86-$E86,0))</f>
        <v>0</v>
      </c>
      <c r="G86" s="173" t="n">
        <f aca="false">IF($A86="","",MAX($E86-$D86,0))</f>
        <v>0</v>
      </c>
      <c r="H86" s="172" t="str">
        <f aca="false">IF($A86="","",IF($F86&gt;0,"Saldo Debit",IF($G86&gt;0,"Saldo Kredit","Zero")))</f>
        <v>Zero</v>
      </c>
      <c r="I86" s="172" t="str">
        <f aca="false">IF($A86="","",IFERROR(VLOOKUP($A86,PLANI_LLOGARIVE!$A$2:$I$500,9,FALSE()),""))</f>
        <v>Credit</v>
      </c>
      <c r="J86" s="101" t="str">
        <f aca="false">IF(A86="","",IF(OR(H86="Zero",I86="Debit/Credit"),"",IF(OR(AND(H86="Saldo Debit",I86="Debit"),AND(H86="Saldo Kredit",OR(I86="Credit",I86="Kredit"))),"","⚠️ JO NORMALE")))</f>
        <v/>
      </c>
    </row>
    <row r="87" customFormat="false" ht="12.75" hidden="false" customHeight="true" outlineLevel="0" collapsed="false">
      <c r="A87" s="174" t="str">
        <f aca="false">IF(AND(PLANI_LLOGARIVE!$A81&lt;&gt;"",PLANI_LLOGARIVE!$J81=TRUE()),PLANI_LLOGARIVE!$A81&amp;"","")</f>
        <v>444</v>
      </c>
      <c r="B87" s="174" t="str">
        <f aca="false">IF($A87="","",IFERROR(VLOOKUP($A87,PLANI_LLOGARIVE!$A$2:$I$500,2,FALSE()),""))</f>
        <v>Tatim mbi fitimin</v>
      </c>
      <c r="C87" s="174" t="str">
        <f aca="false">IF($A87="","",IFERROR(VLOOKUP($A87,PLANI_LLOGARIVE!$A$2:$I$500,4,FALSE()),""))</f>
        <v>4</v>
      </c>
      <c r="D87" s="175" t="n">
        <f aca="false">IF($A87="","",SUMIFS(DITARI!$F$6:$F$550,DITARI!$D$6:$D$550,$A87))</f>
        <v>0</v>
      </c>
      <c r="E87" s="175" t="n">
        <f aca="false">IF($A87="","",SUMIFS(DITARI!$G$6:$G$550,DITARI!$D$6:$D$550,$A87))</f>
        <v>0</v>
      </c>
      <c r="F87" s="175" t="n">
        <f aca="false">IF($A87="","",MAX($D87-$E87,0))</f>
        <v>0</v>
      </c>
      <c r="G87" s="175" t="n">
        <f aca="false">IF($A87="","",MAX($E87-$D87,0))</f>
        <v>0</v>
      </c>
      <c r="H87" s="174" t="str">
        <f aca="false">IF($A87="","",IF($F87&gt;0,"Saldo Debit",IF($G87&gt;0,"Saldo Kredit","Zero")))</f>
        <v>Zero</v>
      </c>
      <c r="I87" s="174" t="str">
        <f aca="false">IF($A87="","",IFERROR(VLOOKUP($A87,PLANI_LLOGARIVE!$A$2:$I$500,9,FALSE()),""))</f>
        <v>Credit</v>
      </c>
      <c r="J87" s="101" t="str">
        <f aca="false">IF(A87="","",IF(OR(H87="Zero",I87="Debit/Credit"),"",IF(OR(AND(H87="Saldo Debit",I87="Debit"),AND(H87="Saldo Kredit",OR(I87="Credit",I87="Kredit"))),"","⚠️ JO NORMALE")))</f>
        <v/>
      </c>
    </row>
    <row r="88" customFormat="false" ht="12.75" hidden="false" customHeight="true" outlineLevel="0" collapsed="false">
      <c r="A88" s="172" t="str">
        <f aca="false">IF(AND(PLANI_LLOGARIVE!$A82&lt;&gt;"",PLANI_LLOGARIVE!$J82=TRUE()),PLANI_LLOGARIVE!$A82&amp;"","")</f>
        <v/>
      </c>
      <c r="B88" s="172" t="str">
        <f aca="false">IF($A88="","",IFERROR(VLOOKUP($A88,PLANI_LLOGARIVE!$A$2:$I$500,2,FALSE()),""))</f>
        <v/>
      </c>
      <c r="C88" s="172" t="str">
        <f aca="false">IF($A88="","",IFERROR(VLOOKUP($A88,PLANI_LLOGARIVE!$A$2:$I$500,4,FALSE()),""))</f>
        <v/>
      </c>
      <c r="D88" s="173" t="str">
        <f aca="false">IF($A88="","",SUMIFS(DITARI!$F$6:$F$550,DITARI!$D$6:$D$550,$A88))</f>
        <v/>
      </c>
      <c r="E88" s="173" t="str">
        <f aca="false">IF($A88="","",SUMIFS(DITARI!$G$6:$G$550,DITARI!$D$6:$D$550,$A88))</f>
        <v/>
      </c>
      <c r="F88" s="173" t="str">
        <f aca="false">IF($A88="","",MAX($D88-$E88,0))</f>
        <v/>
      </c>
      <c r="G88" s="173" t="str">
        <f aca="false">IF($A88="","",MAX($E88-$D88,0))</f>
        <v/>
      </c>
      <c r="H88" s="172" t="str">
        <f aca="false">IF($A88="","",IF($F88&gt;0,"Saldo Debit",IF($G88&gt;0,"Saldo Kredit","Zero")))</f>
        <v/>
      </c>
      <c r="I88" s="172" t="str">
        <f aca="false">IF($A88="","",IFERROR(VLOOKUP($A88,PLANI_LLOGARIVE!$A$2:$I$500,9,FALSE()),""))</f>
        <v/>
      </c>
      <c r="J88" s="101" t="str">
        <f aca="false">IF(A88="","",IF(OR(H88="Zero",I88="Debit/Credit"),"",IF(OR(AND(H88="Saldo Debit",I88="Debit"),AND(H88="Saldo Kredit",OR(I88="Credit",I88="Kredit"))),"","⚠️ JO NORMALE")))</f>
        <v/>
      </c>
    </row>
    <row r="89" customFormat="false" ht="12.75" hidden="false" customHeight="true" outlineLevel="0" collapsed="false">
      <c r="A89" s="174" t="str">
        <f aca="false">IF(AND(PLANI_LLOGARIVE!$A83&lt;&gt;"",PLANI_LLOGARIVE!$J83=TRUE()),PLANI_LLOGARIVE!$A83&amp;"","")</f>
        <v>4456</v>
      </c>
      <c r="B89" s="174" t="str">
        <f aca="false">IF($A89="","",IFERROR(VLOOKUP($A89,PLANI_LLOGARIVE!$A$2:$I$500,2,FALSE()),""))</f>
        <v>Shteti - TVSH e zbritshme</v>
      </c>
      <c r="C89" s="174" t="str">
        <f aca="false">IF($A89="","",IFERROR(VLOOKUP($A89,PLANI_LLOGARIVE!$A$2:$I$500,4,FALSE()),""))</f>
        <v>4</v>
      </c>
      <c r="D89" s="175" t="n">
        <f aca="false">IF($A89="","",SUMIFS(DITARI!$F$6:$F$550,DITARI!$D$6:$D$550,$A89))</f>
        <v>0</v>
      </c>
      <c r="E89" s="175" t="n">
        <f aca="false">IF($A89="","",SUMIFS(DITARI!$G$6:$G$550,DITARI!$D$6:$D$550,$A89))</f>
        <v>0</v>
      </c>
      <c r="F89" s="175" t="n">
        <f aca="false">IF($A89="","",MAX($D89-$E89,0))</f>
        <v>0</v>
      </c>
      <c r="G89" s="175" t="n">
        <f aca="false">IF($A89="","",MAX($E89-$D89,0))</f>
        <v>0</v>
      </c>
      <c r="H89" s="174" t="str">
        <f aca="false">IF($A89="","",IF($F89&gt;0,"Saldo Debit",IF($G89&gt;0,"Saldo Kredit","Zero")))</f>
        <v>Zero</v>
      </c>
      <c r="I89" s="174" t="str">
        <f aca="false">IF($A89="","",IFERROR(VLOOKUP($A89,PLANI_LLOGARIVE!$A$2:$I$500,9,FALSE()),""))</f>
        <v>Debit</v>
      </c>
      <c r="J89" s="101" t="str">
        <f aca="false">IF(A89="","",IF(OR(H89="Zero",I89="Debit/Credit"),"",IF(OR(AND(H89="Saldo Debit",I89="Debit"),AND(H89="Saldo Kredit",OR(I89="Credit",I89="Kredit"))),"","⚠️ JO NORMALE")))</f>
        <v/>
      </c>
    </row>
    <row r="90" customFormat="false" ht="12.75" hidden="false" customHeight="true" outlineLevel="0" collapsed="false">
      <c r="A90" s="172" t="str">
        <f aca="false">IF(AND(PLANI_LLOGARIVE!$A84&lt;&gt;"",PLANI_LLOGARIVE!$J84=TRUE()),PLANI_LLOGARIVE!$A84&amp;"","")</f>
        <v>4457</v>
      </c>
      <c r="B90" s="172" t="str">
        <f aca="false">IF($A90="","",IFERROR(VLOOKUP($A90,PLANI_LLOGARIVE!$A$2:$I$500,2,FALSE()),""))</f>
        <v>Shteti - TVSH e pagueshme</v>
      </c>
      <c r="C90" s="172" t="str">
        <f aca="false">IF($A90="","",IFERROR(VLOOKUP($A90,PLANI_LLOGARIVE!$A$2:$I$500,4,FALSE()),""))</f>
        <v>4</v>
      </c>
      <c r="D90" s="173" t="n">
        <f aca="false">IF($A90="","",SUMIFS(DITARI!$F$6:$F$550,DITARI!$D$6:$D$550,$A90))</f>
        <v>0</v>
      </c>
      <c r="E90" s="173" t="n">
        <f aca="false">IF($A90="","",SUMIFS(DITARI!$G$6:$G$550,DITARI!$D$6:$D$550,$A90))</f>
        <v>0</v>
      </c>
      <c r="F90" s="173" t="n">
        <f aca="false">IF($A90="","",MAX($D90-$E90,0))</f>
        <v>0</v>
      </c>
      <c r="G90" s="173" t="n">
        <f aca="false">IF($A90="","",MAX($E90-$D90,0))</f>
        <v>0</v>
      </c>
      <c r="H90" s="172" t="str">
        <f aca="false">IF($A90="","",IF($F90&gt;0,"Saldo Debit",IF($G90&gt;0,"Saldo Kredit","Zero")))</f>
        <v>Zero</v>
      </c>
      <c r="I90" s="172" t="str">
        <f aca="false">IF($A90="","",IFERROR(VLOOKUP($A90,PLANI_LLOGARIVE!$A$2:$I$500,9,FALSE()),""))</f>
        <v>Credit</v>
      </c>
      <c r="J90" s="101" t="str">
        <f aca="false">IF(A90="","",IF(OR(H90="Zero",I90="Debit/Credit"),"",IF(OR(AND(H90="Saldo Debit",I90="Debit"),AND(H90="Saldo Kredit",OR(I90="Credit",I90="Kredit"))),"","⚠️ JO NORMALE")))</f>
        <v/>
      </c>
    </row>
    <row r="91" customFormat="false" ht="12.75" hidden="false" customHeight="true" outlineLevel="0" collapsed="false">
      <c r="A91" s="174" t="str">
        <f aca="false">IF(AND(PLANI_LLOGARIVE!$A85&lt;&gt;"",PLANI_LLOGARIVE!$J85=TRUE()),PLANI_LLOGARIVE!$A85&amp;"","")</f>
        <v>4458</v>
      </c>
      <c r="B91" s="174" t="str">
        <f aca="false">IF($A91="","",IFERROR(VLOOKUP($A91,PLANI_LLOGARIVE!$A$2:$I$500,2,FALSE()),""))</f>
        <v>Shteti - TVSH për t’u rregulluar</v>
      </c>
      <c r="C91" s="174" t="str">
        <f aca="false">IF($A91="","",IFERROR(VLOOKUP($A91,PLANI_LLOGARIVE!$A$2:$I$500,4,FALSE()),""))</f>
        <v>4</v>
      </c>
      <c r="D91" s="175" t="n">
        <f aca="false">IF($A91="","",SUMIFS(DITARI!$F$6:$F$550,DITARI!$D$6:$D$550,$A91))</f>
        <v>0</v>
      </c>
      <c r="E91" s="175" t="n">
        <f aca="false">IF($A91="","",SUMIFS(DITARI!$G$6:$G$550,DITARI!$D$6:$D$550,$A91))</f>
        <v>0</v>
      </c>
      <c r="F91" s="175" t="n">
        <f aca="false">IF($A91="","",MAX($D91-$E91,0))</f>
        <v>0</v>
      </c>
      <c r="G91" s="175" t="n">
        <f aca="false">IF($A91="","",MAX($E91-$D91,0))</f>
        <v>0</v>
      </c>
      <c r="H91" s="174" t="str">
        <f aca="false">IF($A91="","",IF($F91&gt;0,"Saldo Debit",IF($G91&gt;0,"Saldo Kredit","Zero")))</f>
        <v>Zero</v>
      </c>
      <c r="I91" s="174" t="str">
        <f aca="false">IF($A91="","",IFERROR(VLOOKUP($A91,PLANI_LLOGARIVE!$A$2:$I$500,9,FALSE()),""))</f>
        <v>Credit</v>
      </c>
      <c r="J91" s="101" t="str">
        <f aca="false">IF(A91="","",IF(OR(H91="Zero",I91="Debit/Credit"),"",IF(OR(AND(H91="Saldo Debit",I91="Debit"),AND(H91="Saldo Kredit",OR(I91="Credit",I91="Kredit"))),"","⚠️ JO NORMALE")))</f>
        <v/>
      </c>
    </row>
    <row r="92" customFormat="false" ht="12.75" hidden="false" customHeight="true" outlineLevel="0" collapsed="false">
      <c r="A92" s="172" t="str">
        <f aca="false">IF(AND(PLANI_LLOGARIVE!$A86&lt;&gt;"",PLANI_LLOGARIVE!$J86=TRUE()),PLANI_LLOGARIVE!$A86&amp;"","")</f>
        <v>446</v>
      </c>
      <c r="B92" s="172" t="str">
        <f aca="false">IF($A92="","",IFERROR(VLOOKUP($A92,PLANI_LLOGARIVE!$A$2:$I$500,2,FALSE()),""))</f>
        <v>Tatime të tjera ndaj shtetit</v>
      </c>
      <c r="C92" s="172" t="str">
        <f aca="false">IF($A92="","",IFERROR(VLOOKUP($A92,PLANI_LLOGARIVE!$A$2:$I$500,4,FALSE()),""))</f>
        <v>4</v>
      </c>
      <c r="D92" s="173" t="n">
        <f aca="false">IF($A92="","",SUMIFS(DITARI!$F$6:$F$550,DITARI!$D$6:$D$550,$A92))</f>
        <v>0</v>
      </c>
      <c r="E92" s="173" t="n">
        <f aca="false">IF($A92="","",SUMIFS(DITARI!$G$6:$G$550,DITARI!$D$6:$D$550,$A92))</f>
        <v>0</v>
      </c>
      <c r="F92" s="173" t="n">
        <f aca="false">IF($A92="","",MAX($D92-$E92,0))</f>
        <v>0</v>
      </c>
      <c r="G92" s="173" t="n">
        <f aca="false">IF($A92="","",MAX($E92-$D92,0))</f>
        <v>0</v>
      </c>
      <c r="H92" s="172" t="str">
        <f aca="false">IF($A92="","",IF($F92&gt;0,"Saldo Debit",IF($G92&gt;0,"Saldo Kredit","Zero")))</f>
        <v>Zero</v>
      </c>
      <c r="I92" s="172" t="str">
        <f aca="false">IF($A92="","",IFERROR(VLOOKUP($A92,PLANI_LLOGARIVE!$A$2:$I$500,9,FALSE()),""))</f>
        <v>Credit</v>
      </c>
      <c r="J92" s="101" t="str">
        <f aca="false">IF(A92="","",IF(OR(H92="Zero",I92="Debit/Credit"),"",IF(OR(AND(H92="Saldo Debit",I92="Debit"),AND(H92="Saldo Kredit",OR(I92="Credit",I92="Kredit"))),"","⚠️ JO NORMALE")))</f>
        <v/>
      </c>
    </row>
    <row r="93" customFormat="false" ht="12.75" hidden="false" customHeight="true" outlineLevel="0" collapsed="false">
      <c r="A93" s="174" t="str">
        <f aca="false">IF(AND(PLANI_LLOGARIVE!$A87&lt;&gt;"",PLANI_LLOGARIVE!$J87=TRUE()),PLANI_LLOGARIVE!$A87&amp;"","")</f>
        <v>4461</v>
      </c>
      <c r="B93" s="174" t="str">
        <f aca="false">IF($A93="","",IFERROR(VLOOKUP($A93,PLANI_LLOGARIVE!$A$2:$I$500,2,FALSE()),""))</f>
        <v>Detyrime për taksë doganore/TVSH në doganë</v>
      </c>
      <c r="C93" s="174" t="str">
        <f aca="false">IF($A93="","",IFERROR(VLOOKUP($A93,PLANI_LLOGARIVE!$A$2:$I$500,4,FALSE()),""))</f>
        <v>4</v>
      </c>
      <c r="D93" s="175" t="n">
        <f aca="false">IF($A93="","",SUMIFS(DITARI!$F$6:$F$550,DITARI!$D$6:$D$550,$A93))</f>
        <v>0</v>
      </c>
      <c r="E93" s="175" t="n">
        <f aca="false">IF($A93="","",SUMIFS(DITARI!$G$6:$G$550,DITARI!$D$6:$D$550,$A93))</f>
        <v>0</v>
      </c>
      <c r="F93" s="175" t="n">
        <f aca="false">IF($A93="","",MAX($D93-$E93,0))</f>
        <v>0</v>
      </c>
      <c r="G93" s="175" t="n">
        <f aca="false">IF($A93="","",MAX($E93-$D93,0))</f>
        <v>0</v>
      </c>
      <c r="H93" s="174" t="str">
        <f aca="false">IF($A93="","",IF($F93&gt;0,"Saldo Debit",IF($G93&gt;0,"Saldo Kredit","Zero")))</f>
        <v>Zero</v>
      </c>
      <c r="I93" s="174" t="str">
        <f aca="false">IF($A93="","",IFERROR(VLOOKUP($A93,PLANI_LLOGARIVE!$A$2:$I$500,9,FALSE()),""))</f>
        <v>Credit</v>
      </c>
      <c r="J93" s="101" t="str">
        <f aca="false">IF(A93="","",IF(OR(H93="Zero",I93="Debit/Credit"),"",IF(OR(AND(H93="Saldo Debit",I93="Debit"),AND(H93="Saldo Kredit",OR(I93="Credit",I93="Kredit"))),"","⚠️ JO NORMALE")))</f>
        <v/>
      </c>
    </row>
    <row r="94" customFormat="false" ht="12.75" hidden="false" customHeight="true" outlineLevel="0" collapsed="false">
      <c r="A94" s="172" t="str">
        <f aca="false">IF(AND(PLANI_LLOGARIVE!$A88&lt;&gt;"",PLANI_LLOGARIVE!$J88=TRUE()),PLANI_LLOGARIVE!$A88&amp;"","")</f>
        <v>447</v>
      </c>
      <c r="B94" s="172" t="str">
        <f aca="false">IF($A94="","",IFERROR(VLOOKUP($A94,PLANI_LLOGARIVE!$A$2:$I$500,2,FALSE()),""))</f>
        <v>Të tjera tatime për t’u paguar/për t’u kthyer</v>
      </c>
      <c r="C94" s="172" t="str">
        <f aca="false">IF($A94="","",IFERROR(VLOOKUP($A94,PLANI_LLOGARIVE!$A$2:$I$500,4,FALSE()),""))</f>
        <v>4</v>
      </c>
      <c r="D94" s="173" t="n">
        <f aca="false">IF($A94="","",SUMIFS(DITARI!$F$6:$F$550,DITARI!$D$6:$D$550,$A94))</f>
        <v>0</v>
      </c>
      <c r="E94" s="173" t="n">
        <f aca="false">IF($A94="","",SUMIFS(DITARI!$G$6:$G$550,DITARI!$D$6:$D$550,$A94))</f>
        <v>0</v>
      </c>
      <c r="F94" s="173" t="n">
        <f aca="false">IF($A94="","",MAX($D94-$E94,0))</f>
        <v>0</v>
      </c>
      <c r="G94" s="173" t="n">
        <f aca="false">IF($A94="","",MAX($E94-$D94,0))</f>
        <v>0</v>
      </c>
      <c r="H94" s="172" t="str">
        <f aca="false">IF($A94="","",IF($F94&gt;0,"Saldo Debit",IF($G94&gt;0,"Saldo Kredit","Zero")))</f>
        <v>Zero</v>
      </c>
      <c r="I94" s="172" t="str">
        <f aca="false">IF($A94="","",IFERROR(VLOOKUP($A94,PLANI_LLOGARIVE!$A$2:$I$500,9,FALSE()),""))</f>
        <v>Credit</v>
      </c>
      <c r="J94" s="101" t="str">
        <f aca="false">IF(A94="","",IF(OR(H94="Zero",I94="Debit/Credit"),"",IF(OR(AND(H94="Saldo Debit",I94="Debit"),AND(H94="Saldo Kredit",OR(I94="Credit",I94="Kredit"))),"","⚠️ JO NORMALE")))</f>
        <v/>
      </c>
    </row>
    <row r="95" customFormat="false" ht="12.75" hidden="false" customHeight="true" outlineLevel="0" collapsed="false">
      <c r="A95" s="174" t="str">
        <f aca="false">IF(AND(PLANI_LLOGARIVE!$A89&lt;&gt;"",PLANI_LLOGARIVE!$J89=TRUE()),PLANI_LLOGARIVE!$A89&amp;"","")</f>
        <v>4471</v>
      </c>
      <c r="B95" s="174" t="str">
        <f aca="false">IF($A95="","",IFERROR(VLOOKUP($A95,PLANI_LLOGARIVE!$A$2:$I$500,2,FALSE()),""))</f>
        <v>Tatim qiraje në burim</v>
      </c>
      <c r="C95" s="174" t="str">
        <f aca="false">IF($A95="","",IFERROR(VLOOKUP($A95,PLANI_LLOGARIVE!$A$2:$I$500,4,FALSE()),""))</f>
        <v>4</v>
      </c>
      <c r="D95" s="175" t="n">
        <f aca="false">IF($A95="","",SUMIFS(DITARI!$F$6:$F$550,DITARI!$D$6:$D$550,$A95))</f>
        <v>0</v>
      </c>
      <c r="E95" s="175" t="n">
        <f aca="false">IF($A95="","",SUMIFS(DITARI!$G$6:$G$550,DITARI!$D$6:$D$550,$A95))</f>
        <v>0</v>
      </c>
      <c r="F95" s="175" t="n">
        <f aca="false">IF($A95="","",MAX($D95-$E95,0))</f>
        <v>0</v>
      </c>
      <c r="G95" s="175" t="n">
        <f aca="false">IF($A95="","",MAX($E95-$D95,0))</f>
        <v>0</v>
      </c>
      <c r="H95" s="174" t="str">
        <f aca="false">IF($A95="","",IF($F95&gt;0,"Saldo Debit",IF($G95&gt;0,"Saldo Kredit","Zero")))</f>
        <v>Zero</v>
      </c>
      <c r="I95" s="174" t="str">
        <f aca="false">IF($A95="","",IFERROR(VLOOKUP($A95,PLANI_LLOGARIVE!$A$2:$I$500,9,FALSE()),""))</f>
        <v>Credit</v>
      </c>
      <c r="J95" s="101" t="str">
        <f aca="false">IF(A95="","",IF(OR(H95="Zero",I95="Debit/Credit"),"",IF(OR(AND(H95="Saldo Debit",I95="Debit"),AND(H95="Saldo Kredit",OR(I95="Credit",I95="Kredit"))),"","⚠️ JO NORMALE")))</f>
        <v/>
      </c>
    </row>
    <row r="96" customFormat="false" ht="12.75" hidden="false" customHeight="true" outlineLevel="0" collapsed="false">
      <c r="A96" s="172" t="str">
        <f aca="false">IF(AND(PLANI_LLOGARIVE!$A90&lt;&gt;"",PLANI_LLOGARIVE!$J90=TRUE()),PLANI_LLOGARIVE!$A90&amp;"","")</f>
        <v>448</v>
      </c>
      <c r="B96" s="172" t="str">
        <f aca="false">IF($A96="","",IFERROR(VLOOKUP($A96,PLANI_LLOGARIVE!$A$2:$I$500,2,FALSE()),""))</f>
        <v>Tatime të shtyra</v>
      </c>
      <c r="C96" s="172" t="str">
        <f aca="false">IF($A96="","",IFERROR(VLOOKUP($A96,PLANI_LLOGARIVE!$A$2:$I$500,4,FALSE()),""))</f>
        <v>4</v>
      </c>
      <c r="D96" s="173" t="n">
        <f aca="false">IF($A96="","",SUMIFS(DITARI!$F$6:$F$550,DITARI!$D$6:$D$550,$A96))</f>
        <v>0</v>
      </c>
      <c r="E96" s="173" t="n">
        <f aca="false">IF($A96="","",SUMIFS(DITARI!$G$6:$G$550,DITARI!$D$6:$D$550,$A96))</f>
        <v>0</v>
      </c>
      <c r="F96" s="173" t="n">
        <f aca="false">IF($A96="","",MAX($D96-$E96,0))</f>
        <v>0</v>
      </c>
      <c r="G96" s="173" t="n">
        <f aca="false">IF($A96="","",MAX($E96-$D96,0))</f>
        <v>0</v>
      </c>
      <c r="H96" s="172" t="str">
        <f aca="false">IF($A96="","",IF($F96&gt;0,"Saldo Debit",IF($G96&gt;0,"Saldo Kredit","Zero")))</f>
        <v>Zero</v>
      </c>
      <c r="I96" s="172" t="str">
        <f aca="false">IF($A96="","",IFERROR(VLOOKUP($A96,PLANI_LLOGARIVE!$A$2:$I$500,9,FALSE()),""))</f>
        <v>Credit</v>
      </c>
      <c r="J96" s="101" t="str">
        <f aca="false">IF(A96="","",IF(OR(H96="Zero",I96="Debit/Credit"),"",IF(OR(AND(H96="Saldo Debit",I96="Debit"),AND(H96="Saldo Kredit",OR(I96="Credit",I96="Kredit"))),"","⚠️ JO NORMALE")))</f>
        <v/>
      </c>
    </row>
    <row r="97" customFormat="false" ht="12.75" hidden="false" customHeight="true" outlineLevel="0" collapsed="false">
      <c r="A97" s="174" t="str">
        <f aca="false">IF(AND(PLANI_LLOGARIVE!$A91&lt;&gt;"",PLANI_LLOGARIVE!$J91=TRUE()),PLANI_LLOGARIVE!$A91&amp;"","")</f>
        <v>449</v>
      </c>
      <c r="B97" s="174" t="str">
        <f aca="false">IF($A97="","",IFERROR(VLOOKUP($A97,PLANI_LLOGARIVE!$A$2:$I$500,2,FALSE()),""))</f>
        <v>Tatimi në burim</v>
      </c>
      <c r="C97" s="174" t="str">
        <f aca="false">IF($A97="","",IFERROR(VLOOKUP($A97,PLANI_LLOGARIVE!$A$2:$I$500,4,FALSE()),""))</f>
        <v>4</v>
      </c>
      <c r="D97" s="175" t="n">
        <f aca="false">IF($A97="","",SUMIFS(DITARI!$F$6:$F$550,DITARI!$D$6:$D$550,$A97))</f>
        <v>0</v>
      </c>
      <c r="E97" s="175" t="n">
        <f aca="false">IF($A97="","",SUMIFS(DITARI!$G$6:$G$550,DITARI!$D$6:$D$550,$A97))</f>
        <v>0</v>
      </c>
      <c r="F97" s="175" t="n">
        <f aca="false">IF($A97="","",MAX($D97-$E97,0))</f>
        <v>0</v>
      </c>
      <c r="G97" s="175" t="n">
        <f aca="false">IF($A97="","",MAX($E97-$D97,0))</f>
        <v>0</v>
      </c>
      <c r="H97" s="174" t="str">
        <f aca="false">IF($A97="","",IF($F97&gt;0,"Saldo Debit",IF($G97&gt;0,"Saldo Kredit","Zero")))</f>
        <v>Zero</v>
      </c>
      <c r="I97" s="174" t="str">
        <f aca="false">IF($A97="","",IFERROR(VLOOKUP($A97,PLANI_LLOGARIVE!$A$2:$I$500,9,FALSE()),""))</f>
        <v>Credit</v>
      </c>
      <c r="J97" s="101" t="str">
        <f aca="false">IF(A97="","",IF(OR(H97="Zero",I97="Debit/Credit"),"",IF(OR(AND(H97="Saldo Debit",I97="Debit"),AND(H97="Saldo Kredit",OR(I97="Credit",I97="Kredit"))),"","⚠️ JO NORMALE")))</f>
        <v/>
      </c>
    </row>
    <row r="98" customFormat="false" ht="12.75" hidden="false" customHeight="true" outlineLevel="0" collapsed="false">
      <c r="A98" s="172" t="str">
        <f aca="false">IF(AND(PLANI_LLOGARIVE!$A92&lt;&gt;"",PLANI_LLOGARIVE!$J92=TRUE()),PLANI_LLOGARIVE!$A92&amp;"","")</f>
        <v/>
      </c>
      <c r="B98" s="172" t="str">
        <f aca="false">IF($A98="","",IFERROR(VLOOKUP($A98,PLANI_LLOGARIVE!$A$2:$I$500,2,FALSE()),""))</f>
        <v/>
      </c>
      <c r="C98" s="172" t="str">
        <f aca="false">IF($A98="","",IFERROR(VLOOKUP($A98,PLANI_LLOGARIVE!$A$2:$I$500,4,FALSE()),""))</f>
        <v/>
      </c>
      <c r="D98" s="173" t="str">
        <f aca="false">IF($A98="","",SUMIFS(DITARI!$F$6:$F$550,DITARI!$D$6:$D$550,$A98))</f>
        <v/>
      </c>
      <c r="E98" s="173" t="str">
        <f aca="false">IF($A98="","",SUMIFS(DITARI!$G$6:$G$550,DITARI!$D$6:$D$550,$A98))</f>
        <v/>
      </c>
      <c r="F98" s="173" t="str">
        <f aca="false">IF($A98="","",MAX($D98-$E98,0))</f>
        <v/>
      </c>
      <c r="G98" s="173" t="str">
        <f aca="false">IF($A98="","",MAX($E98-$D98,0))</f>
        <v/>
      </c>
      <c r="H98" s="172" t="str">
        <f aca="false">IF($A98="","",IF($F98&gt;0,"Saldo Debit",IF($G98&gt;0,"Saldo Kredit","Zero")))</f>
        <v/>
      </c>
      <c r="I98" s="172" t="str">
        <f aca="false">IF($A98="","",IFERROR(VLOOKUP($A98,PLANI_LLOGARIVE!$A$2:$I$500,9,FALSE()),""))</f>
        <v/>
      </c>
      <c r="J98" s="101" t="str">
        <f aca="false">IF(A98="","",IF(OR(H98="Zero",I98="Debit/Credit"),"",IF(OR(AND(H98="Saldo Debit",I98="Debit"),AND(H98="Saldo Kredit",OR(I98="Credit",I98="Kredit"))),"","⚠️ JO NORMALE")))</f>
        <v/>
      </c>
    </row>
    <row r="99" customFormat="false" ht="12.75" hidden="false" customHeight="true" outlineLevel="0" collapsed="false">
      <c r="A99" s="174" t="str">
        <f aca="false">IF(AND(PLANI_LLOGARIVE!$A93&lt;&gt;"",PLANI_LLOGARIVE!$J93=TRUE()),PLANI_LLOGARIVE!$A93&amp;"","")</f>
        <v>451</v>
      </c>
      <c r="B99" s="174" t="str">
        <f aca="false">IF($A99="","",IFERROR(VLOOKUP($A99,PLANI_LLOGARIVE!$A$2:$I$500,2,FALSE()),""))</f>
        <v>Llogari rrjedhëse me pronarët</v>
      </c>
      <c r="C99" s="174" t="str">
        <f aca="false">IF($A99="","",IFERROR(VLOOKUP($A99,PLANI_LLOGARIVE!$A$2:$I$500,4,FALSE()),""))</f>
        <v>4</v>
      </c>
      <c r="D99" s="175" t="n">
        <f aca="false">IF($A99="","",SUMIFS(DITARI!$F$6:$F$550,DITARI!$D$6:$D$550,$A99))</f>
        <v>0</v>
      </c>
      <c r="E99" s="175" t="n">
        <f aca="false">IF($A99="","",SUMIFS(DITARI!$G$6:$G$550,DITARI!$D$6:$D$550,$A99))</f>
        <v>0</v>
      </c>
      <c r="F99" s="175" t="n">
        <f aca="false">IF($A99="","",MAX($D99-$E99,0))</f>
        <v>0</v>
      </c>
      <c r="G99" s="175" t="n">
        <f aca="false">IF($A99="","",MAX($E99-$D99,0))</f>
        <v>0</v>
      </c>
      <c r="H99" s="174" t="str">
        <f aca="false">IF($A99="","",IF($F99&gt;0,"Saldo Debit",IF($G99&gt;0,"Saldo Kredit","Zero")))</f>
        <v>Zero</v>
      </c>
      <c r="I99" s="174" t="str">
        <f aca="false">IF($A99="","",IFERROR(VLOOKUP($A99,PLANI_LLOGARIVE!$A$2:$I$500,9,FALSE()),""))</f>
        <v>Debit/Credit</v>
      </c>
      <c r="J99" s="101" t="str">
        <f aca="false">IF(A99="","",IF(OR(H99="Zero",I99="Debit/Credit"),"",IF(OR(AND(H99="Saldo Debit",I99="Debit"),AND(H99="Saldo Kredit",OR(I99="Credit",I99="Kredit"))),"","⚠️ JO NORMALE")))</f>
        <v/>
      </c>
    </row>
    <row r="100" customFormat="false" ht="12.75" hidden="false" customHeight="true" outlineLevel="0" collapsed="false">
      <c r="A100" s="172" t="str">
        <f aca="false">IF(AND(PLANI_LLOGARIVE!$A94&lt;&gt;"",PLANI_LLOGARIVE!$J94=TRUE()),PLANI_LLOGARIVE!$A94&amp;"","")</f>
        <v>455</v>
      </c>
      <c r="B100" s="172" t="str">
        <f aca="false">IF($A100="","",IFERROR(VLOOKUP($A100,PLANI_LLOGARIVE!$A$2:$I$500,2,FALSE()),""))</f>
        <v>Të drejta/detyrime ndaj ortakëve</v>
      </c>
      <c r="C100" s="172" t="str">
        <f aca="false">IF($A100="","",IFERROR(VLOOKUP($A100,PLANI_LLOGARIVE!$A$2:$I$500,4,FALSE()),""))</f>
        <v>4</v>
      </c>
      <c r="D100" s="173" t="n">
        <f aca="false">IF($A100="","",SUMIFS(DITARI!$F$6:$F$550,DITARI!$D$6:$D$550,$A100))</f>
        <v>0</v>
      </c>
      <c r="E100" s="173" t="n">
        <f aca="false">IF($A100="","",SUMIFS(DITARI!$G$6:$G$550,DITARI!$D$6:$D$550,$A100))</f>
        <v>0</v>
      </c>
      <c r="F100" s="173" t="n">
        <f aca="false">IF($A100="","",MAX($D100-$E100,0))</f>
        <v>0</v>
      </c>
      <c r="G100" s="173" t="n">
        <f aca="false">IF($A100="","",MAX($E100-$D100,0))</f>
        <v>0</v>
      </c>
      <c r="H100" s="172" t="str">
        <f aca="false">IF($A100="","",IF($F100&gt;0,"Saldo Debit",IF($G100&gt;0,"Saldo Kredit","Zero")))</f>
        <v>Zero</v>
      </c>
      <c r="I100" s="172" t="str">
        <f aca="false">IF($A100="","",IFERROR(VLOOKUP($A100,PLANI_LLOGARIVE!$A$2:$I$500,9,FALSE()),""))</f>
        <v>Credit</v>
      </c>
      <c r="J100" s="101" t="str">
        <f aca="false">IF(A100="","",IF(OR(H100="Zero",I100="Debit/Credit"),"",IF(OR(AND(H100="Saldo Debit",I100="Debit"),AND(H100="Saldo Kredit",OR(I100="Credit",I100="Kredit"))),"","⚠️ JO NORMALE")))</f>
        <v/>
      </c>
    </row>
    <row r="101" customFormat="false" ht="12.75" hidden="false" customHeight="true" outlineLevel="0" collapsed="false">
      <c r="A101" s="174" t="str">
        <f aca="false">IF(AND(PLANI_LLOGARIVE!$A95&lt;&gt;"",PLANI_LLOGARIVE!$J95=TRUE()),PLANI_LLOGARIVE!$A95&amp;"","")</f>
        <v>456</v>
      </c>
      <c r="B101" s="174" t="str">
        <f aca="false">IF($A101="","",IFERROR(VLOOKUP($A101,PLANI_LLOGARIVE!$A$2:$I$500,2,FALSE()),""))</f>
        <v>Të drejta ndaj pronarëve për kapitalin e nënshkruar</v>
      </c>
      <c r="C101" s="174" t="str">
        <f aca="false">IF($A101="","",IFERROR(VLOOKUP($A101,PLANI_LLOGARIVE!$A$2:$I$500,4,FALSE()),""))</f>
        <v>4</v>
      </c>
      <c r="D101" s="175" t="n">
        <f aca="false">IF($A101="","",SUMIFS(DITARI!$F$6:$F$550,DITARI!$D$6:$D$550,$A101))</f>
        <v>0</v>
      </c>
      <c r="E101" s="175" t="n">
        <f aca="false">IF($A101="","",SUMIFS(DITARI!$G$6:$G$550,DITARI!$D$6:$D$550,$A101))</f>
        <v>0</v>
      </c>
      <c r="F101" s="175" t="n">
        <f aca="false">IF($A101="","",MAX($D101-$E101,0))</f>
        <v>0</v>
      </c>
      <c r="G101" s="175" t="n">
        <f aca="false">IF($A101="","",MAX($E101-$D101,0))</f>
        <v>0</v>
      </c>
      <c r="H101" s="174" t="str">
        <f aca="false">IF($A101="","",IF($F101&gt;0,"Saldo Debit",IF($G101&gt;0,"Saldo Kredit","Zero")))</f>
        <v>Zero</v>
      </c>
      <c r="I101" s="174" t="str">
        <f aca="false">IF($A101="","",IFERROR(VLOOKUP($A101,PLANI_LLOGARIVE!$A$2:$I$500,9,FALSE()),""))</f>
        <v>Debit</v>
      </c>
      <c r="J101" s="101" t="str">
        <f aca="false">IF(A101="","",IF(OR(H101="Zero",I101="Debit/Credit"),"",IF(OR(AND(H101="Saldo Debit",I101="Debit"),AND(H101="Saldo Kredit",OR(I101="Credit",I101="Kredit"))),"","⚠️ JO NORMALE")))</f>
        <v/>
      </c>
    </row>
    <row r="102" customFormat="false" ht="12.75" hidden="false" customHeight="true" outlineLevel="0" collapsed="false">
      <c r="A102" s="172" t="str">
        <f aca="false">IF(AND(PLANI_LLOGARIVE!$A96&lt;&gt;"",PLANI_LLOGARIVE!$J96=TRUE()),PLANI_LLOGARIVE!$A96&amp;"","")</f>
        <v>457</v>
      </c>
      <c r="B102" s="172" t="str">
        <f aca="false">IF($A102="","",IFERROR(VLOOKUP($A102,PLANI_LLOGARIVE!$A$2:$I$500,2,FALSE()),""))</f>
        <v>Dividentë për t’u paguar</v>
      </c>
      <c r="C102" s="172" t="str">
        <f aca="false">IF($A102="","",IFERROR(VLOOKUP($A102,PLANI_LLOGARIVE!$A$2:$I$500,4,FALSE()),""))</f>
        <v>4</v>
      </c>
      <c r="D102" s="173" t="n">
        <f aca="false">IF($A102="","",SUMIFS(DITARI!$F$6:$F$550,DITARI!$D$6:$D$550,$A102))</f>
        <v>0</v>
      </c>
      <c r="E102" s="173" t="n">
        <f aca="false">IF($A102="","",SUMIFS(DITARI!$G$6:$G$550,DITARI!$D$6:$D$550,$A102))</f>
        <v>0</v>
      </c>
      <c r="F102" s="173" t="n">
        <f aca="false">IF($A102="","",MAX($D102-$E102,0))</f>
        <v>0</v>
      </c>
      <c r="G102" s="173" t="n">
        <f aca="false">IF($A102="","",MAX($E102-$D102,0))</f>
        <v>0</v>
      </c>
      <c r="H102" s="172" t="str">
        <f aca="false">IF($A102="","",IF($F102&gt;0,"Saldo Debit",IF($G102&gt;0,"Saldo Kredit","Zero")))</f>
        <v>Zero</v>
      </c>
      <c r="I102" s="172" t="str">
        <f aca="false">IF($A102="","",IFERROR(VLOOKUP($A102,PLANI_LLOGARIVE!$A$2:$I$500,9,FALSE()),""))</f>
        <v>Credit</v>
      </c>
      <c r="J102" s="101" t="str">
        <f aca="false">IF(A102="","",IF(OR(H102="Zero",I102="Debit/Credit"),"",IF(OR(AND(H102="Saldo Debit",I102="Debit"),AND(H102="Saldo Kredit",OR(I102="Credit",I102="Kredit"))),"","⚠️ JO NORMALE")))</f>
        <v/>
      </c>
    </row>
    <row r="103" customFormat="false" ht="12.75" hidden="false" customHeight="true" outlineLevel="0" collapsed="false">
      <c r="A103" s="174" t="str">
        <f aca="false">IF(AND(PLANI_LLOGARIVE!$A97&lt;&gt;"",PLANI_LLOGARIVE!$J97=TRUE()),PLANI_LLOGARIVE!$A97&amp;"","")</f>
        <v/>
      </c>
      <c r="B103" s="174" t="str">
        <f aca="false">IF($A103="","",IFERROR(VLOOKUP($A103,PLANI_LLOGARIVE!$A$2:$I$500,2,FALSE()),""))</f>
        <v/>
      </c>
      <c r="C103" s="174" t="str">
        <f aca="false">IF($A103="","",IFERROR(VLOOKUP($A103,PLANI_LLOGARIVE!$A$2:$I$500,4,FALSE()),""))</f>
        <v/>
      </c>
      <c r="D103" s="175" t="str">
        <f aca="false">IF($A103="","",SUMIFS(DITARI!$F$6:$F$550,DITARI!$D$6:$D$550,$A103))</f>
        <v/>
      </c>
      <c r="E103" s="175" t="str">
        <f aca="false">IF($A103="","",SUMIFS(DITARI!$G$6:$G$550,DITARI!$D$6:$D$550,$A103))</f>
        <v/>
      </c>
      <c r="F103" s="175" t="str">
        <f aca="false">IF($A103="","",MAX($D103-$E103,0))</f>
        <v/>
      </c>
      <c r="G103" s="175" t="str">
        <f aca="false">IF($A103="","",MAX($E103-$D103,0))</f>
        <v/>
      </c>
      <c r="H103" s="174" t="str">
        <f aca="false">IF($A103="","",IF($F103&gt;0,"Saldo Debit",IF($G103&gt;0,"Saldo Kredit","Zero")))</f>
        <v/>
      </c>
      <c r="I103" s="174" t="str">
        <f aca="false">IF($A103="","",IFERROR(VLOOKUP($A103,PLANI_LLOGARIVE!$A$2:$I$500,9,FALSE()),""))</f>
        <v/>
      </c>
      <c r="J103" s="101" t="str">
        <f aca="false">IF(A103="","",IF(OR(H103="Zero",I103="Debit/Credit"),"",IF(OR(AND(H103="Saldo Debit",I103="Debit"),AND(H103="Saldo Kredit",OR(I103="Credit",I103="Kredit"))),"","⚠️ JO NORMALE")))</f>
        <v/>
      </c>
    </row>
    <row r="104" customFormat="false" ht="12.75" hidden="false" customHeight="true" outlineLevel="0" collapsed="false">
      <c r="A104" s="172" t="str">
        <f aca="false">IF(AND(PLANI_LLOGARIVE!$A98&lt;&gt;"",PLANI_LLOGARIVE!$J98=TRUE()),PLANI_LLOGARIVE!$A98&amp;"","")</f>
        <v>461</v>
      </c>
      <c r="B104" s="172" t="str">
        <f aca="false">IF($A104="","",IFERROR(VLOOKUP($A104,PLANI_LLOGARIVE!$A$2:$I$500,2,FALSE()),""))</f>
        <v>Huamarrje afatshkurtra</v>
      </c>
      <c r="C104" s="172" t="str">
        <f aca="false">IF($A104="","",IFERROR(VLOOKUP($A104,PLANI_LLOGARIVE!$A$2:$I$500,4,FALSE()),""))</f>
        <v>4</v>
      </c>
      <c r="D104" s="173" t="n">
        <f aca="false">IF($A104="","",SUMIFS(DITARI!$F$6:$F$550,DITARI!$D$6:$D$550,$A104))</f>
        <v>0</v>
      </c>
      <c r="E104" s="173" t="n">
        <f aca="false">IF($A104="","",SUMIFS(DITARI!$G$6:$G$550,DITARI!$D$6:$D$550,$A104))</f>
        <v>0</v>
      </c>
      <c r="F104" s="173" t="n">
        <f aca="false">IF($A104="","",MAX($D104-$E104,0))</f>
        <v>0</v>
      </c>
      <c r="G104" s="173" t="n">
        <f aca="false">IF($A104="","",MAX($E104-$D104,0))</f>
        <v>0</v>
      </c>
      <c r="H104" s="172" t="str">
        <f aca="false">IF($A104="","",IF($F104&gt;0,"Saldo Debit",IF($G104&gt;0,"Saldo Kredit","Zero")))</f>
        <v>Zero</v>
      </c>
      <c r="I104" s="172" t="str">
        <f aca="false">IF($A104="","",IFERROR(VLOOKUP($A104,PLANI_LLOGARIVE!$A$2:$I$500,9,FALSE()),""))</f>
        <v>Credit</v>
      </c>
      <c r="J104" s="101" t="str">
        <f aca="false">IF(A104="","",IF(OR(H104="Zero",I104="Debit/Credit"),"",IF(OR(AND(H104="Saldo Debit",I104="Debit"),AND(H104="Saldo Kredit",OR(I104="Credit",I104="Kredit"))),"","⚠️ JO NORMALE")))</f>
        <v/>
      </c>
    </row>
    <row r="105" customFormat="false" ht="12.75" hidden="false" customHeight="true" outlineLevel="0" collapsed="false">
      <c r="A105" s="174" t="str">
        <f aca="false">IF(AND(PLANI_LLOGARIVE!$A99&lt;&gt;"",PLANI_LLOGARIVE!$J99=TRUE()),PLANI_LLOGARIVE!$A99&amp;"","")</f>
        <v>468</v>
      </c>
      <c r="B105" s="174" t="str">
        <f aca="false">IF($A105="","",IFERROR(VLOOKUP($A105,PLANI_LLOGARIVE!$A$2:$I$500,2,FALSE()),""))</f>
        <v>Huamarrje afatgjata</v>
      </c>
      <c r="C105" s="174" t="str">
        <f aca="false">IF($A105="","",IFERROR(VLOOKUP($A105,PLANI_LLOGARIVE!$A$2:$I$500,4,FALSE()),""))</f>
        <v>4</v>
      </c>
      <c r="D105" s="175" t="n">
        <f aca="false">IF($A105="","",SUMIFS(DITARI!$F$6:$F$550,DITARI!$D$6:$D$550,$A105))</f>
        <v>0</v>
      </c>
      <c r="E105" s="175" t="n">
        <f aca="false">IF($A105="","",SUMIFS(DITARI!$G$6:$G$550,DITARI!$D$6:$D$550,$A105))</f>
        <v>0</v>
      </c>
      <c r="F105" s="175" t="n">
        <f aca="false">IF($A105="","",MAX($D105-$E105,0))</f>
        <v>0</v>
      </c>
      <c r="G105" s="175" t="n">
        <f aca="false">IF($A105="","",MAX($E105-$D105,0))</f>
        <v>0</v>
      </c>
      <c r="H105" s="174" t="str">
        <f aca="false">IF($A105="","",IF($F105&gt;0,"Saldo Debit",IF($G105&gt;0,"Saldo Kredit","Zero")))</f>
        <v>Zero</v>
      </c>
      <c r="I105" s="174" t="str">
        <f aca="false">IF($A105="","",IFERROR(VLOOKUP($A105,PLANI_LLOGARIVE!$A$2:$I$500,9,FALSE()),""))</f>
        <v>Credit</v>
      </c>
      <c r="J105" s="101" t="str">
        <f aca="false">IF(A105="","",IF(OR(H105="Zero",I105="Debit/Credit"),"",IF(OR(AND(H105="Saldo Debit",I105="Debit"),AND(H105="Saldo Kredit",OR(I105="Credit",I105="Kredit"))),"","⚠️ JO NORMALE")))</f>
        <v/>
      </c>
    </row>
    <row r="106" customFormat="false" ht="12.75" hidden="false" customHeight="true" outlineLevel="0" collapsed="false">
      <c r="A106" s="172" t="str">
        <f aca="false">IF(AND(PLANI_LLOGARIVE!$A100&lt;&gt;"",PLANI_LLOGARIVE!$J100=TRUE()),PLANI_LLOGARIVE!$A100&amp;"","")</f>
        <v/>
      </c>
      <c r="B106" s="172" t="str">
        <f aca="false">IF($A106="","",IFERROR(VLOOKUP($A106,PLANI_LLOGARIVE!$A$2:$I$500,2,FALSE()),""))</f>
        <v/>
      </c>
      <c r="C106" s="172" t="str">
        <f aca="false">IF($A106="","",IFERROR(VLOOKUP($A106,PLANI_LLOGARIVE!$A$2:$I$500,4,FALSE()),""))</f>
        <v/>
      </c>
      <c r="D106" s="173" t="str">
        <f aca="false">IF($A106="","",SUMIFS(DITARI!$F$6:$F$550,DITARI!$D$6:$D$550,$A106))</f>
        <v/>
      </c>
      <c r="E106" s="173" t="str">
        <f aca="false">IF($A106="","",SUMIFS(DITARI!$G$6:$G$550,DITARI!$D$6:$D$550,$A106))</f>
        <v/>
      </c>
      <c r="F106" s="173" t="str">
        <f aca="false">IF($A106="","",MAX($D106-$E106,0))</f>
        <v/>
      </c>
      <c r="G106" s="173" t="str">
        <f aca="false">IF($A106="","",MAX($E106-$D106,0))</f>
        <v/>
      </c>
      <c r="H106" s="172" t="str">
        <f aca="false">IF($A106="","",IF($F106&gt;0,"Saldo Debit",IF($G106&gt;0,"Saldo Kredit","Zero")))</f>
        <v/>
      </c>
      <c r="I106" s="172" t="str">
        <f aca="false">IF($A106="","",IFERROR(VLOOKUP($A106,PLANI_LLOGARIVE!$A$2:$I$500,9,FALSE()),""))</f>
        <v/>
      </c>
      <c r="J106" s="101" t="str">
        <f aca="false">IF(A106="","",IF(OR(H106="Zero",I106="Debit/Credit"),"",IF(OR(AND(H106="Saldo Debit",I106="Debit"),AND(H106="Saldo Kredit",OR(I106="Credit",I106="Kredit"))),"","⚠️ JO NORMALE")))</f>
        <v/>
      </c>
    </row>
    <row r="107" customFormat="false" ht="12.75" hidden="false" customHeight="true" outlineLevel="0" collapsed="false">
      <c r="A107" s="174" t="str">
        <f aca="false">IF(AND(PLANI_LLOGARIVE!$A101&lt;&gt;"",PLANI_LLOGARIVE!$J101=TRUE()),PLANI_LLOGARIVE!$A101&amp;"","")</f>
        <v>476</v>
      </c>
      <c r="B107" s="174" t="str">
        <f aca="false">IF($A107="","",IFERROR(VLOOKUP($A107,PLANI_LLOGARIVE!$A$2:$I$500,2,FALSE()),""))</f>
        <v>Diferenca konvertimi aktive</v>
      </c>
      <c r="C107" s="174" t="str">
        <f aca="false">IF($A107="","",IFERROR(VLOOKUP($A107,PLANI_LLOGARIVE!$A$2:$I$500,4,FALSE()),""))</f>
        <v>4</v>
      </c>
      <c r="D107" s="175" t="n">
        <f aca="false">IF($A107="","",SUMIFS(DITARI!$F$6:$F$550,DITARI!$D$6:$D$550,$A107))</f>
        <v>0</v>
      </c>
      <c r="E107" s="175" t="n">
        <f aca="false">IF($A107="","",SUMIFS(DITARI!$G$6:$G$550,DITARI!$D$6:$D$550,$A107))</f>
        <v>0</v>
      </c>
      <c r="F107" s="175" t="n">
        <f aca="false">IF($A107="","",MAX($D107-$E107,0))</f>
        <v>0</v>
      </c>
      <c r="G107" s="175" t="n">
        <f aca="false">IF($A107="","",MAX($E107-$D107,0))</f>
        <v>0</v>
      </c>
      <c r="H107" s="174" t="str">
        <f aca="false">IF($A107="","",IF($F107&gt;0,"Saldo Debit",IF($G107&gt;0,"Saldo Kredit","Zero")))</f>
        <v>Zero</v>
      </c>
      <c r="I107" s="174" t="str">
        <f aca="false">IF($A107="","",IFERROR(VLOOKUP($A107,PLANI_LLOGARIVE!$A$2:$I$500,9,FALSE()),""))</f>
        <v>Debit</v>
      </c>
      <c r="J107" s="101" t="str">
        <f aca="false">IF(A107="","",IF(OR(H107="Zero",I107="Debit/Credit"),"",IF(OR(AND(H107="Saldo Debit",I107="Debit"),AND(H107="Saldo Kredit",OR(I107="Credit",I107="Kredit"))),"","⚠️ JO NORMALE")))</f>
        <v/>
      </c>
    </row>
    <row r="108" customFormat="false" ht="12.75" hidden="false" customHeight="true" outlineLevel="0" collapsed="false">
      <c r="A108" s="172" t="str">
        <f aca="false">IF(AND(PLANI_LLOGARIVE!$A102&lt;&gt;"",PLANI_LLOGARIVE!$J102=TRUE()),PLANI_LLOGARIVE!$A102&amp;"","")</f>
        <v>477</v>
      </c>
      <c r="B108" s="172" t="str">
        <f aca="false">IF($A108="","",IFERROR(VLOOKUP($A108,PLANI_LLOGARIVE!$A$2:$I$500,2,FALSE()),""))</f>
        <v>Diferenca konvertimi pasive</v>
      </c>
      <c r="C108" s="172" t="str">
        <f aca="false">IF($A108="","",IFERROR(VLOOKUP($A108,PLANI_LLOGARIVE!$A$2:$I$500,4,FALSE()),""))</f>
        <v>4</v>
      </c>
      <c r="D108" s="173" t="n">
        <f aca="false">IF($A108="","",SUMIFS(DITARI!$F$6:$F$550,DITARI!$D$6:$D$550,$A108))</f>
        <v>0</v>
      </c>
      <c r="E108" s="173" t="n">
        <f aca="false">IF($A108="","",SUMIFS(DITARI!$G$6:$G$550,DITARI!$D$6:$D$550,$A108))</f>
        <v>0</v>
      </c>
      <c r="F108" s="173" t="n">
        <f aca="false">IF($A108="","",MAX($D108-$E108,0))</f>
        <v>0</v>
      </c>
      <c r="G108" s="173" t="n">
        <f aca="false">IF($A108="","",MAX($E108-$D108,0))</f>
        <v>0</v>
      </c>
      <c r="H108" s="172" t="str">
        <f aca="false">IF($A108="","",IF($F108&gt;0,"Saldo Debit",IF($G108&gt;0,"Saldo Kredit","Zero")))</f>
        <v>Zero</v>
      </c>
      <c r="I108" s="172" t="str">
        <f aca="false">IF($A108="","",IFERROR(VLOOKUP($A108,PLANI_LLOGARIVE!$A$2:$I$500,9,FALSE()),""))</f>
        <v>Credit</v>
      </c>
      <c r="J108" s="101" t="str">
        <f aca="false">IF(A108="","",IF(OR(H108="Zero",I108="Debit/Credit"),"",IF(OR(AND(H108="Saldo Debit",I108="Debit"),AND(H108="Saldo Kredit",OR(I108="Credit",I108="Kredit"))),"","⚠️ JO NORMALE")))</f>
        <v/>
      </c>
    </row>
    <row r="109" customFormat="false" ht="12.75" hidden="false" customHeight="true" outlineLevel="0" collapsed="false">
      <c r="A109" s="174" t="str">
        <f aca="false">IF(AND(PLANI_LLOGARIVE!$A103&lt;&gt;"",PLANI_LLOGARIVE!$J103=TRUE()),PLANI_LLOGARIVE!$A103&amp;"","")</f>
        <v/>
      </c>
      <c r="B109" s="174" t="str">
        <f aca="false">IF($A109="","",IFERROR(VLOOKUP($A109,PLANI_LLOGARIVE!$A$2:$I$500,2,FALSE()),""))</f>
        <v/>
      </c>
      <c r="C109" s="174" t="str">
        <f aca="false">IF($A109="","",IFERROR(VLOOKUP($A109,PLANI_LLOGARIVE!$A$2:$I$500,4,FALSE()),""))</f>
        <v/>
      </c>
      <c r="D109" s="175" t="str">
        <f aca="false">IF($A109="","",SUMIFS(DITARI!$F$6:$F$550,DITARI!$D$6:$D$550,$A109))</f>
        <v/>
      </c>
      <c r="E109" s="175" t="str">
        <f aca="false">IF($A109="","",SUMIFS(DITARI!$G$6:$G$550,DITARI!$D$6:$D$550,$A109))</f>
        <v/>
      </c>
      <c r="F109" s="175" t="str">
        <f aca="false">IF($A109="","",MAX($D109-$E109,0))</f>
        <v/>
      </c>
      <c r="G109" s="175" t="str">
        <f aca="false">IF($A109="","",MAX($E109-$D109,0))</f>
        <v/>
      </c>
      <c r="H109" s="174" t="str">
        <f aca="false">IF($A109="","",IF($F109&gt;0,"Saldo Debit",IF($G109&gt;0,"Saldo Kredit","Zero")))</f>
        <v/>
      </c>
      <c r="I109" s="174" t="str">
        <f aca="false">IF($A109="","",IFERROR(VLOOKUP($A109,PLANI_LLOGARIVE!$A$2:$I$500,9,FALSE()),""))</f>
        <v/>
      </c>
      <c r="J109" s="101" t="str">
        <f aca="false">IF(A109="","",IF(OR(H109="Zero",I109="Debit/Credit"),"",IF(OR(AND(H109="Saldo Debit",I109="Debit"),AND(H109="Saldo Kredit",OR(I109="Credit",I109="Kredit"))),"","⚠️ JO NORMALE")))</f>
        <v/>
      </c>
    </row>
    <row r="110" customFormat="false" ht="12.75" hidden="false" customHeight="true" outlineLevel="0" collapsed="false">
      <c r="A110" s="172" t="str">
        <f aca="false">IF(AND(PLANI_LLOGARIVE!$A104&lt;&gt;"",PLANI_LLOGARIVE!$J104=TRUE()),PLANI_LLOGARIVE!$A104&amp;"","")</f>
        <v>481</v>
      </c>
      <c r="B110" s="172" t="str">
        <f aca="false">IF($A110="","",IFERROR(VLOOKUP($A110,PLANI_LLOGARIVE!$A$2:$I$500,2,FALSE()),""))</f>
        <v>Shpenzime të llogaritura</v>
      </c>
      <c r="C110" s="172" t="str">
        <f aca="false">IF($A110="","",IFERROR(VLOOKUP($A110,PLANI_LLOGARIVE!$A$2:$I$500,4,FALSE()),""))</f>
        <v>4</v>
      </c>
      <c r="D110" s="173" t="n">
        <f aca="false">IF($A110="","",SUMIFS(DITARI!$F$6:$F$550,DITARI!$D$6:$D$550,$A110))</f>
        <v>0</v>
      </c>
      <c r="E110" s="173" t="n">
        <f aca="false">IF($A110="","",SUMIFS(DITARI!$G$6:$G$550,DITARI!$D$6:$D$550,$A110))</f>
        <v>0</v>
      </c>
      <c r="F110" s="173" t="n">
        <f aca="false">IF($A110="","",MAX($D110-$E110,0))</f>
        <v>0</v>
      </c>
      <c r="G110" s="173" t="n">
        <f aca="false">IF($A110="","",MAX($E110-$D110,0))</f>
        <v>0</v>
      </c>
      <c r="H110" s="172" t="str">
        <f aca="false">IF($A110="","",IF($F110&gt;0,"Saldo Debit",IF($G110&gt;0,"Saldo Kredit","Zero")))</f>
        <v>Zero</v>
      </c>
      <c r="I110" s="172" t="str">
        <f aca="false">IF($A110="","",IFERROR(VLOOKUP($A110,PLANI_LLOGARIVE!$A$2:$I$500,9,FALSE()),""))</f>
        <v>Credit</v>
      </c>
      <c r="J110" s="101" t="str">
        <f aca="false">IF(A110="","",IF(OR(H110="Zero",I110="Debit/Credit"),"",IF(OR(AND(H110="Saldo Debit",I110="Debit"),AND(H110="Saldo Kredit",OR(I110="Credit",I110="Kredit"))),"","⚠️ JO NORMALE")))</f>
        <v/>
      </c>
    </row>
    <row r="111" customFormat="false" ht="12.75" hidden="false" customHeight="true" outlineLevel="0" collapsed="false">
      <c r="A111" s="174" t="str">
        <f aca="false">IF(AND(PLANI_LLOGARIVE!$A105&lt;&gt;"",PLANI_LLOGARIVE!$J105=TRUE()),PLANI_LLOGARIVE!$A105&amp;"","")</f>
        <v>486</v>
      </c>
      <c r="B111" s="174" t="str">
        <f aca="false">IF($A111="","",IFERROR(VLOOKUP($A111,PLANI_LLOGARIVE!$A$2:$I$500,2,FALSE()),""))</f>
        <v>Shpenzime të periudhave të ardhme</v>
      </c>
      <c r="C111" s="174" t="str">
        <f aca="false">IF($A111="","",IFERROR(VLOOKUP($A111,PLANI_LLOGARIVE!$A$2:$I$500,4,FALSE()),""))</f>
        <v>4</v>
      </c>
      <c r="D111" s="175" t="n">
        <f aca="false">IF($A111="","",SUMIFS(DITARI!$F$6:$F$550,DITARI!$D$6:$D$550,$A111))</f>
        <v>0</v>
      </c>
      <c r="E111" s="175" t="n">
        <f aca="false">IF($A111="","",SUMIFS(DITARI!$G$6:$G$550,DITARI!$D$6:$D$550,$A111))</f>
        <v>0</v>
      </c>
      <c r="F111" s="175" t="n">
        <f aca="false">IF($A111="","",MAX($D111-$E111,0))</f>
        <v>0</v>
      </c>
      <c r="G111" s="175" t="n">
        <f aca="false">IF($A111="","",MAX($E111-$D111,0))</f>
        <v>0</v>
      </c>
      <c r="H111" s="174" t="str">
        <f aca="false">IF($A111="","",IF($F111&gt;0,"Saldo Debit",IF($G111&gt;0,"Saldo Kredit","Zero")))</f>
        <v>Zero</v>
      </c>
      <c r="I111" s="174" t="str">
        <f aca="false">IF($A111="","",IFERROR(VLOOKUP($A111,PLANI_LLOGARIVE!$A$2:$I$500,9,FALSE()),""))</f>
        <v>Debit</v>
      </c>
      <c r="J111" s="101" t="str">
        <f aca="false">IF(A111="","",IF(OR(H111="Zero",I111="Debit/Credit"),"",IF(OR(AND(H111="Saldo Debit",I111="Debit"),AND(H111="Saldo Kredit",OR(I111="Credit",I111="Kredit"))),"","⚠️ JO NORMALE")))</f>
        <v/>
      </c>
    </row>
    <row r="112" customFormat="false" ht="12.75" hidden="false" customHeight="true" outlineLevel="0" collapsed="false">
      <c r="A112" s="172" t="str">
        <f aca="false">IF(AND(PLANI_LLOGARIVE!$A106&lt;&gt;"",PLANI_LLOGARIVE!$J106=TRUE()),PLANI_LLOGARIVE!$A106&amp;"","")</f>
        <v>487</v>
      </c>
      <c r="B112" s="172" t="str">
        <f aca="false">IF($A112="","",IFERROR(VLOOKUP($A112,PLANI_LLOGARIVE!$A$2:$I$500,2,FALSE()),""))</f>
        <v>Të ardhura të llogaritura</v>
      </c>
      <c r="C112" s="172" t="str">
        <f aca="false">IF($A112="","",IFERROR(VLOOKUP($A112,PLANI_LLOGARIVE!$A$2:$I$500,4,FALSE()),""))</f>
        <v>4</v>
      </c>
      <c r="D112" s="173" t="n">
        <f aca="false">IF($A112="","",SUMIFS(DITARI!$F$6:$F$550,DITARI!$D$6:$D$550,$A112))</f>
        <v>0</v>
      </c>
      <c r="E112" s="173" t="n">
        <f aca="false">IF($A112="","",SUMIFS(DITARI!$G$6:$G$550,DITARI!$D$6:$D$550,$A112))</f>
        <v>0</v>
      </c>
      <c r="F112" s="173" t="n">
        <f aca="false">IF($A112="","",MAX($D112-$E112,0))</f>
        <v>0</v>
      </c>
      <c r="G112" s="173" t="n">
        <f aca="false">IF($A112="","",MAX($E112-$D112,0))</f>
        <v>0</v>
      </c>
      <c r="H112" s="172" t="str">
        <f aca="false">IF($A112="","",IF($F112&gt;0,"Saldo Debit",IF($G112&gt;0,"Saldo Kredit","Zero")))</f>
        <v>Zero</v>
      </c>
      <c r="I112" s="172" t="str">
        <f aca="false">IF($A112="","",IFERROR(VLOOKUP($A112,PLANI_LLOGARIVE!$A$2:$I$500,9,FALSE()),""))</f>
        <v>Debit</v>
      </c>
      <c r="J112" s="101" t="str">
        <f aca="false">IF(A112="","",IF(OR(H112="Zero",I112="Debit/Credit"),"",IF(OR(AND(H112="Saldo Debit",I112="Debit"),AND(H112="Saldo Kredit",OR(I112="Credit",I112="Kredit"))),"","⚠️ JO NORMALE")))</f>
        <v/>
      </c>
    </row>
    <row r="113" customFormat="false" ht="12.75" hidden="false" customHeight="true" outlineLevel="0" collapsed="false">
      <c r="A113" s="174" t="str">
        <f aca="false">IF(AND(PLANI_LLOGARIVE!$A107&lt;&gt;"",PLANI_LLOGARIVE!$J107=TRUE()),PLANI_LLOGARIVE!$A107&amp;"","")</f>
        <v>488</v>
      </c>
      <c r="B113" s="174" t="str">
        <f aca="false">IF($A113="","",IFERROR(VLOOKUP($A113,PLANI_LLOGARIVE!$A$2:$I$500,2,FALSE()),""))</f>
        <v>Të ardhura të periudhave të ardhme</v>
      </c>
      <c r="C113" s="174" t="str">
        <f aca="false">IF($A113="","",IFERROR(VLOOKUP($A113,PLANI_LLOGARIVE!$A$2:$I$500,4,FALSE()),""))</f>
        <v>4</v>
      </c>
      <c r="D113" s="175" t="n">
        <f aca="false">IF($A113="","",SUMIFS(DITARI!$F$6:$F$550,DITARI!$D$6:$D$550,$A113))</f>
        <v>0</v>
      </c>
      <c r="E113" s="175" t="n">
        <f aca="false">IF($A113="","",SUMIFS(DITARI!$G$6:$G$550,DITARI!$D$6:$D$550,$A113))</f>
        <v>0</v>
      </c>
      <c r="F113" s="175" t="n">
        <f aca="false">IF($A113="","",MAX($D113-$E113,0))</f>
        <v>0</v>
      </c>
      <c r="G113" s="175" t="n">
        <f aca="false">IF($A113="","",MAX($E113-$D113,0))</f>
        <v>0</v>
      </c>
      <c r="H113" s="174" t="str">
        <f aca="false">IF($A113="","",IF($F113&gt;0,"Saldo Debit",IF($G113&gt;0,"Saldo Kredit","Zero")))</f>
        <v>Zero</v>
      </c>
      <c r="I113" s="174" t="str">
        <f aca="false">IF($A113="","",IFERROR(VLOOKUP($A113,PLANI_LLOGARIVE!$A$2:$I$500,9,FALSE()),""))</f>
        <v>Credit</v>
      </c>
      <c r="J113" s="101" t="str">
        <f aca="false">IF(A113="","",IF(OR(H113="Zero",I113="Debit/Credit"),"",IF(OR(AND(H113="Saldo Debit",I113="Debit"),AND(H113="Saldo Kredit",OR(I113="Credit",I113="Kredit"))),"","⚠️ JO NORMALE")))</f>
        <v/>
      </c>
    </row>
    <row r="114" customFormat="false" ht="12.75" hidden="false" customHeight="true" outlineLevel="0" collapsed="false">
      <c r="A114" s="172" t="str">
        <f aca="false">IF(AND(PLANI_LLOGARIVE!$A108&lt;&gt;"",PLANI_LLOGARIVE!$J108=TRUE()),PLANI_LLOGARIVE!$A108&amp;"","")</f>
        <v/>
      </c>
      <c r="B114" s="172" t="str">
        <f aca="false">IF($A114="","",IFERROR(VLOOKUP($A114,PLANI_LLOGARIVE!$A$2:$I$500,2,FALSE()),""))</f>
        <v/>
      </c>
      <c r="C114" s="172" t="str">
        <f aca="false">IF($A114="","",IFERROR(VLOOKUP($A114,PLANI_LLOGARIVE!$A$2:$I$500,4,FALSE()),""))</f>
        <v/>
      </c>
      <c r="D114" s="173" t="str">
        <f aca="false">IF($A114="","",SUMIFS(DITARI!$F$6:$F$550,DITARI!$D$6:$D$550,$A114))</f>
        <v/>
      </c>
      <c r="E114" s="173" t="str">
        <f aca="false">IF($A114="","",SUMIFS(DITARI!$G$6:$G$550,DITARI!$D$6:$D$550,$A114))</f>
        <v/>
      </c>
      <c r="F114" s="173" t="str">
        <f aca="false">IF($A114="","",MAX($D114-$E114,0))</f>
        <v/>
      </c>
      <c r="G114" s="173" t="str">
        <f aca="false">IF($A114="","",MAX($E114-$D114,0))</f>
        <v/>
      </c>
      <c r="H114" s="172" t="str">
        <f aca="false">IF($A114="","",IF($F114&gt;0,"Saldo Debit",IF($G114&gt;0,"Saldo Kredit","Zero")))</f>
        <v/>
      </c>
      <c r="I114" s="172" t="str">
        <f aca="false">IF($A114="","",IFERROR(VLOOKUP($A114,PLANI_LLOGARIVE!$A$2:$I$500,9,FALSE()),""))</f>
        <v/>
      </c>
      <c r="J114" s="101" t="str">
        <f aca="false">IF(A114="","",IF(OR(H114="Zero",I114="Debit/Credit"),"",IF(OR(AND(H114="Saldo Debit",I114="Debit"),AND(H114="Saldo Kredit",OR(I114="Credit",I114="Kredit"))),"","⚠️ JO NORMALE")))</f>
        <v/>
      </c>
    </row>
    <row r="115" customFormat="false" ht="12.75" hidden="false" customHeight="true" outlineLevel="0" collapsed="false">
      <c r="A115" s="174" t="str">
        <f aca="false">IF(AND(PLANI_LLOGARIVE!$A109&lt;&gt;"",PLANI_LLOGARIVE!$J109=TRUE()),PLANI_LLOGARIVE!$A109&amp;"","")</f>
        <v>491</v>
      </c>
      <c r="B115" s="174" t="str">
        <f aca="false">IF($A115="","",IFERROR(VLOOKUP($A115,PLANI_LLOGARIVE!$A$2:$I$500,2,FALSE()),""))</f>
        <v>Provizione për faturat e klientëve</v>
      </c>
      <c r="C115" s="174" t="str">
        <f aca="false">IF($A115="","",IFERROR(VLOOKUP($A115,PLANI_LLOGARIVE!$A$2:$I$500,4,FALSE()),""))</f>
        <v>4</v>
      </c>
      <c r="D115" s="175" t="n">
        <f aca="false">IF($A115="","",SUMIFS(DITARI!$F$6:$F$550,DITARI!$D$6:$D$550,$A115))</f>
        <v>0</v>
      </c>
      <c r="E115" s="175" t="n">
        <f aca="false">IF($A115="","",SUMIFS(DITARI!$G$6:$G$550,DITARI!$D$6:$D$550,$A115))</f>
        <v>0</v>
      </c>
      <c r="F115" s="175" t="n">
        <f aca="false">IF($A115="","",MAX($D115-$E115,0))</f>
        <v>0</v>
      </c>
      <c r="G115" s="175" t="n">
        <f aca="false">IF($A115="","",MAX($E115-$D115,0))</f>
        <v>0</v>
      </c>
      <c r="H115" s="174" t="str">
        <f aca="false">IF($A115="","",IF($F115&gt;0,"Saldo Debit",IF($G115&gt;0,"Saldo Kredit","Zero")))</f>
        <v>Zero</v>
      </c>
      <c r="I115" s="174" t="str">
        <f aca="false">IF($A115="","",IFERROR(VLOOKUP($A115,PLANI_LLOGARIVE!$A$2:$I$500,9,FALSE()),""))</f>
        <v>Credit</v>
      </c>
      <c r="J115" s="101" t="str">
        <f aca="false">IF(A115="","",IF(OR(H115="Zero",I115="Debit/Credit"),"",IF(OR(AND(H115="Saldo Debit",I115="Debit"),AND(H115="Saldo Kredit",OR(I115="Credit",I115="Kredit"))),"","⚠️ JO NORMALE")))</f>
        <v/>
      </c>
    </row>
    <row r="116" customFormat="false" ht="12.75" hidden="false" customHeight="true" outlineLevel="0" collapsed="false">
      <c r="A116" s="172" t="str">
        <f aca="false">IF(AND(PLANI_LLOGARIVE!$A110&lt;&gt;"",PLANI_LLOGARIVE!$J110=TRUE()),PLANI_LLOGARIVE!$A110&amp;"","")</f>
        <v>495</v>
      </c>
      <c r="B116" s="172" t="str">
        <f aca="false">IF($A116="","",IFERROR(VLOOKUP($A116,PLANI_LLOGARIVE!$A$2:$I$500,2,FALSE()),""))</f>
        <v>Provizione për fatura për arkëtim</v>
      </c>
      <c r="C116" s="172" t="str">
        <f aca="false">IF($A116="","",IFERROR(VLOOKUP($A116,PLANI_LLOGARIVE!$A$2:$I$500,4,FALSE()),""))</f>
        <v>4</v>
      </c>
      <c r="D116" s="173" t="n">
        <f aca="false">IF($A116="","",SUMIFS(DITARI!$F$6:$F$550,DITARI!$D$6:$D$550,$A116))</f>
        <v>0</v>
      </c>
      <c r="E116" s="173" t="n">
        <f aca="false">IF($A116="","",SUMIFS(DITARI!$G$6:$G$550,DITARI!$D$6:$D$550,$A116))</f>
        <v>0</v>
      </c>
      <c r="F116" s="173" t="n">
        <f aca="false">IF($A116="","",MAX($D116-$E116,0))</f>
        <v>0</v>
      </c>
      <c r="G116" s="173" t="n">
        <f aca="false">IF($A116="","",MAX($E116-$D116,0))</f>
        <v>0</v>
      </c>
      <c r="H116" s="172" t="str">
        <f aca="false">IF($A116="","",IF($F116&gt;0,"Saldo Debit",IF($G116&gt;0,"Saldo Kredit","Zero")))</f>
        <v>Zero</v>
      </c>
      <c r="I116" s="172" t="str">
        <f aca="false">IF($A116="","",IFERROR(VLOOKUP($A116,PLANI_LLOGARIVE!$A$2:$I$500,9,FALSE()),""))</f>
        <v>Credit</v>
      </c>
      <c r="J116" s="101" t="str">
        <f aca="false">IF(A116="","",IF(OR(H116="Zero",I116="Debit/Credit"),"",IF(OR(AND(H116="Saldo Debit",I116="Debit"),AND(H116="Saldo Kredit",OR(I116="Credit",I116="Kredit"))),"","⚠️ JO NORMALE")))</f>
        <v/>
      </c>
    </row>
    <row r="117" customFormat="false" ht="12.75" hidden="false" customHeight="true" outlineLevel="0" collapsed="false">
      <c r="A117" s="174" t="str">
        <f aca="false">IF(AND(PLANI_LLOGARIVE!$A111&lt;&gt;"",PLANI_LLOGARIVE!$J111=TRUE()),PLANI_LLOGARIVE!$A111&amp;"","")</f>
        <v>496</v>
      </c>
      <c r="B117" s="174" t="str">
        <f aca="false">IF($A117="","",IFERROR(VLOOKUP($A117,PLANI_LLOGARIVE!$A$2:$I$500,2,FALSE()),""))</f>
        <v>Provizione për debitorë të ndryshëm</v>
      </c>
      <c r="C117" s="174" t="str">
        <f aca="false">IF($A117="","",IFERROR(VLOOKUP($A117,PLANI_LLOGARIVE!$A$2:$I$500,4,FALSE()),""))</f>
        <v>4</v>
      </c>
      <c r="D117" s="175" t="n">
        <f aca="false">IF($A117="","",SUMIFS(DITARI!$F$6:$F$550,DITARI!$D$6:$D$550,$A117))</f>
        <v>0</v>
      </c>
      <c r="E117" s="175" t="n">
        <f aca="false">IF($A117="","",SUMIFS(DITARI!$G$6:$G$550,DITARI!$D$6:$D$550,$A117))</f>
        <v>0</v>
      </c>
      <c r="F117" s="175" t="n">
        <f aca="false">IF($A117="","",MAX($D117-$E117,0))</f>
        <v>0</v>
      </c>
      <c r="G117" s="175" t="n">
        <f aca="false">IF($A117="","",MAX($E117-$D117,0))</f>
        <v>0</v>
      </c>
      <c r="H117" s="174" t="str">
        <f aca="false">IF($A117="","",IF($F117&gt;0,"Saldo Debit",IF($G117&gt;0,"Saldo Kredit","Zero")))</f>
        <v>Zero</v>
      </c>
      <c r="I117" s="174" t="str">
        <f aca="false">IF($A117="","",IFERROR(VLOOKUP($A117,PLANI_LLOGARIVE!$A$2:$I$500,9,FALSE()),""))</f>
        <v>Credit</v>
      </c>
      <c r="J117" s="101" t="str">
        <f aca="false">IF(A117="","",IF(OR(H117="Zero",I117="Debit/Credit"),"",IF(OR(AND(H117="Saldo Debit",I117="Debit"),AND(H117="Saldo Kredit",OR(I117="Credit",I117="Kredit"))),"","⚠️ JO NORMALE")))</f>
        <v/>
      </c>
    </row>
    <row r="118" customFormat="false" ht="12.75" hidden="false" customHeight="true" outlineLevel="0" collapsed="false">
      <c r="A118" s="172" t="str">
        <f aca="false">IF(AND(PLANI_LLOGARIVE!$A112&lt;&gt;"",PLANI_LLOGARIVE!$J112=TRUE()),PLANI_LLOGARIVE!$A112&amp;"","")</f>
        <v/>
      </c>
      <c r="B118" s="172" t="str">
        <f aca="false">IF($A118="","",IFERROR(VLOOKUP($A118,PLANI_LLOGARIVE!$A$2:$I$500,2,FALSE()),""))</f>
        <v/>
      </c>
      <c r="C118" s="172" t="str">
        <f aca="false">IF($A118="","",IFERROR(VLOOKUP($A118,PLANI_LLOGARIVE!$A$2:$I$500,4,FALSE()),""))</f>
        <v/>
      </c>
      <c r="D118" s="173" t="str">
        <f aca="false">IF($A118="","",SUMIFS(DITARI!$F$6:$F$550,DITARI!$D$6:$D$550,$A118))</f>
        <v/>
      </c>
      <c r="E118" s="173" t="str">
        <f aca="false">IF($A118="","",SUMIFS(DITARI!$G$6:$G$550,DITARI!$D$6:$D$550,$A118))</f>
        <v/>
      </c>
      <c r="F118" s="173" t="str">
        <f aca="false">IF($A118="","",MAX($D118-$E118,0))</f>
        <v/>
      </c>
      <c r="G118" s="173" t="str">
        <f aca="false">IF($A118="","",MAX($E118-$D118,0))</f>
        <v/>
      </c>
      <c r="H118" s="172" t="str">
        <f aca="false">IF($A118="","",IF($F118&gt;0,"Saldo Debit",IF($G118&gt;0,"Saldo Kredit","Zero")))</f>
        <v/>
      </c>
      <c r="I118" s="172" t="str">
        <f aca="false">IF($A118="","",IFERROR(VLOOKUP($A118,PLANI_LLOGARIVE!$A$2:$I$500,9,FALSE()),""))</f>
        <v/>
      </c>
      <c r="J118" s="101" t="str">
        <f aca="false">IF(A118="","",IF(OR(H118="Zero",I118="Debit/Credit"),"",IF(OR(AND(H118="Saldo Debit",I118="Debit"),AND(H118="Saldo Kredit",OR(I118="Credit",I118="Kredit"))),"","⚠️ JO NORMALE")))</f>
        <v/>
      </c>
    </row>
    <row r="119" customFormat="false" ht="12.75" hidden="false" customHeight="true" outlineLevel="0" collapsed="false">
      <c r="A119" s="174" t="str">
        <f aca="false">IF(AND(PLANI_LLOGARIVE!$A113&lt;&gt;"",PLANI_LLOGARIVE!$J113=TRUE()),PLANI_LLOGARIVE!$A113&amp;"","")</f>
        <v/>
      </c>
      <c r="B119" s="174" t="str">
        <f aca="false">IF($A119="","",IFERROR(VLOOKUP($A119,PLANI_LLOGARIVE!$A$2:$I$500,2,FALSE()),""))</f>
        <v/>
      </c>
      <c r="C119" s="174" t="str">
        <f aca="false">IF($A119="","",IFERROR(VLOOKUP($A119,PLANI_LLOGARIVE!$A$2:$I$500,4,FALSE()),""))</f>
        <v/>
      </c>
      <c r="D119" s="175" t="str">
        <f aca="false">IF($A119="","",SUMIFS(DITARI!$F$6:$F$550,DITARI!$D$6:$D$550,$A119))</f>
        <v/>
      </c>
      <c r="E119" s="175" t="str">
        <f aca="false">IF($A119="","",SUMIFS(DITARI!$G$6:$G$550,DITARI!$D$6:$D$550,$A119))</f>
        <v/>
      </c>
      <c r="F119" s="175" t="str">
        <f aca="false">IF($A119="","",MAX($D119-$E119,0))</f>
        <v/>
      </c>
      <c r="G119" s="175" t="str">
        <f aca="false">IF($A119="","",MAX($E119-$D119,0))</f>
        <v/>
      </c>
      <c r="H119" s="174" t="str">
        <f aca="false">IF($A119="","",IF($F119&gt;0,"Saldo Debit",IF($G119&gt;0,"Saldo Kredit","Zero")))</f>
        <v/>
      </c>
      <c r="I119" s="174" t="str">
        <f aca="false">IF($A119="","",IFERROR(VLOOKUP($A119,PLANI_LLOGARIVE!$A$2:$I$500,9,FALSE()),""))</f>
        <v/>
      </c>
      <c r="J119" s="101" t="str">
        <f aca="false">IF(A119="","",IF(OR(H119="Zero",I119="Debit/Credit"),"",IF(OR(AND(H119="Saldo Debit",I119="Debit"),AND(H119="Saldo Kredit",OR(I119="Credit",I119="Kredit"))),"","⚠️ JO NORMALE")))</f>
        <v/>
      </c>
    </row>
    <row r="120" customFormat="false" ht="12.75" hidden="false" customHeight="true" outlineLevel="0" collapsed="false">
      <c r="A120" s="172" t="str">
        <f aca="false">IF(AND(PLANI_LLOGARIVE!$A114&lt;&gt;"",PLANI_LLOGARIVE!$J114=TRUE()),PLANI_LLOGARIVE!$A114&amp;"","")</f>
        <v>511</v>
      </c>
      <c r="B120" s="172" t="str">
        <f aca="false">IF($A120="","",IFERROR(VLOOKUP($A120,PLANI_LLOGARIVE!$A$2:$I$500,2,FALSE()),""))</f>
        <v>Vlera monetare në tranzit</v>
      </c>
      <c r="C120" s="172" t="str">
        <f aca="false">IF($A120="","",IFERROR(VLOOKUP($A120,PLANI_LLOGARIVE!$A$2:$I$500,4,FALSE()),""))</f>
        <v>5</v>
      </c>
      <c r="D120" s="173" t="n">
        <f aca="false">IF($A120="","",SUMIFS(DITARI!$F$6:$F$550,DITARI!$D$6:$D$550,$A120))</f>
        <v>0</v>
      </c>
      <c r="E120" s="173" t="n">
        <f aca="false">IF($A120="","",SUMIFS(DITARI!$G$6:$G$550,DITARI!$D$6:$D$550,$A120))</f>
        <v>0</v>
      </c>
      <c r="F120" s="173" t="n">
        <f aca="false">IF($A120="","",MAX($D120-$E120,0))</f>
        <v>0</v>
      </c>
      <c r="G120" s="173" t="n">
        <f aca="false">IF($A120="","",MAX($E120-$D120,0))</f>
        <v>0</v>
      </c>
      <c r="H120" s="172" t="str">
        <f aca="false">IF($A120="","",IF($F120&gt;0,"Saldo Debit",IF($G120&gt;0,"Saldo Kredit","Zero")))</f>
        <v>Zero</v>
      </c>
      <c r="I120" s="172" t="str">
        <f aca="false">IF($A120="","",IFERROR(VLOOKUP($A120,PLANI_LLOGARIVE!$A$2:$I$500,9,FALSE()),""))</f>
        <v>Debit</v>
      </c>
      <c r="J120" s="101" t="str">
        <f aca="false">IF(A120="","",IF(OR(H120="Zero",I120="Debit/Credit"),"",IF(OR(AND(H120="Saldo Debit",I120="Debit"),AND(H120="Saldo Kredit",OR(I120="Credit",I120="Kredit"))),"","⚠️ JO NORMALE")))</f>
        <v/>
      </c>
    </row>
    <row r="121" customFormat="false" ht="12.75" hidden="false" customHeight="true" outlineLevel="0" collapsed="false">
      <c r="A121" s="174" t="str">
        <f aca="false">IF(AND(PLANI_LLOGARIVE!$A115&lt;&gt;"",PLANI_LLOGARIVE!$J115=TRUE()),PLANI_LLOGARIVE!$A115&amp;"","")</f>
        <v>512</v>
      </c>
      <c r="B121" s="174" t="str">
        <f aca="false">IF($A121="","",IFERROR(VLOOKUP($A121,PLANI_LLOGARIVE!$A$2:$I$500,2,FALSE()),""))</f>
        <v>Vlera monetare në bankë</v>
      </c>
      <c r="C121" s="174" t="str">
        <f aca="false">IF($A121="","",IFERROR(VLOOKUP($A121,PLANI_LLOGARIVE!$A$2:$I$500,4,FALSE()),""))</f>
        <v>5</v>
      </c>
      <c r="D121" s="175" t="n">
        <f aca="false">IF($A121="","",SUMIFS(DITARI!$F$6:$F$550,DITARI!$D$6:$D$550,$A121))</f>
        <v>0</v>
      </c>
      <c r="E121" s="175" t="n">
        <f aca="false">IF($A121="","",SUMIFS(DITARI!$G$6:$G$550,DITARI!$D$6:$D$550,$A121))</f>
        <v>0</v>
      </c>
      <c r="F121" s="175" t="n">
        <f aca="false">IF($A121="","",MAX($D121-$E121,0))</f>
        <v>0</v>
      </c>
      <c r="G121" s="175" t="n">
        <f aca="false">IF($A121="","",MAX($E121-$D121,0))</f>
        <v>0</v>
      </c>
      <c r="H121" s="174" t="str">
        <f aca="false">IF($A121="","",IF($F121&gt;0,"Saldo Debit",IF($G121&gt;0,"Saldo Kredit","Zero")))</f>
        <v>Zero</v>
      </c>
      <c r="I121" s="174" t="str">
        <f aca="false">IF($A121="","",IFERROR(VLOOKUP($A121,PLANI_LLOGARIVE!$A$2:$I$500,9,FALSE()),""))</f>
        <v>Debit</v>
      </c>
      <c r="J121" s="101" t="str">
        <f aca="false">IF(A121="","",IF(OR(H121="Zero",I121="Debit/Credit"),"",IF(OR(AND(H121="Saldo Debit",I121="Debit"),AND(H121="Saldo Kredit",OR(I121="Credit",I121="Kredit"))),"","⚠️ JO NORMALE")))</f>
        <v/>
      </c>
    </row>
    <row r="122" customFormat="false" ht="12.75" hidden="false" customHeight="true" outlineLevel="0" collapsed="false">
      <c r="A122" s="172" t="str">
        <f aca="false">IF(AND(PLANI_LLOGARIVE!$A116&lt;&gt;"",PLANI_LLOGARIVE!$J116=TRUE()),PLANI_LLOGARIVE!$A116&amp;"","")</f>
        <v>5121</v>
      </c>
      <c r="B122" s="172" t="str">
        <f aca="false">IF($A122="","",IFERROR(VLOOKUP($A122,PLANI_LLOGARIVE!$A$2:$I$500,2,FALSE()),""))</f>
        <v>Vlera monetare në bankë - lek</v>
      </c>
      <c r="C122" s="172" t="str">
        <f aca="false">IF($A122="","",IFERROR(VLOOKUP($A122,PLANI_LLOGARIVE!$A$2:$I$500,4,FALSE()),""))</f>
        <v>5</v>
      </c>
      <c r="D122" s="173" t="n">
        <f aca="false">IF($A122="","",SUMIFS(DITARI!$F$6:$F$550,DITARI!$D$6:$D$550,$A122))</f>
        <v>0</v>
      </c>
      <c r="E122" s="173" t="n">
        <f aca="false">IF($A122="","",SUMIFS(DITARI!$G$6:$G$550,DITARI!$D$6:$D$550,$A122))</f>
        <v>0</v>
      </c>
      <c r="F122" s="173" t="n">
        <f aca="false">IF($A122="","",MAX($D122-$E122,0))</f>
        <v>0</v>
      </c>
      <c r="G122" s="173" t="n">
        <f aca="false">IF($A122="","",MAX($E122-$D122,0))</f>
        <v>0</v>
      </c>
      <c r="H122" s="172" t="str">
        <f aca="false">IF($A122="","",IF($F122&gt;0,"Saldo Debit",IF($G122&gt;0,"Saldo Kredit","Zero")))</f>
        <v>Zero</v>
      </c>
      <c r="I122" s="172" t="str">
        <f aca="false">IF($A122="","",IFERROR(VLOOKUP($A122,PLANI_LLOGARIVE!$A$2:$I$500,9,FALSE()),""))</f>
        <v>Debit</v>
      </c>
      <c r="J122" s="101" t="str">
        <f aca="false">IF(A122="","",IF(OR(H122="Zero",I122="Debit/Credit"),"",IF(OR(AND(H122="Saldo Debit",I122="Debit"),AND(H122="Saldo Kredit",OR(I122="Credit",I122="Kredit"))),"","⚠️ JO NORMALE")))</f>
        <v/>
      </c>
    </row>
    <row r="123" customFormat="false" ht="12.75" hidden="false" customHeight="true" outlineLevel="0" collapsed="false">
      <c r="A123" s="174" t="str">
        <f aca="false">IF(AND(PLANI_LLOGARIVE!$A117&lt;&gt;"",PLANI_LLOGARIVE!$J117=TRUE()),PLANI_LLOGARIVE!$A117&amp;"","")</f>
        <v>5124</v>
      </c>
      <c r="B123" s="174" t="str">
        <f aca="false">IF($A123="","",IFERROR(VLOOKUP($A123,PLANI_LLOGARIVE!$A$2:$I$500,2,FALSE()),""))</f>
        <v>Vlera monetare në bankë - valutë</v>
      </c>
      <c r="C123" s="174" t="str">
        <f aca="false">IF($A123="","",IFERROR(VLOOKUP($A123,PLANI_LLOGARIVE!$A$2:$I$500,4,FALSE()),""))</f>
        <v>5</v>
      </c>
      <c r="D123" s="175" t="n">
        <f aca="false">IF($A123="","",SUMIFS(DITARI!$F$6:$F$550,DITARI!$D$6:$D$550,$A123))</f>
        <v>0</v>
      </c>
      <c r="E123" s="175" t="n">
        <f aca="false">IF($A123="","",SUMIFS(DITARI!$G$6:$G$550,DITARI!$D$6:$D$550,$A123))</f>
        <v>0</v>
      </c>
      <c r="F123" s="175" t="n">
        <f aca="false">IF($A123="","",MAX($D123-$E123,0))</f>
        <v>0</v>
      </c>
      <c r="G123" s="175" t="n">
        <f aca="false">IF($A123="","",MAX($E123-$D123,0))</f>
        <v>0</v>
      </c>
      <c r="H123" s="174" t="str">
        <f aca="false">IF($A123="","",IF($F123&gt;0,"Saldo Debit",IF($G123&gt;0,"Saldo Kredit","Zero")))</f>
        <v>Zero</v>
      </c>
      <c r="I123" s="174" t="str">
        <f aca="false">IF($A123="","",IFERROR(VLOOKUP($A123,PLANI_LLOGARIVE!$A$2:$I$500,9,FALSE()),""))</f>
        <v>Debit</v>
      </c>
      <c r="J123" s="101" t="str">
        <f aca="false">IF(A123="","",IF(OR(H123="Zero",I123="Debit/Credit"),"",IF(OR(AND(H123="Saldo Debit",I123="Debit"),AND(H123="Saldo Kredit",OR(I123="Credit",I123="Kredit"))),"","⚠️ JO NORMALE")))</f>
        <v/>
      </c>
    </row>
    <row r="124" customFormat="false" ht="12.75" hidden="false" customHeight="true" outlineLevel="0" collapsed="false">
      <c r="A124" s="172" t="str">
        <f aca="false">IF(AND(PLANI_LLOGARIVE!$A118&lt;&gt;"",PLANI_LLOGARIVE!$J118=TRUE()),PLANI_LLOGARIVE!$A118&amp;"","")</f>
        <v>519</v>
      </c>
      <c r="B124" s="172" t="str">
        <f aca="false">IF($A124="","",IFERROR(VLOOKUP($A124,PLANI_LLOGARIVE!$A$2:$I$500,2,FALSE()),""))</f>
        <v>Overdraft / llogari bankare të zbuluara</v>
      </c>
      <c r="C124" s="172" t="str">
        <f aca="false">IF($A124="","",IFERROR(VLOOKUP($A124,PLANI_LLOGARIVE!$A$2:$I$500,4,FALSE()),""))</f>
        <v>5</v>
      </c>
      <c r="D124" s="173" t="n">
        <f aca="false">IF($A124="","",SUMIFS(DITARI!$F$6:$F$550,DITARI!$D$6:$D$550,$A124))</f>
        <v>0</v>
      </c>
      <c r="E124" s="173" t="n">
        <f aca="false">IF($A124="","",SUMIFS(DITARI!$G$6:$G$550,DITARI!$D$6:$D$550,$A124))</f>
        <v>0</v>
      </c>
      <c r="F124" s="173" t="n">
        <f aca="false">IF($A124="","",MAX($D124-$E124,0))</f>
        <v>0</v>
      </c>
      <c r="G124" s="173" t="n">
        <f aca="false">IF($A124="","",MAX($E124-$D124,0))</f>
        <v>0</v>
      </c>
      <c r="H124" s="172" t="str">
        <f aca="false">IF($A124="","",IF($F124&gt;0,"Saldo Debit",IF($G124&gt;0,"Saldo Kredit","Zero")))</f>
        <v>Zero</v>
      </c>
      <c r="I124" s="172" t="str">
        <f aca="false">IF($A124="","",IFERROR(VLOOKUP($A124,PLANI_LLOGARIVE!$A$2:$I$500,9,FALSE()),""))</f>
        <v>Credit</v>
      </c>
      <c r="J124" s="101" t="str">
        <f aca="false">IF(A124="","",IF(OR(H124="Zero",I124="Debit/Credit"),"",IF(OR(AND(H124="Saldo Debit",I124="Debit"),AND(H124="Saldo Kredit",OR(I124="Credit",I124="Kredit"))),"","⚠️ JO NORMALE")))</f>
        <v/>
      </c>
    </row>
    <row r="125" customFormat="false" ht="12.75" hidden="false" customHeight="true" outlineLevel="0" collapsed="false">
      <c r="A125" s="174" t="str">
        <f aca="false">IF(AND(PLANI_LLOGARIVE!$A119&lt;&gt;"",PLANI_LLOGARIVE!$J119=TRUE()),PLANI_LLOGARIVE!$A119&amp;"","")</f>
        <v/>
      </c>
      <c r="B125" s="174" t="str">
        <f aca="false">IF($A125="","",IFERROR(VLOOKUP($A125,PLANI_LLOGARIVE!$A$2:$I$500,2,FALSE()),""))</f>
        <v/>
      </c>
      <c r="C125" s="174" t="str">
        <f aca="false">IF($A125="","",IFERROR(VLOOKUP($A125,PLANI_LLOGARIVE!$A$2:$I$500,4,FALSE()),""))</f>
        <v/>
      </c>
      <c r="D125" s="175" t="str">
        <f aca="false">IF($A125="","",SUMIFS(DITARI!$F$6:$F$550,DITARI!$D$6:$D$550,$A125))</f>
        <v/>
      </c>
      <c r="E125" s="175" t="str">
        <f aca="false">IF($A125="","",SUMIFS(DITARI!$G$6:$G$550,DITARI!$D$6:$D$550,$A125))</f>
        <v/>
      </c>
      <c r="F125" s="175" t="str">
        <f aca="false">IF($A125="","",MAX($D125-$E125,0))</f>
        <v/>
      </c>
      <c r="G125" s="175" t="str">
        <f aca="false">IF($A125="","",MAX($E125-$D125,0))</f>
        <v/>
      </c>
      <c r="H125" s="174" t="str">
        <f aca="false">IF($A125="","",IF($F125&gt;0,"Saldo Debit",IF($G125&gt;0,"Saldo Kredit","Zero")))</f>
        <v/>
      </c>
      <c r="I125" s="174" t="str">
        <f aca="false">IF($A125="","",IFERROR(VLOOKUP($A125,PLANI_LLOGARIVE!$A$2:$I$500,9,FALSE()),""))</f>
        <v/>
      </c>
      <c r="J125" s="101" t="str">
        <f aca="false">IF(A125="","",IF(OR(H125="Zero",I125="Debit/Credit"),"",IF(OR(AND(H125="Saldo Debit",I125="Debit"),AND(H125="Saldo Kredit",OR(I125="Credit",I125="Kredit"))),"","⚠️ JO NORMALE")))</f>
        <v/>
      </c>
    </row>
    <row r="126" customFormat="false" ht="12.75" hidden="false" customHeight="true" outlineLevel="0" collapsed="false">
      <c r="A126" s="172" t="str">
        <f aca="false">IF(AND(PLANI_LLOGARIVE!$A120&lt;&gt;"",PLANI_LLOGARIVE!$J120=TRUE()),PLANI_LLOGARIVE!$A120&amp;"","")</f>
        <v>531</v>
      </c>
      <c r="B126" s="172" t="str">
        <f aca="false">IF($A126="","",IFERROR(VLOOKUP($A126,PLANI_LLOGARIVE!$A$2:$I$500,2,FALSE()),""))</f>
        <v>Vlera monetare në arkë</v>
      </c>
      <c r="C126" s="172" t="str">
        <f aca="false">IF($A126="","",IFERROR(VLOOKUP($A126,PLANI_LLOGARIVE!$A$2:$I$500,4,FALSE()),""))</f>
        <v>5</v>
      </c>
      <c r="D126" s="173" t="n">
        <f aca="false">IF($A126="","",SUMIFS(DITARI!$F$6:$F$550,DITARI!$D$6:$D$550,$A126))</f>
        <v>0</v>
      </c>
      <c r="E126" s="173" t="n">
        <f aca="false">IF($A126="","",SUMIFS(DITARI!$G$6:$G$550,DITARI!$D$6:$D$550,$A126))</f>
        <v>0</v>
      </c>
      <c r="F126" s="173" t="n">
        <f aca="false">IF($A126="","",MAX($D126-$E126,0))</f>
        <v>0</v>
      </c>
      <c r="G126" s="173" t="n">
        <f aca="false">IF($A126="","",MAX($E126-$D126,0))</f>
        <v>0</v>
      </c>
      <c r="H126" s="172" t="str">
        <f aca="false">IF($A126="","",IF($F126&gt;0,"Saldo Debit",IF($G126&gt;0,"Saldo Kredit","Zero")))</f>
        <v>Zero</v>
      </c>
      <c r="I126" s="172" t="str">
        <f aca="false">IF($A126="","",IFERROR(VLOOKUP($A126,PLANI_LLOGARIVE!$A$2:$I$500,9,FALSE()),""))</f>
        <v>Debit</v>
      </c>
      <c r="J126" s="101" t="str">
        <f aca="false">IF(A126="","",IF(OR(H126="Zero",I126="Debit/Credit"),"",IF(OR(AND(H126="Saldo Debit",I126="Debit"),AND(H126="Saldo Kredit",OR(I126="Credit",I126="Kredit"))),"","⚠️ JO NORMALE")))</f>
        <v/>
      </c>
    </row>
    <row r="127" customFormat="false" ht="12.75" hidden="false" customHeight="true" outlineLevel="0" collapsed="false">
      <c r="A127" s="174" t="str">
        <f aca="false">IF(AND(PLANI_LLOGARIVE!$A121&lt;&gt;"",PLANI_LLOGARIVE!$J121=TRUE()),PLANI_LLOGARIVE!$A121&amp;"","")</f>
        <v>5311</v>
      </c>
      <c r="B127" s="174" t="str">
        <f aca="false">IF($A127="","",IFERROR(VLOOKUP($A127,PLANI_LLOGARIVE!$A$2:$I$500,2,FALSE()),""))</f>
        <v>Arka në lek</v>
      </c>
      <c r="C127" s="174" t="str">
        <f aca="false">IF($A127="","",IFERROR(VLOOKUP($A127,PLANI_LLOGARIVE!$A$2:$I$500,4,FALSE()),""))</f>
        <v>5</v>
      </c>
      <c r="D127" s="175" t="n">
        <f aca="false">IF($A127="","",SUMIFS(DITARI!$F$6:$F$550,DITARI!$D$6:$D$550,$A127))</f>
        <v>0</v>
      </c>
      <c r="E127" s="175" t="n">
        <f aca="false">IF($A127="","",SUMIFS(DITARI!$G$6:$G$550,DITARI!$D$6:$D$550,$A127))</f>
        <v>0</v>
      </c>
      <c r="F127" s="175" t="n">
        <f aca="false">IF($A127="","",MAX($D127-$E127,0))</f>
        <v>0</v>
      </c>
      <c r="G127" s="175" t="n">
        <f aca="false">IF($A127="","",MAX($E127-$D127,0))</f>
        <v>0</v>
      </c>
      <c r="H127" s="174" t="str">
        <f aca="false">IF($A127="","",IF($F127&gt;0,"Saldo Debit",IF($G127&gt;0,"Saldo Kredit","Zero")))</f>
        <v>Zero</v>
      </c>
      <c r="I127" s="174" t="str">
        <f aca="false">IF($A127="","",IFERROR(VLOOKUP($A127,PLANI_LLOGARIVE!$A$2:$I$500,9,FALSE()),""))</f>
        <v>Debit</v>
      </c>
      <c r="J127" s="101" t="str">
        <f aca="false">IF(A127="","",IF(OR(H127="Zero",I127="Debit/Credit"),"",IF(OR(AND(H127="Saldo Debit",I127="Debit"),AND(H127="Saldo Kredit",OR(I127="Credit",I127="Kredit"))),"","⚠️ JO NORMALE")))</f>
        <v/>
      </c>
    </row>
    <row r="128" customFormat="false" ht="12.75" hidden="false" customHeight="true" outlineLevel="0" collapsed="false">
      <c r="A128" s="172" t="str">
        <f aca="false">IF(AND(PLANI_LLOGARIVE!$A122&lt;&gt;"",PLANI_LLOGARIVE!$J122=TRUE()),PLANI_LLOGARIVE!$A122&amp;"","")</f>
        <v>5314</v>
      </c>
      <c r="B128" s="172" t="str">
        <f aca="false">IF($A128="","",IFERROR(VLOOKUP($A128,PLANI_LLOGARIVE!$A$2:$I$500,2,FALSE()),""))</f>
        <v>Arka në monedha të huaja</v>
      </c>
      <c r="C128" s="172" t="str">
        <f aca="false">IF($A128="","",IFERROR(VLOOKUP($A128,PLANI_LLOGARIVE!$A$2:$I$500,4,FALSE()),""))</f>
        <v>5</v>
      </c>
      <c r="D128" s="173" t="n">
        <f aca="false">IF($A128="","",SUMIFS(DITARI!$F$6:$F$550,DITARI!$D$6:$D$550,$A128))</f>
        <v>0</v>
      </c>
      <c r="E128" s="173" t="n">
        <f aca="false">IF($A128="","",SUMIFS(DITARI!$G$6:$G$550,DITARI!$D$6:$D$550,$A128))</f>
        <v>0</v>
      </c>
      <c r="F128" s="173" t="n">
        <f aca="false">IF($A128="","",MAX($D128-$E128,0))</f>
        <v>0</v>
      </c>
      <c r="G128" s="173" t="n">
        <f aca="false">IF($A128="","",MAX($E128-$D128,0))</f>
        <v>0</v>
      </c>
      <c r="H128" s="172" t="str">
        <f aca="false">IF($A128="","",IF($F128&gt;0,"Saldo Debit",IF($G128&gt;0,"Saldo Kredit","Zero")))</f>
        <v>Zero</v>
      </c>
      <c r="I128" s="172" t="str">
        <f aca="false">IF($A128="","",IFERROR(VLOOKUP($A128,PLANI_LLOGARIVE!$A$2:$I$500,9,FALSE()),""))</f>
        <v>Debit</v>
      </c>
      <c r="J128" s="101" t="str">
        <f aca="false">IF(A128="","",IF(OR(H128="Zero",I128="Debit/Credit"),"",IF(OR(AND(H128="Saldo Debit",I128="Debit"),AND(H128="Saldo Kredit",OR(I128="Credit",I128="Kredit"))),"","⚠️ JO NORMALE")))</f>
        <v/>
      </c>
    </row>
    <row r="129" customFormat="false" ht="12.75" hidden="false" customHeight="true" outlineLevel="0" collapsed="false">
      <c r="A129" s="174" t="str">
        <f aca="false">IF(AND(PLANI_LLOGARIVE!$A123&lt;&gt;"",PLANI_LLOGARIVE!$J123=TRUE()),PLANI_LLOGARIVE!$A123&amp;"","")</f>
        <v/>
      </c>
      <c r="B129" s="174" t="str">
        <f aca="false">IF($A129="","",IFERROR(VLOOKUP($A129,PLANI_LLOGARIVE!$A$2:$I$500,2,FALSE()),""))</f>
        <v/>
      </c>
      <c r="C129" s="174" t="str">
        <f aca="false">IF($A129="","",IFERROR(VLOOKUP($A129,PLANI_LLOGARIVE!$A$2:$I$500,4,FALSE()),""))</f>
        <v/>
      </c>
      <c r="D129" s="175" t="str">
        <f aca="false">IF($A129="","",SUMIFS(DITARI!$F$6:$F$550,DITARI!$D$6:$D$550,$A129))</f>
        <v/>
      </c>
      <c r="E129" s="175" t="str">
        <f aca="false">IF($A129="","",SUMIFS(DITARI!$G$6:$G$550,DITARI!$D$6:$D$550,$A129))</f>
        <v/>
      </c>
      <c r="F129" s="175" t="str">
        <f aca="false">IF($A129="","",MAX($D129-$E129,0))</f>
        <v/>
      </c>
      <c r="G129" s="175" t="str">
        <f aca="false">IF($A129="","",MAX($E129-$D129,0))</f>
        <v/>
      </c>
      <c r="H129" s="174" t="str">
        <f aca="false">IF($A129="","",IF($F129&gt;0,"Saldo Debit",IF($G129&gt;0,"Saldo Kredit","Zero")))</f>
        <v/>
      </c>
      <c r="I129" s="174" t="str">
        <f aca="false">IF($A129="","",IFERROR(VLOOKUP($A129,PLANI_LLOGARIVE!$A$2:$I$500,9,FALSE()),""))</f>
        <v/>
      </c>
      <c r="J129" s="101" t="str">
        <f aca="false">IF(A129="","",IF(OR(H129="Zero",I129="Debit/Credit"),"",IF(OR(AND(H129="Saldo Debit",I129="Debit"),AND(H129="Saldo Kredit",OR(I129="Credit",I129="Kredit"))),"","⚠️ JO NORMALE")))</f>
        <v/>
      </c>
    </row>
    <row r="130" customFormat="false" ht="12.75" hidden="false" customHeight="true" outlineLevel="0" collapsed="false">
      <c r="A130" s="172" t="str">
        <f aca="false">IF(AND(PLANI_LLOGARIVE!$A124&lt;&gt;"",PLANI_LLOGARIVE!$J124=TRUE()),PLANI_LLOGARIVE!$A124&amp;"","")</f>
        <v>581</v>
      </c>
      <c r="B130" s="172" t="str">
        <f aca="false">IF($A130="","",IFERROR(VLOOKUP($A130,PLANI_LLOGARIVE!$A$2:$I$500,2,FALSE()),""))</f>
        <v>Xhirime të brendshme</v>
      </c>
      <c r="C130" s="172" t="str">
        <f aca="false">IF($A130="","",IFERROR(VLOOKUP($A130,PLANI_LLOGARIVE!$A$2:$I$500,4,FALSE()),""))</f>
        <v>5</v>
      </c>
      <c r="D130" s="173" t="n">
        <f aca="false">IF($A130="","",SUMIFS(DITARI!$F$6:$F$550,DITARI!$D$6:$D$550,$A130))</f>
        <v>0</v>
      </c>
      <c r="E130" s="173" t="n">
        <f aca="false">IF($A130="","",SUMIFS(DITARI!$G$6:$G$550,DITARI!$D$6:$D$550,$A130))</f>
        <v>0</v>
      </c>
      <c r="F130" s="173" t="n">
        <f aca="false">IF($A130="","",MAX($D130-$E130,0))</f>
        <v>0</v>
      </c>
      <c r="G130" s="173" t="n">
        <f aca="false">IF($A130="","",MAX($E130-$D130,0))</f>
        <v>0</v>
      </c>
      <c r="H130" s="172" t="str">
        <f aca="false">IF($A130="","",IF($F130&gt;0,"Saldo Debit",IF($G130&gt;0,"Saldo Kredit","Zero")))</f>
        <v>Zero</v>
      </c>
      <c r="I130" s="172" t="str">
        <f aca="false">IF($A130="","",IFERROR(VLOOKUP($A130,PLANI_LLOGARIVE!$A$2:$I$500,9,FALSE()),""))</f>
        <v>Debit</v>
      </c>
      <c r="J130" s="101" t="str">
        <f aca="false">IF(A130="","",IF(OR(H130="Zero",I130="Debit/Credit"),"",IF(OR(AND(H130="Saldo Debit",I130="Debit"),AND(H130="Saldo Kredit",OR(I130="Credit",I130="Kredit"))),"","⚠️ JO NORMALE")))</f>
        <v/>
      </c>
    </row>
    <row r="131" customFormat="false" ht="12.75" hidden="false" customHeight="true" outlineLevel="0" collapsed="false">
      <c r="A131" s="174" t="str">
        <f aca="false">IF(AND(PLANI_LLOGARIVE!$A125&lt;&gt;"",PLANI_LLOGARIVE!$J125=TRUE()),PLANI_LLOGARIVE!$A125&amp;"","")</f>
        <v/>
      </c>
      <c r="B131" s="174" t="str">
        <f aca="false">IF($A131="","",IFERROR(VLOOKUP($A131,PLANI_LLOGARIVE!$A$2:$I$500,2,FALSE()),""))</f>
        <v/>
      </c>
      <c r="C131" s="174" t="str">
        <f aca="false">IF($A131="","",IFERROR(VLOOKUP($A131,PLANI_LLOGARIVE!$A$2:$I$500,4,FALSE()),""))</f>
        <v/>
      </c>
      <c r="D131" s="175" t="str">
        <f aca="false">IF($A131="","",SUMIFS(DITARI!$F$6:$F$550,DITARI!$D$6:$D$550,$A131))</f>
        <v/>
      </c>
      <c r="E131" s="175" t="str">
        <f aca="false">IF($A131="","",SUMIFS(DITARI!$G$6:$G$550,DITARI!$D$6:$D$550,$A131))</f>
        <v/>
      </c>
      <c r="F131" s="175" t="str">
        <f aca="false">IF($A131="","",MAX($D131-$E131,0))</f>
        <v/>
      </c>
      <c r="G131" s="175" t="str">
        <f aca="false">IF($A131="","",MAX($E131-$D131,0))</f>
        <v/>
      </c>
      <c r="H131" s="174" t="str">
        <f aca="false">IF($A131="","",IF($F131&gt;0,"Saldo Debit",IF($G131&gt;0,"Saldo Kredit","Zero")))</f>
        <v/>
      </c>
      <c r="I131" s="174" t="str">
        <f aca="false">IF($A131="","",IFERROR(VLOOKUP($A131,PLANI_LLOGARIVE!$A$2:$I$500,9,FALSE()),""))</f>
        <v/>
      </c>
      <c r="J131" s="101" t="str">
        <f aca="false">IF(A131="","",IF(OR(H131="Zero",I131="Debit/Credit"),"",IF(OR(AND(H131="Saldo Debit",I131="Debit"),AND(H131="Saldo Kredit",OR(I131="Credit",I131="Kredit"))),"","⚠️ JO NORMALE")))</f>
        <v/>
      </c>
    </row>
    <row r="132" customFormat="false" ht="12.75" hidden="false" customHeight="true" outlineLevel="0" collapsed="false">
      <c r="A132" s="172" t="str">
        <f aca="false">IF(AND(PLANI_LLOGARIVE!$A126&lt;&gt;"",PLANI_LLOGARIVE!$J126=TRUE()),PLANI_LLOGARIVE!$A126&amp;"","")</f>
        <v/>
      </c>
      <c r="B132" s="172" t="str">
        <f aca="false">IF($A132="","",IFERROR(VLOOKUP($A132,PLANI_LLOGARIVE!$A$2:$I$500,2,FALSE()),""))</f>
        <v/>
      </c>
      <c r="C132" s="172" t="str">
        <f aca="false">IF($A132="","",IFERROR(VLOOKUP($A132,PLANI_LLOGARIVE!$A$2:$I$500,4,FALSE()),""))</f>
        <v/>
      </c>
      <c r="D132" s="173" t="str">
        <f aca="false">IF($A132="","",SUMIFS(DITARI!$F$6:$F$550,DITARI!$D$6:$D$550,$A132))</f>
        <v/>
      </c>
      <c r="E132" s="173" t="str">
        <f aca="false">IF($A132="","",SUMIFS(DITARI!$G$6:$G$550,DITARI!$D$6:$D$550,$A132))</f>
        <v/>
      </c>
      <c r="F132" s="173" t="str">
        <f aca="false">IF($A132="","",MAX($D132-$E132,0))</f>
        <v/>
      </c>
      <c r="G132" s="173" t="str">
        <f aca="false">IF($A132="","",MAX($E132-$D132,0))</f>
        <v/>
      </c>
      <c r="H132" s="172" t="str">
        <f aca="false">IF($A132="","",IF($F132&gt;0,"Saldo Debit",IF($G132&gt;0,"Saldo Kredit","Zero")))</f>
        <v/>
      </c>
      <c r="I132" s="172" t="str">
        <f aca="false">IF($A132="","",IFERROR(VLOOKUP($A132,PLANI_LLOGARIVE!$A$2:$I$500,9,FALSE()),""))</f>
        <v/>
      </c>
      <c r="J132" s="101" t="str">
        <f aca="false">IF(A132="","",IF(OR(H132="Zero",I132="Debit/Credit"),"",IF(OR(AND(H132="Saldo Debit",I132="Debit"),AND(H132="Saldo Kredit",OR(I132="Credit",I132="Kredit"))),"","⚠️ JO NORMALE")))</f>
        <v/>
      </c>
    </row>
    <row r="133" customFormat="false" ht="12.75" hidden="false" customHeight="true" outlineLevel="0" collapsed="false">
      <c r="A133" s="174" t="str">
        <f aca="false">IF(AND(PLANI_LLOGARIVE!$A127&lt;&gt;"",PLANI_LLOGARIVE!$J127=TRUE()),PLANI_LLOGARIVE!$A127&amp;"","")</f>
        <v>601</v>
      </c>
      <c r="B133" s="174" t="str">
        <f aca="false">IF($A133="","",IFERROR(VLOOKUP($A133,PLANI_LLOGARIVE!$A$2:$I$500,2,FALSE()),""))</f>
        <v>Blerje / shpenzime të materialeve</v>
      </c>
      <c r="C133" s="174" t="str">
        <f aca="false">IF($A133="","",IFERROR(VLOOKUP($A133,PLANI_LLOGARIVE!$A$2:$I$500,4,FALSE()),""))</f>
        <v>6</v>
      </c>
      <c r="D133" s="175" t="n">
        <f aca="false">IF($A133="","",SUMIFS(DITARI!$F$6:$F$550,DITARI!$D$6:$D$550,$A133))</f>
        <v>0</v>
      </c>
      <c r="E133" s="175" t="n">
        <f aca="false">IF($A133="","",SUMIFS(DITARI!$G$6:$G$550,DITARI!$D$6:$D$550,$A133))</f>
        <v>0</v>
      </c>
      <c r="F133" s="175" t="n">
        <f aca="false">IF($A133="","",MAX($D133-$E133,0))</f>
        <v>0</v>
      </c>
      <c r="G133" s="175" t="n">
        <f aca="false">IF($A133="","",MAX($E133-$D133,0))</f>
        <v>0</v>
      </c>
      <c r="H133" s="174" t="str">
        <f aca="false">IF($A133="","",IF($F133&gt;0,"Saldo Debit",IF($G133&gt;0,"Saldo Kredit","Zero")))</f>
        <v>Zero</v>
      </c>
      <c r="I133" s="174" t="str">
        <f aca="false">IF($A133="","",IFERROR(VLOOKUP($A133,PLANI_LLOGARIVE!$A$2:$I$500,9,FALSE()),""))</f>
        <v>Debit</v>
      </c>
      <c r="J133" s="101" t="str">
        <f aca="false">IF(A133="","",IF(OR(H133="Zero",I133="Debit/Credit"),"",IF(OR(AND(H133="Saldo Debit",I133="Debit"),AND(H133="Saldo Kredit",OR(I133="Credit",I133="Kredit"))),"","⚠️ JO NORMALE")))</f>
        <v/>
      </c>
    </row>
    <row r="134" customFormat="false" ht="12.75" hidden="false" customHeight="true" outlineLevel="0" collapsed="false">
      <c r="A134" s="172" t="str">
        <f aca="false">IF(AND(PLANI_LLOGARIVE!$A128&lt;&gt;"",PLANI_LLOGARIVE!$J128=TRUE()),PLANI_LLOGARIVE!$A128&amp;"","")</f>
        <v>602</v>
      </c>
      <c r="B134" s="172" t="str">
        <f aca="false">IF($A134="","",IFERROR(VLOOKUP($A134,PLANI_LLOGARIVE!$A$2:$I$500,2,FALSE()),""))</f>
        <v>Blerje / shpenzime të materialeve të tjera</v>
      </c>
      <c r="C134" s="172" t="str">
        <f aca="false">IF($A134="","",IFERROR(VLOOKUP($A134,PLANI_LLOGARIVE!$A$2:$I$500,4,FALSE()),""))</f>
        <v>6</v>
      </c>
      <c r="D134" s="173" t="n">
        <f aca="false">IF($A134="","",SUMIFS(DITARI!$F$6:$F$550,DITARI!$D$6:$D$550,$A134))</f>
        <v>0</v>
      </c>
      <c r="E134" s="173" t="n">
        <f aca="false">IF($A134="","",SUMIFS(DITARI!$G$6:$G$550,DITARI!$D$6:$D$550,$A134))</f>
        <v>0</v>
      </c>
      <c r="F134" s="173" t="n">
        <f aca="false">IF($A134="","",MAX($D134-$E134,0))</f>
        <v>0</v>
      </c>
      <c r="G134" s="173" t="n">
        <f aca="false">IF($A134="","",MAX($E134-$D134,0))</f>
        <v>0</v>
      </c>
      <c r="H134" s="172" t="str">
        <f aca="false">IF($A134="","",IF($F134&gt;0,"Saldo Debit",IF($G134&gt;0,"Saldo Kredit","Zero")))</f>
        <v>Zero</v>
      </c>
      <c r="I134" s="172" t="str">
        <f aca="false">IF($A134="","",IFERROR(VLOOKUP($A134,PLANI_LLOGARIVE!$A$2:$I$500,9,FALSE()),""))</f>
        <v>Debit</v>
      </c>
      <c r="J134" s="101" t="str">
        <f aca="false">IF(A134="","",IF(OR(H134="Zero",I134="Debit/Credit"),"",IF(OR(AND(H134="Saldo Debit",I134="Debit"),AND(H134="Saldo Kredit",OR(I134="Credit",I134="Kredit"))),"","⚠️ JO NORMALE")))</f>
        <v/>
      </c>
    </row>
    <row r="135" customFormat="false" ht="12.75" hidden="false" customHeight="true" outlineLevel="0" collapsed="false">
      <c r="A135" s="174" t="str">
        <f aca="false">IF(AND(PLANI_LLOGARIVE!$A129&lt;&gt;"",PLANI_LLOGARIVE!$J129=TRUE()),PLANI_LLOGARIVE!$A129&amp;"","")</f>
        <v>603</v>
      </c>
      <c r="B135" s="174" t="str">
        <f aca="false">IF($A135="","",IFERROR(VLOOKUP($A135,PLANI_LLOGARIVE!$A$2:$I$500,2,FALSE()),""))</f>
        <v>Ndryshim gjendje inventari</v>
      </c>
      <c r="C135" s="174" t="str">
        <f aca="false">IF($A135="","",IFERROR(VLOOKUP($A135,PLANI_LLOGARIVE!$A$2:$I$500,4,FALSE()),""))</f>
        <v>6</v>
      </c>
      <c r="D135" s="175" t="n">
        <f aca="false">IF($A135="","",SUMIFS(DITARI!$F$6:$F$550,DITARI!$D$6:$D$550,$A135))</f>
        <v>0</v>
      </c>
      <c r="E135" s="175" t="n">
        <f aca="false">IF($A135="","",SUMIFS(DITARI!$G$6:$G$550,DITARI!$D$6:$D$550,$A135))</f>
        <v>0</v>
      </c>
      <c r="F135" s="175" t="n">
        <f aca="false">IF($A135="","",MAX($D135-$E135,0))</f>
        <v>0</v>
      </c>
      <c r="G135" s="175" t="n">
        <f aca="false">IF($A135="","",MAX($E135-$D135,0))</f>
        <v>0</v>
      </c>
      <c r="H135" s="174" t="str">
        <f aca="false">IF($A135="","",IF($F135&gt;0,"Saldo Debit",IF($G135&gt;0,"Saldo Kredit","Zero")))</f>
        <v>Zero</v>
      </c>
      <c r="I135" s="174" t="str">
        <f aca="false">IF($A135="","",IFERROR(VLOOKUP($A135,PLANI_LLOGARIVE!$A$2:$I$500,9,FALSE()),""))</f>
        <v>Debit/Credit</v>
      </c>
      <c r="J135" s="101" t="str">
        <f aca="false">IF(A135="","",IF(OR(H135="Zero",I135="Debit/Credit"),"",IF(OR(AND(H135="Saldo Debit",I135="Debit"),AND(H135="Saldo Kredit",OR(I135="Credit",I135="Kredit"))),"","⚠️ JO NORMALE")))</f>
        <v/>
      </c>
    </row>
    <row r="136" customFormat="false" ht="12.75" hidden="false" customHeight="true" outlineLevel="0" collapsed="false">
      <c r="A136" s="172" t="str">
        <f aca="false">IF(AND(PLANI_LLOGARIVE!$A130&lt;&gt;"",PLANI_LLOGARIVE!$J130=TRUE()),PLANI_LLOGARIVE!$A130&amp;"","")</f>
        <v>604</v>
      </c>
      <c r="B136" s="172" t="str">
        <f aca="false">IF($A136="","",IFERROR(VLOOKUP($A136,PLANI_LLOGARIVE!$A$2:$I$500,2,FALSE()),""))</f>
        <v>Blerje energji, avull, ujë</v>
      </c>
      <c r="C136" s="172" t="str">
        <f aca="false">IF($A136="","",IFERROR(VLOOKUP($A136,PLANI_LLOGARIVE!$A$2:$I$500,4,FALSE()),""))</f>
        <v>6</v>
      </c>
      <c r="D136" s="173" t="n">
        <f aca="false">IF($A136="","",SUMIFS(DITARI!$F$6:$F$550,DITARI!$D$6:$D$550,$A136))</f>
        <v>0</v>
      </c>
      <c r="E136" s="173" t="n">
        <f aca="false">IF($A136="","",SUMIFS(DITARI!$G$6:$G$550,DITARI!$D$6:$D$550,$A136))</f>
        <v>0</v>
      </c>
      <c r="F136" s="173" t="n">
        <f aca="false">IF($A136="","",MAX($D136-$E136,0))</f>
        <v>0</v>
      </c>
      <c r="G136" s="173" t="n">
        <f aca="false">IF($A136="","",MAX($E136-$D136,0))</f>
        <v>0</v>
      </c>
      <c r="H136" s="172" t="str">
        <f aca="false">IF($A136="","",IF($F136&gt;0,"Saldo Debit",IF($G136&gt;0,"Saldo Kredit","Zero")))</f>
        <v>Zero</v>
      </c>
      <c r="I136" s="172" t="str">
        <f aca="false">IF($A136="","",IFERROR(VLOOKUP($A136,PLANI_LLOGARIVE!$A$2:$I$500,9,FALSE()),""))</f>
        <v>Debit</v>
      </c>
      <c r="J136" s="101" t="str">
        <f aca="false">IF(A136="","",IF(OR(H136="Zero",I136="Debit/Credit"),"",IF(OR(AND(H136="Saldo Debit",I136="Debit"),AND(H136="Saldo Kredit",OR(I136="Credit",I136="Kredit"))),"","⚠️ JO NORMALE")))</f>
        <v/>
      </c>
    </row>
    <row r="137" customFormat="false" ht="12.75" hidden="false" customHeight="true" outlineLevel="0" collapsed="false">
      <c r="A137" s="174" t="str">
        <f aca="false">IF(AND(PLANI_LLOGARIVE!$A131&lt;&gt;"",PLANI_LLOGARIVE!$J131=TRUE()),PLANI_LLOGARIVE!$A131&amp;"","")</f>
        <v>605</v>
      </c>
      <c r="B137" s="174" t="str">
        <f aca="false">IF($A137="","",IFERROR(VLOOKUP($A137,PLANI_LLOGARIVE!$A$2:$I$500,2,FALSE()),""))</f>
        <v>Blerje / shpenzime mallra, shërbimesh</v>
      </c>
      <c r="C137" s="174" t="str">
        <f aca="false">IF($A137="","",IFERROR(VLOOKUP($A137,PLANI_LLOGARIVE!$A$2:$I$500,4,FALSE()),""))</f>
        <v>6</v>
      </c>
      <c r="D137" s="175" t="n">
        <f aca="false">IF($A137="","",SUMIFS(DITARI!$F$6:$F$550,DITARI!$D$6:$D$550,$A137))</f>
        <v>0</v>
      </c>
      <c r="E137" s="175" t="n">
        <f aca="false">IF($A137="","",SUMIFS(DITARI!$G$6:$G$550,DITARI!$D$6:$D$550,$A137))</f>
        <v>0</v>
      </c>
      <c r="F137" s="175" t="n">
        <f aca="false">IF($A137="","",MAX($D137-$E137,0))</f>
        <v>0</v>
      </c>
      <c r="G137" s="175" t="n">
        <f aca="false">IF($A137="","",MAX($E137-$D137,0))</f>
        <v>0</v>
      </c>
      <c r="H137" s="174" t="str">
        <f aca="false">IF($A137="","",IF($F137&gt;0,"Saldo Debit",IF($G137&gt;0,"Saldo Kredit","Zero")))</f>
        <v>Zero</v>
      </c>
      <c r="I137" s="174" t="str">
        <f aca="false">IF($A137="","",IFERROR(VLOOKUP($A137,PLANI_LLOGARIVE!$A$2:$I$500,9,FALSE()),""))</f>
        <v>Debit</v>
      </c>
      <c r="J137" s="101" t="str">
        <f aca="false">IF(A137="","",IF(OR(H137="Zero",I137="Debit/Credit"),"",IF(OR(AND(H137="Saldo Debit",I137="Debit"),AND(H137="Saldo Kredit",OR(I137="Credit",I137="Kredit"))),"","⚠️ JO NORMALE")))</f>
        <v/>
      </c>
    </row>
    <row r="138" customFormat="false" ht="12.75" hidden="false" customHeight="true" outlineLevel="0" collapsed="false">
      <c r="A138" s="172" t="str">
        <f aca="false">IF(AND(PLANI_LLOGARIVE!$A132&lt;&gt;"",PLANI_LLOGARIVE!$J132=TRUE()),PLANI_LLOGARIVE!$A132&amp;"","")</f>
        <v>606</v>
      </c>
      <c r="B138" s="172" t="str">
        <f aca="false">IF($A138="","",IFERROR(VLOOKUP($A138,PLANI_LLOGARIVE!$A$2:$I$500,2,FALSE()),""))</f>
        <v>Blerje ambalazhi</v>
      </c>
      <c r="C138" s="172" t="str">
        <f aca="false">IF($A138="","",IFERROR(VLOOKUP($A138,PLANI_LLOGARIVE!$A$2:$I$500,4,FALSE()),""))</f>
        <v>6</v>
      </c>
      <c r="D138" s="173" t="n">
        <f aca="false">IF($A138="","",SUMIFS(DITARI!$F$6:$F$550,DITARI!$D$6:$D$550,$A138))</f>
        <v>0</v>
      </c>
      <c r="E138" s="173" t="n">
        <f aca="false">IF($A138="","",SUMIFS(DITARI!$G$6:$G$550,DITARI!$D$6:$D$550,$A138))</f>
        <v>0</v>
      </c>
      <c r="F138" s="173" t="n">
        <f aca="false">IF($A138="","",MAX($D138-$E138,0))</f>
        <v>0</v>
      </c>
      <c r="G138" s="173" t="n">
        <f aca="false">IF($A138="","",MAX($E138-$D138,0))</f>
        <v>0</v>
      </c>
      <c r="H138" s="172" t="str">
        <f aca="false">IF($A138="","",IF($F138&gt;0,"Saldo Debit",IF($G138&gt;0,"Saldo Kredit","Zero")))</f>
        <v>Zero</v>
      </c>
      <c r="I138" s="172" t="str">
        <f aca="false">IF($A138="","",IFERROR(VLOOKUP($A138,PLANI_LLOGARIVE!$A$2:$I$500,9,FALSE()),""))</f>
        <v>Debit</v>
      </c>
      <c r="J138" s="101" t="str">
        <f aca="false">IF(A138="","",IF(OR(H138="Zero",I138="Debit/Credit"),"",IF(OR(AND(H138="Saldo Debit",I138="Debit"),AND(H138="Saldo Kredit",OR(I138="Credit",I138="Kredit"))),"","⚠️ JO NORMALE")))</f>
        <v/>
      </c>
    </row>
    <row r="139" customFormat="false" ht="12.75" hidden="false" customHeight="true" outlineLevel="0" collapsed="false">
      <c r="A139" s="174" t="str">
        <f aca="false">IF(AND(PLANI_LLOGARIVE!$A133&lt;&gt;"",PLANI_LLOGARIVE!$J133=TRUE()),PLANI_LLOGARIVE!$A133&amp;"","")</f>
        <v>607</v>
      </c>
      <c r="B139" s="174" t="str">
        <f aca="false">IF($A139="","",IFERROR(VLOOKUP($A139,PLANI_LLOGARIVE!$A$2:$I$500,2,FALSE()),""))</f>
        <v>Blerje tek të tretë / kosto shitje</v>
      </c>
      <c r="C139" s="174" t="str">
        <f aca="false">IF($A139="","",IFERROR(VLOOKUP($A139,PLANI_LLOGARIVE!$A$2:$I$500,4,FALSE()),""))</f>
        <v>6</v>
      </c>
      <c r="D139" s="175" t="n">
        <f aca="false">IF($A139="","",SUMIFS(DITARI!$F$6:$F$550,DITARI!$D$6:$D$550,$A139))</f>
        <v>0</v>
      </c>
      <c r="E139" s="175" t="n">
        <f aca="false">IF($A139="","",SUMIFS(DITARI!$G$6:$G$550,DITARI!$D$6:$D$550,$A139))</f>
        <v>0</v>
      </c>
      <c r="F139" s="175" t="n">
        <f aca="false">IF($A139="","",MAX($D139-$E139,0))</f>
        <v>0</v>
      </c>
      <c r="G139" s="175" t="n">
        <f aca="false">IF($A139="","",MAX($E139-$D139,0))</f>
        <v>0</v>
      </c>
      <c r="H139" s="174" t="str">
        <f aca="false">IF($A139="","",IF($F139&gt;0,"Saldo Debit",IF($G139&gt;0,"Saldo Kredit","Zero")))</f>
        <v>Zero</v>
      </c>
      <c r="I139" s="174" t="str">
        <f aca="false">IF($A139="","",IFERROR(VLOOKUP($A139,PLANI_LLOGARIVE!$A$2:$I$500,9,FALSE()),""))</f>
        <v>Debit</v>
      </c>
      <c r="J139" s="101" t="str">
        <f aca="false">IF(A139="","",IF(OR(H139="Zero",I139="Debit/Credit"),"",IF(OR(AND(H139="Saldo Debit",I139="Debit"),AND(H139="Saldo Kredit",OR(I139="Credit",I139="Kredit"))),"","⚠️ JO NORMALE")))</f>
        <v/>
      </c>
    </row>
    <row r="140" customFormat="false" ht="12.75" hidden="false" customHeight="true" outlineLevel="0" collapsed="false">
      <c r="A140" s="172" t="str">
        <f aca="false">IF(AND(PLANI_LLOGARIVE!$A134&lt;&gt;"",PLANI_LLOGARIVE!$J134=TRUE()),PLANI_LLOGARIVE!$A134&amp;"","")</f>
        <v>608</v>
      </c>
      <c r="B140" s="172" t="str">
        <f aca="false">IF($A140="","",IFERROR(VLOOKUP($A140,PLANI_LLOGARIVE!$A$2:$I$500,2,FALSE()),""))</f>
        <v>Blerje / shpenzime të tjera</v>
      </c>
      <c r="C140" s="172" t="str">
        <f aca="false">IF($A140="","",IFERROR(VLOOKUP($A140,PLANI_LLOGARIVE!$A$2:$I$500,4,FALSE()),""))</f>
        <v>6</v>
      </c>
      <c r="D140" s="173" t="n">
        <f aca="false">IF($A140="","",SUMIFS(DITARI!$F$6:$F$550,DITARI!$D$6:$D$550,$A140))</f>
        <v>0</v>
      </c>
      <c r="E140" s="173" t="n">
        <f aca="false">IF($A140="","",SUMIFS(DITARI!$G$6:$G$550,DITARI!$D$6:$D$550,$A140))</f>
        <v>0</v>
      </c>
      <c r="F140" s="173" t="n">
        <f aca="false">IF($A140="","",MAX($D140-$E140,0))</f>
        <v>0</v>
      </c>
      <c r="G140" s="173" t="n">
        <f aca="false">IF($A140="","",MAX($E140-$D140,0))</f>
        <v>0</v>
      </c>
      <c r="H140" s="172" t="str">
        <f aca="false">IF($A140="","",IF($F140&gt;0,"Saldo Debit",IF($G140&gt;0,"Saldo Kredit","Zero")))</f>
        <v>Zero</v>
      </c>
      <c r="I140" s="172" t="str">
        <f aca="false">IF($A140="","",IFERROR(VLOOKUP($A140,PLANI_LLOGARIVE!$A$2:$I$500,9,FALSE()),""))</f>
        <v>Debit</v>
      </c>
      <c r="J140" s="101" t="str">
        <f aca="false">IF(A140="","",IF(OR(H140="Zero",I140="Debit/Credit"),"",IF(OR(AND(H140="Saldo Debit",I140="Debit"),AND(H140="Saldo Kredit",OR(I140="Credit",I140="Kredit"))),"","⚠️ JO NORMALE")))</f>
        <v/>
      </c>
    </row>
    <row r="141" customFormat="false" ht="12.75" hidden="false" customHeight="true" outlineLevel="0" collapsed="false">
      <c r="A141" s="174" t="str">
        <f aca="false">IF(AND(PLANI_LLOGARIVE!$A135&lt;&gt;"",PLANI_LLOGARIVE!$J135=TRUE()),PLANI_LLOGARIVE!$A135&amp;"","")</f>
        <v>609</v>
      </c>
      <c r="B141" s="174" t="str">
        <f aca="false">IF($A141="","",IFERROR(VLOOKUP($A141,PLANI_LLOGARIVE!$A$2:$I$500,2,FALSE()),""))</f>
        <v>Zbritje financiare nga furnitori</v>
      </c>
      <c r="C141" s="174" t="str">
        <f aca="false">IF($A141="","",IFERROR(VLOOKUP($A141,PLANI_LLOGARIVE!$A$2:$I$500,4,FALSE()),""))</f>
        <v>6</v>
      </c>
      <c r="D141" s="175" t="n">
        <f aca="false">IF($A141="","",SUMIFS(DITARI!$F$6:$F$550,DITARI!$D$6:$D$550,$A141))</f>
        <v>0</v>
      </c>
      <c r="E141" s="175" t="n">
        <f aca="false">IF($A141="","",SUMIFS(DITARI!$G$6:$G$550,DITARI!$D$6:$D$550,$A141))</f>
        <v>0</v>
      </c>
      <c r="F141" s="175" t="n">
        <f aca="false">IF($A141="","",MAX($D141-$E141,0))</f>
        <v>0</v>
      </c>
      <c r="G141" s="175" t="n">
        <f aca="false">IF($A141="","",MAX($E141-$D141,0))</f>
        <v>0</v>
      </c>
      <c r="H141" s="174" t="str">
        <f aca="false">IF($A141="","",IF($F141&gt;0,"Saldo Debit",IF($G141&gt;0,"Saldo Kredit","Zero")))</f>
        <v>Zero</v>
      </c>
      <c r="I141" s="174" t="str">
        <f aca="false">IF($A141="","",IFERROR(VLOOKUP($A141,PLANI_LLOGARIVE!$A$2:$I$500,9,FALSE()),""))</f>
        <v>Credit</v>
      </c>
      <c r="J141" s="101" t="str">
        <f aca="false">IF(A141="","",IF(OR(H141="Zero",I141="Debit/Credit"),"",IF(OR(AND(H141="Saldo Debit",I141="Debit"),AND(H141="Saldo Kredit",OR(I141="Credit",I141="Kredit"))),"","⚠️ JO NORMALE")))</f>
        <v/>
      </c>
    </row>
    <row r="142" customFormat="false" ht="12.75" hidden="false" customHeight="true" outlineLevel="0" collapsed="false">
      <c r="A142" s="172" t="str">
        <f aca="false">IF(AND(PLANI_LLOGARIVE!$A136&lt;&gt;"",PLANI_LLOGARIVE!$J136=TRUE()),PLANI_LLOGARIVE!$A136&amp;"","")</f>
        <v/>
      </c>
      <c r="B142" s="172" t="str">
        <f aca="false">IF($A142="","",IFERROR(VLOOKUP($A142,PLANI_LLOGARIVE!$A$2:$I$500,2,FALSE()),""))</f>
        <v/>
      </c>
      <c r="C142" s="172" t="str">
        <f aca="false">IF($A142="","",IFERROR(VLOOKUP($A142,PLANI_LLOGARIVE!$A$2:$I$500,4,FALSE()),""))</f>
        <v/>
      </c>
      <c r="D142" s="173" t="str">
        <f aca="false">IF($A142="","",SUMIFS(DITARI!$F$6:$F$550,DITARI!$D$6:$D$550,$A142))</f>
        <v/>
      </c>
      <c r="E142" s="173" t="str">
        <f aca="false">IF($A142="","",SUMIFS(DITARI!$G$6:$G$550,DITARI!$D$6:$D$550,$A142))</f>
        <v/>
      </c>
      <c r="F142" s="173" t="str">
        <f aca="false">IF($A142="","",MAX($D142-$E142,0))</f>
        <v/>
      </c>
      <c r="G142" s="173" t="str">
        <f aca="false">IF($A142="","",MAX($E142-$D142,0))</f>
        <v/>
      </c>
      <c r="H142" s="172" t="str">
        <f aca="false">IF($A142="","",IF($F142&gt;0,"Saldo Debit",IF($G142&gt;0,"Saldo Kredit","Zero")))</f>
        <v/>
      </c>
      <c r="I142" s="172" t="str">
        <f aca="false">IF($A142="","",IFERROR(VLOOKUP($A142,PLANI_LLOGARIVE!$A$2:$I$500,9,FALSE()),""))</f>
        <v/>
      </c>
      <c r="J142" s="101" t="str">
        <f aca="false">IF(A142="","",IF(OR(H142="Zero",I142="Debit/Credit"),"",IF(OR(AND(H142="Saldo Debit",I142="Debit"),AND(H142="Saldo Kredit",OR(I142="Credit",I142="Kredit"))),"","⚠️ JO NORMALE")))</f>
        <v/>
      </c>
    </row>
    <row r="143" customFormat="false" ht="12.75" hidden="false" customHeight="true" outlineLevel="0" collapsed="false">
      <c r="A143" s="174" t="str">
        <f aca="false">IF(AND(PLANI_LLOGARIVE!$A137&lt;&gt;"",PLANI_LLOGARIVE!$J137=TRUE()),PLANI_LLOGARIVE!$A137&amp;"","")</f>
        <v>611</v>
      </c>
      <c r="B143" s="174" t="str">
        <f aca="false">IF($A143="","",IFERROR(VLOOKUP($A143,PLANI_LLOGARIVE!$A$2:$I$500,2,FALSE()),""))</f>
        <v>Trajtime të përgjithshme</v>
      </c>
      <c r="C143" s="174" t="str">
        <f aca="false">IF($A143="","",IFERROR(VLOOKUP($A143,PLANI_LLOGARIVE!$A$2:$I$500,4,FALSE()),""))</f>
        <v>6</v>
      </c>
      <c r="D143" s="175" t="n">
        <f aca="false">IF($A143="","",SUMIFS(DITARI!$F$6:$F$550,DITARI!$D$6:$D$550,$A143))</f>
        <v>0</v>
      </c>
      <c r="E143" s="175" t="n">
        <f aca="false">IF($A143="","",SUMIFS(DITARI!$G$6:$G$550,DITARI!$D$6:$D$550,$A143))</f>
        <v>0</v>
      </c>
      <c r="F143" s="175" t="n">
        <f aca="false">IF($A143="","",MAX($D143-$E143,0))</f>
        <v>0</v>
      </c>
      <c r="G143" s="175" t="n">
        <f aca="false">IF($A143="","",MAX($E143-$D143,0))</f>
        <v>0</v>
      </c>
      <c r="H143" s="174" t="str">
        <f aca="false">IF($A143="","",IF($F143&gt;0,"Saldo Debit",IF($G143&gt;0,"Saldo Kredit","Zero")))</f>
        <v>Zero</v>
      </c>
      <c r="I143" s="174" t="str">
        <f aca="false">IF($A143="","",IFERROR(VLOOKUP($A143,PLANI_LLOGARIVE!$A$2:$I$500,9,FALSE()),""))</f>
        <v>Debit</v>
      </c>
      <c r="J143" s="101" t="str">
        <f aca="false">IF(A143="","",IF(OR(H143="Zero",I143="Debit/Credit"),"",IF(OR(AND(H143="Saldo Debit",I143="Debit"),AND(H143="Saldo Kredit",OR(I143="Credit",I143="Kredit"))),"","⚠️ JO NORMALE")))</f>
        <v/>
      </c>
    </row>
    <row r="144" customFormat="false" ht="12.75" hidden="false" customHeight="true" outlineLevel="0" collapsed="false">
      <c r="A144" s="172" t="str">
        <f aca="false">IF(AND(PLANI_LLOGARIVE!$A138&lt;&gt;"",PLANI_LLOGARIVE!$J138=TRUE()),PLANI_LLOGARIVE!$A138&amp;"","")</f>
        <v>613</v>
      </c>
      <c r="B144" s="172" t="str">
        <f aca="false">IF($A144="","",IFERROR(VLOOKUP($A144,PLANI_LLOGARIVE!$A$2:$I$500,2,FALSE()),""))</f>
        <v>Qira</v>
      </c>
      <c r="C144" s="172" t="str">
        <f aca="false">IF($A144="","",IFERROR(VLOOKUP($A144,PLANI_LLOGARIVE!$A$2:$I$500,4,FALSE()),""))</f>
        <v>6</v>
      </c>
      <c r="D144" s="173" t="n">
        <f aca="false">IF($A144="","",SUMIFS(DITARI!$F$6:$F$550,DITARI!$D$6:$D$550,$A144))</f>
        <v>0</v>
      </c>
      <c r="E144" s="173" t="n">
        <f aca="false">IF($A144="","",SUMIFS(DITARI!$G$6:$G$550,DITARI!$D$6:$D$550,$A144))</f>
        <v>0</v>
      </c>
      <c r="F144" s="173" t="n">
        <f aca="false">IF($A144="","",MAX($D144-$E144,0))</f>
        <v>0</v>
      </c>
      <c r="G144" s="173" t="n">
        <f aca="false">IF($A144="","",MAX($E144-$D144,0))</f>
        <v>0</v>
      </c>
      <c r="H144" s="172" t="str">
        <f aca="false">IF($A144="","",IF($F144&gt;0,"Saldo Debit",IF($G144&gt;0,"Saldo Kredit","Zero")))</f>
        <v>Zero</v>
      </c>
      <c r="I144" s="172" t="str">
        <f aca="false">IF($A144="","",IFERROR(VLOOKUP($A144,PLANI_LLOGARIVE!$A$2:$I$500,9,FALSE()),""))</f>
        <v>Debit</v>
      </c>
      <c r="J144" s="101" t="str">
        <f aca="false">IF(A144="","",IF(OR(H144="Zero",I144="Debit/Credit"),"",IF(OR(AND(H144="Saldo Debit",I144="Debit"),AND(H144="Saldo Kredit",OR(I144="Credit",I144="Kredit"))),"","⚠️ JO NORMALE")))</f>
        <v/>
      </c>
    </row>
    <row r="145" customFormat="false" ht="12.75" hidden="false" customHeight="true" outlineLevel="0" collapsed="false">
      <c r="A145" s="174" t="str">
        <f aca="false">IF(AND(PLANI_LLOGARIVE!$A139&lt;&gt;"",PLANI_LLOGARIVE!$J139=TRUE()),PLANI_LLOGARIVE!$A139&amp;"","")</f>
        <v>615</v>
      </c>
      <c r="B145" s="174" t="str">
        <f aca="false">IF($A145="","",IFERROR(VLOOKUP($A145,PLANI_LLOGARIVE!$A$2:$I$500,2,FALSE()),""))</f>
        <v>Mirëmbajtje dhe riparime</v>
      </c>
      <c r="C145" s="174" t="str">
        <f aca="false">IF($A145="","",IFERROR(VLOOKUP($A145,PLANI_LLOGARIVE!$A$2:$I$500,4,FALSE()),""))</f>
        <v>6</v>
      </c>
      <c r="D145" s="175" t="n">
        <f aca="false">IF($A145="","",SUMIFS(DITARI!$F$6:$F$550,DITARI!$D$6:$D$550,$A145))</f>
        <v>0</v>
      </c>
      <c r="E145" s="175" t="n">
        <f aca="false">IF($A145="","",SUMIFS(DITARI!$G$6:$G$550,DITARI!$D$6:$D$550,$A145))</f>
        <v>0</v>
      </c>
      <c r="F145" s="175" t="n">
        <f aca="false">IF($A145="","",MAX($D145-$E145,0))</f>
        <v>0</v>
      </c>
      <c r="G145" s="175" t="n">
        <f aca="false">IF($A145="","",MAX($E145-$D145,0))</f>
        <v>0</v>
      </c>
      <c r="H145" s="174" t="str">
        <f aca="false">IF($A145="","",IF($F145&gt;0,"Saldo Debit",IF($G145&gt;0,"Saldo Kredit","Zero")))</f>
        <v>Zero</v>
      </c>
      <c r="I145" s="174" t="str">
        <f aca="false">IF($A145="","",IFERROR(VLOOKUP($A145,PLANI_LLOGARIVE!$A$2:$I$500,9,FALSE()),""))</f>
        <v>Debit</v>
      </c>
      <c r="J145" s="101" t="str">
        <f aca="false">IF(A145="","",IF(OR(H145="Zero",I145="Debit/Credit"),"",IF(OR(AND(H145="Saldo Debit",I145="Debit"),AND(H145="Saldo Kredit",OR(I145="Credit",I145="Kredit"))),"","⚠️ JO NORMALE")))</f>
        <v/>
      </c>
    </row>
    <row r="146" customFormat="false" ht="12.75" hidden="false" customHeight="true" outlineLevel="0" collapsed="false">
      <c r="A146" s="172" t="str">
        <f aca="false">IF(AND(PLANI_LLOGARIVE!$A140&lt;&gt;"",PLANI_LLOGARIVE!$J140=TRUE()),PLANI_LLOGARIVE!$A140&amp;"","")</f>
        <v>616</v>
      </c>
      <c r="B146" s="172" t="str">
        <f aca="false">IF($A146="","",IFERROR(VLOOKUP($A146,PLANI_LLOGARIVE!$A$2:$I$500,2,FALSE()),""))</f>
        <v>Sigurime</v>
      </c>
      <c r="C146" s="172" t="str">
        <f aca="false">IF($A146="","",IFERROR(VLOOKUP($A146,PLANI_LLOGARIVE!$A$2:$I$500,4,FALSE()),""))</f>
        <v>6</v>
      </c>
      <c r="D146" s="173" t="n">
        <f aca="false">IF($A146="","",SUMIFS(DITARI!$F$6:$F$550,DITARI!$D$6:$D$550,$A146))</f>
        <v>0</v>
      </c>
      <c r="E146" s="173" t="n">
        <f aca="false">IF($A146="","",SUMIFS(DITARI!$G$6:$G$550,DITARI!$D$6:$D$550,$A146))</f>
        <v>0</v>
      </c>
      <c r="F146" s="173" t="n">
        <f aca="false">IF($A146="","",MAX($D146-$E146,0))</f>
        <v>0</v>
      </c>
      <c r="G146" s="173" t="n">
        <f aca="false">IF($A146="","",MAX($E146-$D146,0))</f>
        <v>0</v>
      </c>
      <c r="H146" s="172" t="str">
        <f aca="false">IF($A146="","",IF($F146&gt;0,"Saldo Debit",IF($G146&gt;0,"Saldo Kredit","Zero")))</f>
        <v>Zero</v>
      </c>
      <c r="I146" s="172" t="str">
        <f aca="false">IF($A146="","",IFERROR(VLOOKUP($A146,PLANI_LLOGARIVE!$A$2:$I$500,9,FALSE()),""))</f>
        <v>Debit</v>
      </c>
      <c r="J146" s="101" t="str">
        <f aca="false">IF(A146="","",IF(OR(H146="Zero",I146="Debit/Credit"),"",IF(OR(AND(H146="Saldo Debit",I146="Debit"),AND(H146="Saldo Kredit",OR(I146="Credit",I146="Kredit"))),"","⚠️ JO NORMALE")))</f>
        <v/>
      </c>
    </row>
    <row r="147" customFormat="false" ht="12.75" hidden="false" customHeight="true" outlineLevel="0" collapsed="false">
      <c r="A147" s="174" t="str">
        <f aca="false">IF(AND(PLANI_LLOGARIVE!$A141&lt;&gt;"",PLANI_LLOGARIVE!$J141=TRUE()),PLANI_LLOGARIVE!$A141&amp;"","")</f>
        <v>617</v>
      </c>
      <c r="B147" s="174" t="str">
        <f aca="false">IF($A147="","",IFERROR(VLOOKUP($A147,PLANI_LLOGARIVE!$A$2:$I$500,2,FALSE()),""))</f>
        <v>Kërkime dhe studime</v>
      </c>
      <c r="C147" s="174" t="str">
        <f aca="false">IF($A147="","",IFERROR(VLOOKUP($A147,PLANI_LLOGARIVE!$A$2:$I$500,4,FALSE()),""))</f>
        <v>6</v>
      </c>
      <c r="D147" s="175" t="n">
        <f aca="false">IF($A147="","",SUMIFS(DITARI!$F$6:$F$550,DITARI!$D$6:$D$550,$A147))</f>
        <v>0</v>
      </c>
      <c r="E147" s="175" t="n">
        <f aca="false">IF($A147="","",SUMIFS(DITARI!$G$6:$G$550,DITARI!$D$6:$D$550,$A147))</f>
        <v>0</v>
      </c>
      <c r="F147" s="175" t="n">
        <f aca="false">IF($A147="","",MAX($D147-$E147,0))</f>
        <v>0</v>
      </c>
      <c r="G147" s="175" t="n">
        <f aca="false">IF($A147="","",MAX($E147-$D147,0))</f>
        <v>0</v>
      </c>
      <c r="H147" s="174" t="str">
        <f aca="false">IF($A147="","",IF($F147&gt;0,"Saldo Debit",IF($G147&gt;0,"Saldo Kredit","Zero")))</f>
        <v>Zero</v>
      </c>
      <c r="I147" s="174" t="str">
        <f aca="false">IF($A147="","",IFERROR(VLOOKUP($A147,PLANI_LLOGARIVE!$A$2:$I$500,9,FALSE()),""))</f>
        <v>Debit</v>
      </c>
      <c r="J147" s="101" t="str">
        <f aca="false">IF(A147="","",IF(OR(H147="Zero",I147="Debit/Credit"),"",IF(OR(AND(H147="Saldo Debit",I147="Debit"),AND(H147="Saldo Kredit",OR(I147="Credit",I147="Kredit"))),"","⚠️ JO NORMALE")))</f>
        <v/>
      </c>
    </row>
    <row r="148" customFormat="false" ht="12.75" hidden="false" customHeight="true" outlineLevel="0" collapsed="false">
      <c r="A148" s="172" t="str">
        <f aca="false">IF(AND(PLANI_LLOGARIVE!$A142&lt;&gt;"",PLANI_LLOGARIVE!$J142=TRUE()),PLANI_LLOGARIVE!$A142&amp;"","")</f>
        <v>618</v>
      </c>
      <c r="B148" s="172" t="str">
        <f aca="false">IF($A148="","",IFERROR(VLOOKUP($A148,PLANI_LLOGARIVE!$A$2:$I$500,2,FALSE()),""))</f>
        <v>Të tjera shërbime nga të tretët</v>
      </c>
      <c r="C148" s="172" t="str">
        <f aca="false">IF($A148="","",IFERROR(VLOOKUP($A148,PLANI_LLOGARIVE!$A$2:$I$500,4,FALSE()),""))</f>
        <v>6</v>
      </c>
      <c r="D148" s="173" t="n">
        <f aca="false">IF($A148="","",SUMIFS(DITARI!$F$6:$F$550,DITARI!$D$6:$D$550,$A148))</f>
        <v>0</v>
      </c>
      <c r="E148" s="173" t="n">
        <f aca="false">IF($A148="","",SUMIFS(DITARI!$G$6:$G$550,DITARI!$D$6:$D$550,$A148))</f>
        <v>0</v>
      </c>
      <c r="F148" s="173" t="n">
        <f aca="false">IF($A148="","",MAX($D148-$E148,0))</f>
        <v>0</v>
      </c>
      <c r="G148" s="173" t="n">
        <f aca="false">IF($A148="","",MAX($E148-$D148,0))</f>
        <v>0</v>
      </c>
      <c r="H148" s="172" t="str">
        <f aca="false">IF($A148="","",IF($F148&gt;0,"Saldo Debit",IF($G148&gt;0,"Saldo Kredit","Zero")))</f>
        <v>Zero</v>
      </c>
      <c r="I148" s="172" t="str">
        <f aca="false">IF($A148="","",IFERROR(VLOOKUP($A148,PLANI_LLOGARIVE!$A$2:$I$500,9,FALSE()),""))</f>
        <v>Debit</v>
      </c>
      <c r="J148" s="101" t="str">
        <f aca="false">IF(A148="","",IF(OR(H148="Zero",I148="Debit/Credit"),"",IF(OR(AND(H148="Saldo Debit",I148="Debit"),AND(H148="Saldo Kredit",OR(I148="Credit",I148="Kredit"))),"","⚠️ JO NORMALE")))</f>
        <v/>
      </c>
    </row>
    <row r="149" customFormat="false" ht="12.75" hidden="false" customHeight="true" outlineLevel="0" collapsed="false">
      <c r="A149" s="174" t="str">
        <f aca="false">IF(AND(PLANI_LLOGARIVE!$A143&lt;&gt;"",PLANI_LLOGARIVE!$J143=TRUE()),PLANI_LLOGARIVE!$A143&amp;"","")</f>
        <v/>
      </c>
      <c r="B149" s="174" t="str">
        <f aca="false">IF($A149="","",IFERROR(VLOOKUP($A149,PLANI_LLOGARIVE!$A$2:$I$500,2,FALSE()),""))</f>
        <v/>
      </c>
      <c r="C149" s="174" t="str">
        <f aca="false">IF($A149="","",IFERROR(VLOOKUP($A149,PLANI_LLOGARIVE!$A$2:$I$500,4,FALSE()),""))</f>
        <v/>
      </c>
      <c r="D149" s="175" t="str">
        <f aca="false">IF($A149="","",SUMIFS(DITARI!$F$6:$F$550,DITARI!$D$6:$D$550,$A149))</f>
        <v/>
      </c>
      <c r="E149" s="175" t="str">
        <f aca="false">IF($A149="","",SUMIFS(DITARI!$G$6:$G$550,DITARI!$D$6:$D$550,$A149))</f>
        <v/>
      </c>
      <c r="F149" s="175" t="str">
        <f aca="false">IF($A149="","",MAX($D149-$E149,0))</f>
        <v/>
      </c>
      <c r="G149" s="175" t="str">
        <f aca="false">IF($A149="","",MAX($E149-$D149,0))</f>
        <v/>
      </c>
      <c r="H149" s="174" t="str">
        <f aca="false">IF($A149="","",IF($F149&gt;0,"Saldo Debit",IF($G149&gt;0,"Saldo Kredit","Zero")))</f>
        <v/>
      </c>
      <c r="I149" s="174" t="str">
        <f aca="false">IF($A149="","",IFERROR(VLOOKUP($A149,PLANI_LLOGARIVE!$A$2:$I$500,9,FALSE()),""))</f>
        <v/>
      </c>
      <c r="J149" s="101" t="str">
        <f aca="false">IF(A149="","",IF(OR(H149="Zero",I149="Debit/Credit"),"",IF(OR(AND(H149="Saldo Debit",I149="Debit"),AND(H149="Saldo Kredit",OR(I149="Credit",I149="Kredit"))),"","⚠️ JO NORMALE")))</f>
        <v/>
      </c>
    </row>
    <row r="150" customFormat="false" ht="12.75" hidden="false" customHeight="true" outlineLevel="0" collapsed="false">
      <c r="A150" s="172" t="str">
        <f aca="false">IF(AND(PLANI_LLOGARIVE!$A144&lt;&gt;"",PLANI_LLOGARIVE!$J144=TRUE()),PLANI_LLOGARIVE!$A144&amp;"","")</f>
        <v>621</v>
      </c>
      <c r="B150" s="172" t="str">
        <f aca="false">IF($A150="","",IFERROR(VLOOKUP($A150,PLANI_LLOGARIVE!$A$2:$I$500,2,FALSE()),""))</f>
        <v>Personel jashtë ndërmarrjes</v>
      </c>
      <c r="C150" s="172" t="str">
        <f aca="false">IF($A150="","",IFERROR(VLOOKUP($A150,PLANI_LLOGARIVE!$A$2:$I$500,4,FALSE()),""))</f>
        <v>6</v>
      </c>
      <c r="D150" s="173" t="n">
        <f aca="false">IF($A150="","",SUMIFS(DITARI!$F$6:$F$550,DITARI!$D$6:$D$550,$A150))</f>
        <v>0</v>
      </c>
      <c r="E150" s="173" t="n">
        <f aca="false">IF($A150="","",SUMIFS(DITARI!$G$6:$G$550,DITARI!$D$6:$D$550,$A150))</f>
        <v>0</v>
      </c>
      <c r="F150" s="173" t="n">
        <f aca="false">IF($A150="","",MAX($D150-$E150,0))</f>
        <v>0</v>
      </c>
      <c r="G150" s="173" t="n">
        <f aca="false">IF($A150="","",MAX($E150-$D150,0))</f>
        <v>0</v>
      </c>
      <c r="H150" s="172" t="str">
        <f aca="false">IF($A150="","",IF($F150&gt;0,"Saldo Debit",IF($G150&gt;0,"Saldo Kredit","Zero")))</f>
        <v>Zero</v>
      </c>
      <c r="I150" s="172" t="str">
        <f aca="false">IF($A150="","",IFERROR(VLOOKUP($A150,PLANI_LLOGARIVE!$A$2:$I$500,9,FALSE()),""))</f>
        <v>Debit</v>
      </c>
      <c r="J150" s="101" t="str">
        <f aca="false">IF(A150="","",IF(OR(H150="Zero",I150="Debit/Credit"),"",IF(OR(AND(H150="Saldo Debit",I150="Debit"),AND(H150="Saldo Kredit",OR(I150="Credit",I150="Kredit"))),"","⚠️ JO NORMALE")))</f>
        <v/>
      </c>
    </row>
    <row r="151" customFormat="false" ht="12.75" hidden="false" customHeight="true" outlineLevel="0" collapsed="false">
      <c r="A151" s="174" t="str">
        <f aca="false">IF(AND(PLANI_LLOGARIVE!$A145&lt;&gt;"",PLANI_LLOGARIVE!$J145=TRUE()),PLANI_LLOGARIVE!$A145&amp;"","")</f>
        <v>622</v>
      </c>
      <c r="B151" s="174" t="str">
        <f aca="false">IF($A151="","",IFERROR(VLOOKUP($A151,PLANI_LLOGARIVE!$A$2:$I$500,2,FALSE()),""))</f>
        <v>Komisione ndërmjetësimi dhe honorare</v>
      </c>
      <c r="C151" s="174" t="str">
        <f aca="false">IF($A151="","",IFERROR(VLOOKUP($A151,PLANI_LLOGARIVE!$A$2:$I$500,4,FALSE()),""))</f>
        <v>6</v>
      </c>
      <c r="D151" s="175" t="n">
        <f aca="false">IF($A151="","",SUMIFS(DITARI!$F$6:$F$550,DITARI!$D$6:$D$550,$A151))</f>
        <v>0</v>
      </c>
      <c r="E151" s="175" t="n">
        <f aca="false">IF($A151="","",SUMIFS(DITARI!$G$6:$G$550,DITARI!$D$6:$D$550,$A151))</f>
        <v>0</v>
      </c>
      <c r="F151" s="175" t="n">
        <f aca="false">IF($A151="","",MAX($D151-$E151,0))</f>
        <v>0</v>
      </c>
      <c r="G151" s="175" t="n">
        <f aca="false">IF($A151="","",MAX($E151-$D151,0))</f>
        <v>0</v>
      </c>
      <c r="H151" s="174" t="str">
        <f aca="false">IF($A151="","",IF($F151&gt;0,"Saldo Debit",IF($G151&gt;0,"Saldo Kredit","Zero")))</f>
        <v>Zero</v>
      </c>
      <c r="I151" s="174" t="str">
        <f aca="false">IF($A151="","",IFERROR(VLOOKUP($A151,PLANI_LLOGARIVE!$A$2:$I$500,9,FALSE()),""))</f>
        <v>Debit</v>
      </c>
      <c r="J151" s="101" t="str">
        <f aca="false">IF(A151="","",IF(OR(H151="Zero",I151="Debit/Credit"),"",IF(OR(AND(H151="Saldo Debit",I151="Debit"),AND(H151="Saldo Kredit",OR(I151="Credit",I151="Kredit"))),"","⚠️ JO NORMALE")))</f>
        <v/>
      </c>
    </row>
    <row r="152" customFormat="false" ht="12.75" hidden="false" customHeight="true" outlineLevel="0" collapsed="false">
      <c r="A152" s="172" t="str">
        <f aca="false">IF(AND(PLANI_LLOGARIVE!$A146&lt;&gt;"",PLANI_LLOGARIVE!$J146=TRUE()),PLANI_LLOGARIVE!$A146&amp;"","")</f>
        <v>623</v>
      </c>
      <c r="B152" s="172" t="str">
        <f aca="false">IF($A152="","",IFERROR(VLOOKUP($A152,PLANI_LLOGARIVE!$A$2:$I$500,2,FALSE()),""))</f>
        <v>Shpenzime për koncesione, patenta, licenca</v>
      </c>
      <c r="C152" s="172" t="str">
        <f aca="false">IF($A152="","",IFERROR(VLOOKUP($A152,PLANI_LLOGARIVE!$A$2:$I$500,4,FALSE()),""))</f>
        <v>6</v>
      </c>
      <c r="D152" s="173" t="n">
        <f aca="false">IF($A152="","",SUMIFS(DITARI!$F$6:$F$550,DITARI!$D$6:$D$550,$A152))</f>
        <v>0</v>
      </c>
      <c r="E152" s="173" t="n">
        <f aca="false">IF($A152="","",SUMIFS(DITARI!$G$6:$G$550,DITARI!$D$6:$D$550,$A152))</f>
        <v>0</v>
      </c>
      <c r="F152" s="173" t="n">
        <f aca="false">IF($A152="","",MAX($D152-$E152,0))</f>
        <v>0</v>
      </c>
      <c r="G152" s="173" t="n">
        <f aca="false">IF($A152="","",MAX($E152-$D152,0))</f>
        <v>0</v>
      </c>
      <c r="H152" s="172" t="str">
        <f aca="false">IF($A152="","",IF($F152&gt;0,"Saldo Debit",IF($G152&gt;0,"Saldo Kredit","Zero")))</f>
        <v>Zero</v>
      </c>
      <c r="I152" s="172" t="str">
        <f aca="false">IF($A152="","",IFERROR(VLOOKUP($A152,PLANI_LLOGARIVE!$A$2:$I$500,9,FALSE()),""))</f>
        <v>Debit</v>
      </c>
      <c r="J152" s="101" t="str">
        <f aca="false">IF(A152="","",IF(OR(H152="Zero",I152="Debit/Credit"),"",IF(OR(AND(H152="Saldo Debit",I152="Debit"),AND(H152="Saldo Kredit",OR(I152="Credit",I152="Kredit"))),"","⚠️ JO NORMALE")))</f>
        <v/>
      </c>
    </row>
    <row r="153" customFormat="false" ht="12.75" hidden="false" customHeight="true" outlineLevel="0" collapsed="false">
      <c r="A153" s="174" t="str">
        <f aca="false">IF(AND(PLANI_LLOGARIVE!$A147&lt;&gt;"",PLANI_LLOGARIVE!$J147=TRUE()),PLANI_LLOGARIVE!$A147&amp;"","")</f>
        <v>624</v>
      </c>
      <c r="B153" s="174" t="str">
        <f aca="false">IF($A153="","",IFERROR(VLOOKUP($A153,PLANI_LLOGARIVE!$A$2:$I$500,2,FALSE()),""))</f>
        <v>Publicitet, reklamë</v>
      </c>
      <c r="C153" s="174" t="str">
        <f aca="false">IF($A153="","",IFERROR(VLOOKUP($A153,PLANI_LLOGARIVE!$A$2:$I$500,4,FALSE()),""))</f>
        <v>6</v>
      </c>
      <c r="D153" s="175" t="n">
        <f aca="false">IF($A153="","",SUMIFS(DITARI!$F$6:$F$550,DITARI!$D$6:$D$550,$A153))</f>
        <v>0</v>
      </c>
      <c r="E153" s="175" t="n">
        <f aca="false">IF($A153="","",SUMIFS(DITARI!$G$6:$G$550,DITARI!$D$6:$D$550,$A153))</f>
        <v>0</v>
      </c>
      <c r="F153" s="175" t="n">
        <f aca="false">IF($A153="","",MAX($D153-$E153,0))</f>
        <v>0</v>
      </c>
      <c r="G153" s="175" t="n">
        <f aca="false">IF($A153="","",MAX($E153-$D153,0))</f>
        <v>0</v>
      </c>
      <c r="H153" s="174" t="str">
        <f aca="false">IF($A153="","",IF($F153&gt;0,"Saldo Debit",IF($G153&gt;0,"Saldo Kredit","Zero")))</f>
        <v>Zero</v>
      </c>
      <c r="I153" s="174" t="str">
        <f aca="false">IF($A153="","",IFERROR(VLOOKUP($A153,PLANI_LLOGARIVE!$A$2:$I$500,9,FALSE()),""))</f>
        <v>Debit</v>
      </c>
      <c r="J153" s="101" t="str">
        <f aca="false">IF(A153="","",IF(OR(H153="Zero",I153="Debit/Credit"),"",IF(OR(AND(H153="Saldo Debit",I153="Debit"),AND(H153="Saldo Kredit",OR(I153="Credit",I153="Kredit"))),"","⚠️ JO NORMALE")))</f>
        <v/>
      </c>
    </row>
    <row r="154" customFormat="false" ht="12.75" hidden="false" customHeight="true" outlineLevel="0" collapsed="false">
      <c r="A154" s="172" t="str">
        <f aca="false">IF(AND(PLANI_LLOGARIVE!$A148&lt;&gt;"",PLANI_LLOGARIVE!$J148=TRUE()),PLANI_LLOGARIVE!$A148&amp;"","")</f>
        <v>625</v>
      </c>
      <c r="B154" s="172" t="str">
        <f aca="false">IF($A154="","",IFERROR(VLOOKUP($A154,PLANI_LLOGARIVE!$A$2:$I$500,2,FALSE()),""))</f>
        <v>Transferime, udhëtime, dieta</v>
      </c>
      <c r="C154" s="172" t="str">
        <f aca="false">IF($A154="","",IFERROR(VLOOKUP($A154,PLANI_LLOGARIVE!$A$2:$I$500,4,FALSE()),""))</f>
        <v>6</v>
      </c>
      <c r="D154" s="173" t="n">
        <f aca="false">IF($A154="","",SUMIFS(DITARI!$F$6:$F$550,DITARI!$D$6:$D$550,$A154))</f>
        <v>0</v>
      </c>
      <c r="E154" s="173" t="n">
        <f aca="false">IF($A154="","",SUMIFS(DITARI!$G$6:$G$550,DITARI!$D$6:$D$550,$A154))</f>
        <v>0</v>
      </c>
      <c r="F154" s="173" t="n">
        <f aca="false">IF($A154="","",MAX($D154-$E154,0))</f>
        <v>0</v>
      </c>
      <c r="G154" s="173" t="n">
        <f aca="false">IF($A154="","",MAX($E154-$D154,0))</f>
        <v>0</v>
      </c>
      <c r="H154" s="172" t="str">
        <f aca="false">IF($A154="","",IF($F154&gt;0,"Saldo Debit",IF($G154&gt;0,"Saldo Kredit","Zero")))</f>
        <v>Zero</v>
      </c>
      <c r="I154" s="172" t="str">
        <f aca="false">IF($A154="","",IFERROR(VLOOKUP($A154,PLANI_LLOGARIVE!$A$2:$I$500,9,FALSE()),""))</f>
        <v>Debit</v>
      </c>
      <c r="J154" s="101" t="str">
        <f aca="false">IF(A154="","",IF(OR(H154="Zero",I154="Debit/Credit"),"",IF(OR(AND(H154="Saldo Debit",I154="Debit"),AND(H154="Saldo Kredit",OR(I154="Credit",I154="Kredit"))),"","⚠️ JO NORMALE")))</f>
        <v/>
      </c>
    </row>
    <row r="155" customFormat="false" ht="12.75" hidden="false" customHeight="true" outlineLevel="0" collapsed="false">
      <c r="A155" s="174" t="str">
        <f aca="false">IF(AND(PLANI_LLOGARIVE!$A149&lt;&gt;"",PLANI_LLOGARIVE!$J149=TRUE()),PLANI_LLOGARIVE!$A149&amp;"","")</f>
        <v>626</v>
      </c>
      <c r="B155" s="174" t="str">
        <f aca="false">IF($A155="","",IFERROR(VLOOKUP($A155,PLANI_LLOGARIVE!$A$2:$I$500,2,FALSE()),""))</f>
        <v>Shpenzime postare dhe telekomunikimi</v>
      </c>
      <c r="C155" s="174" t="str">
        <f aca="false">IF($A155="","",IFERROR(VLOOKUP($A155,PLANI_LLOGARIVE!$A$2:$I$500,4,FALSE()),""))</f>
        <v>6</v>
      </c>
      <c r="D155" s="175" t="n">
        <f aca="false">IF($A155="","",SUMIFS(DITARI!$F$6:$F$550,DITARI!$D$6:$D$550,$A155))</f>
        <v>0</v>
      </c>
      <c r="E155" s="175" t="n">
        <f aca="false">IF($A155="","",SUMIFS(DITARI!$G$6:$G$550,DITARI!$D$6:$D$550,$A155))</f>
        <v>0</v>
      </c>
      <c r="F155" s="175" t="n">
        <f aca="false">IF($A155="","",MAX($D155-$E155,0))</f>
        <v>0</v>
      </c>
      <c r="G155" s="175" t="n">
        <f aca="false">IF($A155="","",MAX($E155-$D155,0))</f>
        <v>0</v>
      </c>
      <c r="H155" s="174" t="str">
        <f aca="false">IF($A155="","",IF($F155&gt;0,"Saldo Debit",IF($G155&gt;0,"Saldo Kredit","Zero")))</f>
        <v>Zero</v>
      </c>
      <c r="I155" s="174" t="str">
        <f aca="false">IF($A155="","",IFERROR(VLOOKUP($A155,PLANI_LLOGARIVE!$A$2:$I$500,9,FALSE()),""))</f>
        <v>Debit</v>
      </c>
      <c r="J155" s="101" t="str">
        <f aca="false">IF(A155="","",IF(OR(H155="Zero",I155="Debit/Credit"),"",IF(OR(AND(H155="Saldo Debit",I155="Debit"),AND(H155="Saldo Kredit",OR(I155="Credit",I155="Kredit"))),"","⚠️ JO NORMALE")))</f>
        <v/>
      </c>
    </row>
    <row r="156" customFormat="false" ht="12.75" hidden="false" customHeight="true" outlineLevel="0" collapsed="false">
      <c r="A156" s="172" t="str">
        <f aca="false">IF(AND(PLANI_LLOGARIVE!$A150&lt;&gt;"",PLANI_LLOGARIVE!$J150=TRUE()),PLANI_LLOGARIVE!$A150&amp;"","")</f>
        <v>627</v>
      </c>
      <c r="B156" s="172" t="str">
        <f aca="false">IF($A156="","",IFERROR(VLOOKUP($A156,PLANI_LLOGARIVE!$A$2:$I$500,2,FALSE()),""))</f>
        <v>Shpenzime transporti</v>
      </c>
      <c r="C156" s="172" t="str">
        <f aca="false">IF($A156="","",IFERROR(VLOOKUP($A156,PLANI_LLOGARIVE!$A$2:$I$500,4,FALSE()),""))</f>
        <v>6</v>
      </c>
      <c r="D156" s="173" t="n">
        <f aca="false">IF($A156="","",SUMIFS(DITARI!$F$6:$F$550,DITARI!$D$6:$D$550,$A156))</f>
        <v>0</v>
      </c>
      <c r="E156" s="173" t="n">
        <f aca="false">IF($A156="","",SUMIFS(DITARI!$G$6:$G$550,DITARI!$D$6:$D$550,$A156))</f>
        <v>0</v>
      </c>
      <c r="F156" s="173" t="n">
        <f aca="false">IF($A156="","",MAX($D156-$E156,0))</f>
        <v>0</v>
      </c>
      <c r="G156" s="173" t="n">
        <f aca="false">IF($A156="","",MAX($E156-$D156,0))</f>
        <v>0</v>
      </c>
      <c r="H156" s="172" t="str">
        <f aca="false">IF($A156="","",IF($F156&gt;0,"Saldo Debit",IF($G156&gt;0,"Saldo Kredit","Zero")))</f>
        <v>Zero</v>
      </c>
      <c r="I156" s="172" t="str">
        <f aca="false">IF($A156="","",IFERROR(VLOOKUP($A156,PLANI_LLOGARIVE!$A$2:$I$500,9,FALSE()),""))</f>
        <v>Debit</v>
      </c>
      <c r="J156" s="101" t="str">
        <f aca="false">IF(A156="","",IF(OR(H156="Zero",I156="Debit/Credit"),"",IF(OR(AND(H156="Saldo Debit",I156="Debit"),AND(H156="Saldo Kredit",OR(I156="Credit",I156="Kredit"))),"","⚠️ JO NORMALE")))</f>
        <v/>
      </c>
    </row>
    <row r="157" customFormat="false" ht="12.75" hidden="false" customHeight="true" outlineLevel="0" collapsed="false">
      <c r="A157" s="174" t="str">
        <f aca="false">IF(AND(PLANI_LLOGARIVE!$A151&lt;&gt;"",PLANI_LLOGARIVE!$J151=TRUE()),PLANI_LLOGARIVE!$A151&amp;"","")</f>
        <v>6271</v>
      </c>
      <c r="B157" s="174" t="str">
        <f aca="false">IF($A157="","",IFERROR(VLOOKUP($A157,PLANI_LLOGARIVE!$A$2:$I$500,2,FALSE()),""))</f>
        <v>Transport për blerje</v>
      </c>
      <c r="C157" s="174" t="str">
        <f aca="false">IF($A157="","",IFERROR(VLOOKUP($A157,PLANI_LLOGARIVE!$A$2:$I$500,4,FALSE()),""))</f>
        <v>6</v>
      </c>
      <c r="D157" s="175" t="n">
        <f aca="false">IF($A157="","",SUMIFS(DITARI!$F$6:$F$550,DITARI!$D$6:$D$550,$A157))</f>
        <v>0</v>
      </c>
      <c r="E157" s="175" t="n">
        <f aca="false">IF($A157="","",SUMIFS(DITARI!$G$6:$G$550,DITARI!$D$6:$D$550,$A157))</f>
        <v>0</v>
      </c>
      <c r="F157" s="175" t="n">
        <f aca="false">IF($A157="","",MAX($D157-$E157,0))</f>
        <v>0</v>
      </c>
      <c r="G157" s="175" t="n">
        <f aca="false">IF($A157="","",MAX($E157-$D157,0))</f>
        <v>0</v>
      </c>
      <c r="H157" s="174" t="str">
        <f aca="false">IF($A157="","",IF($F157&gt;0,"Saldo Debit",IF($G157&gt;0,"Saldo Kredit","Zero")))</f>
        <v>Zero</v>
      </c>
      <c r="I157" s="174" t="str">
        <f aca="false">IF($A157="","",IFERROR(VLOOKUP($A157,PLANI_LLOGARIVE!$A$2:$I$500,9,FALSE()),""))</f>
        <v>Debit</v>
      </c>
      <c r="J157" s="101" t="str">
        <f aca="false">IF(A157="","",IF(OR(H157="Zero",I157="Debit/Credit"),"",IF(OR(AND(H157="Saldo Debit",I157="Debit"),AND(H157="Saldo Kredit",OR(I157="Credit",I157="Kredit"))),"","⚠️ JO NORMALE")))</f>
        <v/>
      </c>
    </row>
    <row r="158" customFormat="false" ht="12.75" hidden="false" customHeight="true" outlineLevel="0" collapsed="false">
      <c r="A158" s="172" t="str">
        <f aca="false">IF(AND(PLANI_LLOGARIVE!$A152&lt;&gt;"",PLANI_LLOGARIVE!$J152=TRUE()),PLANI_LLOGARIVE!$A152&amp;"","")</f>
        <v>6272</v>
      </c>
      <c r="B158" s="172" t="str">
        <f aca="false">IF($A158="","",IFERROR(VLOOKUP($A158,PLANI_LLOGARIVE!$A$2:$I$500,2,FALSE()),""))</f>
        <v>Transport për shitje</v>
      </c>
      <c r="C158" s="172" t="str">
        <f aca="false">IF($A158="","",IFERROR(VLOOKUP($A158,PLANI_LLOGARIVE!$A$2:$I$500,4,FALSE()),""))</f>
        <v>6</v>
      </c>
      <c r="D158" s="173" t="n">
        <f aca="false">IF($A158="","",SUMIFS(DITARI!$F$6:$F$550,DITARI!$D$6:$D$550,$A158))</f>
        <v>0</v>
      </c>
      <c r="E158" s="173" t="n">
        <f aca="false">IF($A158="","",SUMIFS(DITARI!$G$6:$G$550,DITARI!$D$6:$D$550,$A158))</f>
        <v>0</v>
      </c>
      <c r="F158" s="173" t="n">
        <f aca="false">IF($A158="","",MAX($D158-$E158,0))</f>
        <v>0</v>
      </c>
      <c r="G158" s="173" t="n">
        <f aca="false">IF($A158="","",MAX($E158-$D158,0))</f>
        <v>0</v>
      </c>
      <c r="H158" s="172" t="str">
        <f aca="false">IF($A158="","",IF($F158&gt;0,"Saldo Debit",IF($G158&gt;0,"Saldo Kredit","Zero")))</f>
        <v>Zero</v>
      </c>
      <c r="I158" s="172" t="str">
        <f aca="false">IF($A158="","",IFERROR(VLOOKUP($A158,PLANI_LLOGARIVE!$A$2:$I$500,9,FALSE()),""))</f>
        <v>Debit</v>
      </c>
      <c r="J158" s="101" t="str">
        <f aca="false">IF(A158="","",IF(OR(H158="Zero",I158="Debit/Credit"),"",IF(OR(AND(H158="Saldo Debit",I158="Debit"),AND(H158="Saldo Kredit",OR(I158="Credit",I158="Kredit"))),"","⚠️ JO NORMALE")))</f>
        <v/>
      </c>
    </row>
    <row r="159" customFormat="false" ht="12.75" hidden="false" customHeight="true" outlineLevel="0" collapsed="false">
      <c r="A159" s="174" t="str">
        <f aca="false">IF(AND(PLANI_LLOGARIVE!$A153&lt;&gt;"",PLANI_LLOGARIVE!$J153=TRUE()),PLANI_LLOGARIVE!$A153&amp;"","")</f>
        <v>628</v>
      </c>
      <c r="B159" s="174" t="str">
        <f aca="false">IF($A159="","",IFERROR(VLOOKUP($A159,PLANI_LLOGARIVE!$A$2:$I$500,2,FALSE()),""))</f>
        <v>Shpenzime për shërbimet bankare</v>
      </c>
      <c r="C159" s="174" t="str">
        <f aca="false">IF($A159="","",IFERROR(VLOOKUP($A159,PLANI_LLOGARIVE!$A$2:$I$500,4,FALSE()),""))</f>
        <v>6</v>
      </c>
      <c r="D159" s="175" t="n">
        <f aca="false">IF($A159="","",SUMIFS(DITARI!$F$6:$F$550,DITARI!$D$6:$D$550,$A159))</f>
        <v>0</v>
      </c>
      <c r="E159" s="175" t="n">
        <f aca="false">IF($A159="","",SUMIFS(DITARI!$G$6:$G$550,DITARI!$D$6:$D$550,$A159))</f>
        <v>0</v>
      </c>
      <c r="F159" s="175" t="n">
        <f aca="false">IF($A159="","",MAX($D159-$E159,0))</f>
        <v>0</v>
      </c>
      <c r="G159" s="175" t="n">
        <f aca="false">IF($A159="","",MAX($E159-$D159,0))</f>
        <v>0</v>
      </c>
      <c r="H159" s="174" t="str">
        <f aca="false">IF($A159="","",IF($F159&gt;0,"Saldo Debit",IF($G159&gt;0,"Saldo Kredit","Zero")))</f>
        <v>Zero</v>
      </c>
      <c r="I159" s="174" t="str">
        <f aca="false">IF($A159="","",IFERROR(VLOOKUP($A159,PLANI_LLOGARIVE!$A$2:$I$500,9,FALSE()),""))</f>
        <v>Debit</v>
      </c>
      <c r="J159" s="101" t="str">
        <f aca="false">IF(A159="","",IF(OR(H159="Zero",I159="Debit/Credit"),"",IF(OR(AND(H159="Saldo Debit",I159="Debit"),AND(H159="Saldo Kredit",OR(I159="Credit",I159="Kredit"))),"","⚠️ JO NORMALE")))</f>
        <v/>
      </c>
    </row>
    <row r="160" customFormat="false" ht="12.75" hidden="false" customHeight="true" outlineLevel="0" collapsed="false">
      <c r="A160" s="172" t="str">
        <f aca="false">IF(AND(PLANI_LLOGARIVE!$A154&lt;&gt;"",PLANI_LLOGARIVE!$J154=TRUE()),PLANI_LLOGARIVE!$A154&amp;"","")</f>
        <v/>
      </c>
      <c r="B160" s="172" t="str">
        <f aca="false">IF($A160="","",IFERROR(VLOOKUP($A160,PLANI_LLOGARIVE!$A$2:$I$500,2,FALSE()),""))</f>
        <v/>
      </c>
      <c r="C160" s="172" t="str">
        <f aca="false">IF($A160="","",IFERROR(VLOOKUP($A160,PLANI_LLOGARIVE!$A$2:$I$500,4,FALSE()),""))</f>
        <v/>
      </c>
      <c r="D160" s="173" t="str">
        <f aca="false">IF($A160="","",SUMIFS(DITARI!$F$6:$F$550,DITARI!$D$6:$D$550,$A160))</f>
        <v/>
      </c>
      <c r="E160" s="173" t="str">
        <f aca="false">IF($A160="","",SUMIFS(DITARI!$G$6:$G$550,DITARI!$D$6:$D$550,$A160))</f>
        <v/>
      </c>
      <c r="F160" s="173" t="str">
        <f aca="false">IF($A160="","",MAX($D160-$E160,0))</f>
        <v/>
      </c>
      <c r="G160" s="173" t="str">
        <f aca="false">IF($A160="","",MAX($E160-$D160,0))</f>
        <v/>
      </c>
      <c r="H160" s="172" t="str">
        <f aca="false">IF($A160="","",IF($F160&gt;0,"Saldo Debit",IF($G160&gt;0,"Saldo Kredit","Zero")))</f>
        <v/>
      </c>
      <c r="I160" s="172" t="str">
        <f aca="false">IF($A160="","",IFERROR(VLOOKUP($A160,PLANI_LLOGARIVE!$A$2:$I$500,9,FALSE()),""))</f>
        <v/>
      </c>
      <c r="J160" s="101" t="str">
        <f aca="false">IF(A160="","",IF(OR(H160="Zero",I160="Debit/Credit"),"",IF(OR(AND(H160="Saldo Debit",I160="Debit"),AND(H160="Saldo Kredit",OR(I160="Credit",I160="Kredit"))),"","⚠️ JO NORMALE")))</f>
        <v/>
      </c>
    </row>
    <row r="161" customFormat="false" ht="12.75" hidden="false" customHeight="true" outlineLevel="0" collapsed="false">
      <c r="A161" s="174" t="str">
        <f aca="false">IF(AND(PLANI_LLOGARIVE!$A155&lt;&gt;"",PLANI_LLOGARIVE!$J155=TRUE()),PLANI_LLOGARIVE!$A155&amp;"","")</f>
        <v>631</v>
      </c>
      <c r="B161" s="174" t="str">
        <f aca="false">IF($A161="","",IFERROR(VLOOKUP($A161,PLANI_LLOGARIVE!$A$2:$I$500,2,FALSE()),""))</f>
        <v>Tatim mbi qarkullimin dhe akciza</v>
      </c>
      <c r="C161" s="174" t="str">
        <f aca="false">IF($A161="","",IFERROR(VLOOKUP($A161,PLANI_LLOGARIVE!$A$2:$I$500,4,FALSE()),""))</f>
        <v>6</v>
      </c>
      <c r="D161" s="175" t="n">
        <f aca="false">IF($A161="","",SUMIFS(DITARI!$F$6:$F$550,DITARI!$D$6:$D$550,$A161))</f>
        <v>0</v>
      </c>
      <c r="E161" s="175" t="n">
        <f aca="false">IF($A161="","",SUMIFS(DITARI!$G$6:$G$550,DITARI!$D$6:$D$550,$A161))</f>
        <v>0</v>
      </c>
      <c r="F161" s="175" t="n">
        <f aca="false">IF($A161="","",MAX($D161-$E161,0))</f>
        <v>0</v>
      </c>
      <c r="G161" s="175" t="n">
        <f aca="false">IF($A161="","",MAX($E161-$D161,0))</f>
        <v>0</v>
      </c>
      <c r="H161" s="174" t="str">
        <f aca="false">IF($A161="","",IF($F161&gt;0,"Saldo Debit",IF($G161&gt;0,"Saldo Kredit","Zero")))</f>
        <v>Zero</v>
      </c>
      <c r="I161" s="174" t="str">
        <f aca="false">IF($A161="","",IFERROR(VLOOKUP($A161,PLANI_LLOGARIVE!$A$2:$I$500,9,FALSE()),""))</f>
        <v>Debit</v>
      </c>
      <c r="J161" s="101" t="str">
        <f aca="false">IF(A161="","",IF(OR(H161="Zero",I161="Debit/Credit"),"",IF(OR(AND(H161="Saldo Debit",I161="Debit"),AND(H161="Saldo Kredit",OR(I161="Credit",I161="Kredit"))),"","⚠️ JO NORMALE")))</f>
        <v/>
      </c>
    </row>
    <row r="162" customFormat="false" ht="12.75" hidden="false" customHeight="true" outlineLevel="0" collapsed="false">
      <c r="A162" s="172" t="str">
        <f aca="false">IF(AND(PLANI_LLOGARIVE!$A156&lt;&gt;"",PLANI_LLOGARIVE!$J156=TRUE()),PLANI_LLOGARIVE!$A156&amp;"","")</f>
        <v>632</v>
      </c>
      <c r="B162" s="172" t="str">
        <f aca="false">IF($A162="","",IFERROR(VLOOKUP($A162,PLANI_LLOGARIVE!$A$2:$I$500,2,FALSE()),""))</f>
        <v>Taksa, tarifa doganore</v>
      </c>
      <c r="C162" s="172" t="str">
        <f aca="false">IF($A162="","",IFERROR(VLOOKUP($A162,PLANI_LLOGARIVE!$A$2:$I$500,4,FALSE()),""))</f>
        <v>6</v>
      </c>
      <c r="D162" s="173" t="n">
        <f aca="false">IF($A162="","",SUMIFS(DITARI!$F$6:$F$550,DITARI!$D$6:$D$550,$A162))</f>
        <v>0</v>
      </c>
      <c r="E162" s="173" t="n">
        <f aca="false">IF($A162="","",SUMIFS(DITARI!$G$6:$G$550,DITARI!$D$6:$D$550,$A162))</f>
        <v>0</v>
      </c>
      <c r="F162" s="173" t="n">
        <f aca="false">IF($A162="","",MAX($D162-$E162,0))</f>
        <v>0</v>
      </c>
      <c r="G162" s="173" t="n">
        <f aca="false">IF($A162="","",MAX($E162-$D162,0))</f>
        <v>0</v>
      </c>
      <c r="H162" s="172" t="str">
        <f aca="false">IF($A162="","",IF($F162&gt;0,"Saldo Debit",IF($G162&gt;0,"Saldo Kredit","Zero")))</f>
        <v>Zero</v>
      </c>
      <c r="I162" s="172" t="str">
        <f aca="false">IF($A162="","",IFERROR(VLOOKUP($A162,PLANI_LLOGARIVE!$A$2:$I$500,9,FALSE()),""))</f>
        <v>Debit</v>
      </c>
      <c r="J162" s="101" t="str">
        <f aca="false">IF(A162="","",IF(OR(H162="Zero",I162="Debit/Credit"),"",IF(OR(AND(H162="Saldo Debit",I162="Debit"),AND(H162="Saldo Kredit",OR(I162="Credit",I162="Kredit"))),"","⚠️ JO NORMALE")))</f>
        <v/>
      </c>
    </row>
    <row r="163" customFormat="false" ht="12.75" hidden="false" customHeight="true" outlineLevel="0" collapsed="false">
      <c r="A163" s="174" t="str">
        <f aca="false">IF(AND(PLANI_LLOGARIVE!$A157&lt;&gt;"",PLANI_LLOGARIVE!$J157=TRUE()),PLANI_LLOGARIVE!$A157&amp;"","")</f>
        <v>633</v>
      </c>
      <c r="B163" s="174" t="str">
        <f aca="false">IF($A163="","",IFERROR(VLOOKUP($A163,PLANI_LLOGARIVE!$A$2:$I$500,2,FALSE()),""))</f>
        <v>Akciza</v>
      </c>
      <c r="C163" s="174" t="str">
        <f aca="false">IF($A163="","",IFERROR(VLOOKUP($A163,PLANI_LLOGARIVE!$A$2:$I$500,4,FALSE()),""))</f>
        <v>6</v>
      </c>
      <c r="D163" s="175" t="n">
        <f aca="false">IF($A163="","",SUMIFS(DITARI!$F$6:$F$550,DITARI!$D$6:$D$550,$A163))</f>
        <v>0</v>
      </c>
      <c r="E163" s="175" t="n">
        <f aca="false">IF($A163="","",SUMIFS(DITARI!$G$6:$G$550,DITARI!$D$6:$D$550,$A163))</f>
        <v>0</v>
      </c>
      <c r="F163" s="175" t="n">
        <f aca="false">IF($A163="","",MAX($D163-$E163,0))</f>
        <v>0</v>
      </c>
      <c r="G163" s="175" t="n">
        <f aca="false">IF($A163="","",MAX($E163-$D163,0))</f>
        <v>0</v>
      </c>
      <c r="H163" s="174" t="str">
        <f aca="false">IF($A163="","",IF($F163&gt;0,"Saldo Debit",IF($G163&gt;0,"Saldo Kredit","Zero")))</f>
        <v>Zero</v>
      </c>
      <c r="I163" s="174" t="str">
        <f aca="false">IF($A163="","",IFERROR(VLOOKUP($A163,PLANI_LLOGARIVE!$A$2:$I$500,9,FALSE()),""))</f>
        <v>Debit</v>
      </c>
      <c r="J163" s="101" t="str">
        <f aca="false">IF(A163="","",IF(OR(H163="Zero",I163="Debit/Credit"),"",IF(OR(AND(H163="Saldo Debit",I163="Debit"),AND(H163="Saldo Kredit",OR(I163="Credit",I163="Kredit"))),"","⚠️ JO NORMALE")))</f>
        <v/>
      </c>
    </row>
    <row r="164" customFormat="false" ht="12.75" hidden="false" customHeight="true" outlineLevel="0" collapsed="false">
      <c r="A164" s="172" t="str">
        <f aca="false">IF(AND(PLANI_LLOGARIVE!$A158&lt;&gt;"",PLANI_LLOGARIVE!$J158=TRUE()),PLANI_LLOGARIVE!$A158&amp;"","")</f>
        <v>634</v>
      </c>
      <c r="B164" s="172" t="str">
        <f aca="false">IF($A164="","",IFERROR(VLOOKUP($A164,PLANI_LLOGARIVE!$A$2:$I$500,2,FALSE()),""))</f>
        <v>Taksa dhe tarifa vendore</v>
      </c>
      <c r="C164" s="172" t="str">
        <f aca="false">IF($A164="","",IFERROR(VLOOKUP($A164,PLANI_LLOGARIVE!$A$2:$I$500,4,FALSE()),""))</f>
        <v>6</v>
      </c>
      <c r="D164" s="173" t="n">
        <f aca="false">IF($A164="","",SUMIFS(DITARI!$F$6:$F$550,DITARI!$D$6:$D$550,$A164))</f>
        <v>0</v>
      </c>
      <c r="E164" s="173" t="n">
        <f aca="false">IF($A164="","",SUMIFS(DITARI!$G$6:$G$550,DITARI!$D$6:$D$550,$A164))</f>
        <v>0</v>
      </c>
      <c r="F164" s="173" t="n">
        <f aca="false">IF($A164="","",MAX($D164-$E164,0))</f>
        <v>0</v>
      </c>
      <c r="G164" s="173" t="n">
        <f aca="false">IF($A164="","",MAX($E164-$D164,0))</f>
        <v>0</v>
      </c>
      <c r="H164" s="172" t="str">
        <f aca="false">IF($A164="","",IF($F164&gt;0,"Saldo Debit",IF($G164&gt;0,"Saldo Kredit","Zero")))</f>
        <v>Zero</v>
      </c>
      <c r="I164" s="172" t="str">
        <f aca="false">IF($A164="","",IFERROR(VLOOKUP($A164,PLANI_LLOGARIVE!$A$2:$I$500,9,FALSE()),""))</f>
        <v>Debit</v>
      </c>
      <c r="J164" s="101" t="str">
        <f aca="false">IF(A164="","",IF(OR(H164="Zero",I164="Debit/Credit"),"",IF(OR(AND(H164="Saldo Debit",I164="Debit"),AND(H164="Saldo Kredit",OR(I164="Credit",I164="Kredit"))),"","⚠️ JO NORMALE")))</f>
        <v/>
      </c>
    </row>
    <row r="165" customFormat="false" ht="12.75" hidden="false" customHeight="true" outlineLevel="0" collapsed="false">
      <c r="A165" s="174" t="str">
        <f aca="false">IF(AND(PLANI_LLOGARIVE!$A159&lt;&gt;"",PLANI_LLOGARIVE!$J159=TRUE()),PLANI_LLOGARIVE!$A159&amp;"","")</f>
        <v>638</v>
      </c>
      <c r="B165" s="174" t="str">
        <f aca="false">IF($A165="","",IFERROR(VLOOKUP($A165,PLANI_LLOGARIVE!$A$2:$I$500,2,FALSE()),""))</f>
        <v>Tatime të tjera</v>
      </c>
      <c r="C165" s="174" t="str">
        <f aca="false">IF($A165="","",IFERROR(VLOOKUP($A165,PLANI_LLOGARIVE!$A$2:$I$500,4,FALSE()),""))</f>
        <v>6</v>
      </c>
      <c r="D165" s="175" t="n">
        <f aca="false">IF($A165="","",SUMIFS(DITARI!$F$6:$F$550,DITARI!$D$6:$D$550,$A165))</f>
        <v>0</v>
      </c>
      <c r="E165" s="175" t="n">
        <f aca="false">IF($A165="","",SUMIFS(DITARI!$G$6:$G$550,DITARI!$D$6:$D$550,$A165))</f>
        <v>0</v>
      </c>
      <c r="F165" s="175" t="n">
        <f aca="false">IF($A165="","",MAX($D165-$E165,0))</f>
        <v>0</v>
      </c>
      <c r="G165" s="175" t="n">
        <f aca="false">IF($A165="","",MAX($E165-$D165,0))</f>
        <v>0</v>
      </c>
      <c r="H165" s="174" t="str">
        <f aca="false">IF($A165="","",IF($F165&gt;0,"Saldo Debit",IF($G165&gt;0,"Saldo Kredit","Zero")))</f>
        <v>Zero</v>
      </c>
      <c r="I165" s="174" t="str">
        <f aca="false">IF($A165="","",IFERROR(VLOOKUP($A165,PLANI_LLOGARIVE!$A$2:$I$500,9,FALSE()),""))</f>
        <v>Debit</v>
      </c>
      <c r="J165" s="101" t="str">
        <f aca="false">IF(A165="","",IF(OR(H165="Zero",I165="Debit/Credit"),"",IF(OR(AND(H165="Saldo Debit",I165="Debit"),AND(H165="Saldo Kredit",OR(I165="Credit",I165="Kredit"))),"","⚠️ JO NORMALE")))</f>
        <v/>
      </c>
    </row>
    <row r="166" customFormat="false" ht="12.75" hidden="false" customHeight="true" outlineLevel="0" collapsed="false">
      <c r="A166" s="172" t="str">
        <f aca="false">IF(AND(PLANI_LLOGARIVE!$A160&lt;&gt;"",PLANI_LLOGARIVE!$J160=TRUE()),PLANI_LLOGARIVE!$A160&amp;"","")</f>
        <v/>
      </c>
      <c r="B166" s="172" t="str">
        <f aca="false">IF($A166="","",IFERROR(VLOOKUP($A166,PLANI_LLOGARIVE!$A$2:$I$500,2,FALSE()),""))</f>
        <v/>
      </c>
      <c r="C166" s="172" t="str">
        <f aca="false">IF($A166="","",IFERROR(VLOOKUP($A166,PLANI_LLOGARIVE!$A$2:$I$500,4,FALSE()),""))</f>
        <v/>
      </c>
      <c r="D166" s="173" t="str">
        <f aca="false">IF($A166="","",SUMIFS(DITARI!$F$6:$F$550,DITARI!$D$6:$D$550,$A166))</f>
        <v/>
      </c>
      <c r="E166" s="173" t="str">
        <f aca="false">IF($A166="","",SUMIFS(DITARI!$G$6:$G$550,DITARI!$D$6:$D$550,$A166))</f>
        <v/>
      </c>
      <c r="F166" s="173" t="str">
        <f aca="false">IF($A166="","",MAX($D166-$E166,0))</f>
        <v/>
      </c>
      <c r="G166" s="173" t="str">
        <f aca="false">IF($A166="","",MAX($E166-$D166,0))</f>
        <v/>
      </c>
      <c r="H166" s="172" t="str">
        <f aca="false">IF($A166="","",IF($F166&gt;0,"Saldo Debit",IF($G166&gt;0,"Saldo Kredit","Zero")))</f>
        <v/>
      </c>
      <c r="I166" s="172" t="str">
        <f aca="false">IF($A166="","",IFERROR(VLOOKUP($A166,PLANI_LLOGARIVE!$A$2:$I$500,9,FALSE()),""))</f>
        <v/>
      </c>
      <c r="J166" s="101" t="str">
        <f aca="false">IF(A166="","",IF(OR(H166="Zero",I166="Debit/Credit"),"",IF(OR(AND(H166="Saldo Debit",I166="Debit"),AND(H166="Saldo Kredit",OR(I166="Credit",I166="Kredit"))),"","⚠️ JO NORMALE")))</f>
        <v/>
      </c>
    </row>
    <row r="167" customFormat="false" ht="12.75" hidden="false" customHeight="true" outlineLevel="0" collapsed="false">
      <c r="A167" s="174" t="str">
        <f aca="false">IF(AND(PLANI_LLOGARIVE!$A161&lt;&gt;"",PLANI_LLOGARIVE!$J161=TRUE()),PLANI_LLOGARIVE!$A161&amp;"","")</f>
        <v>641</v>
      </c>
      <c r="B167" s="174" t="str">
        <f aca="false">IF($A167="","",IFERROR(VLOOKUP($A167,PLANI_LLOGARIVE!$A$2:$I$500,2,FALSE()),""))</f>
        <v>Pagat dhe shpërblimet e personelit</v>
      </c>
      <c r="C167" s="174" t="str">
        <f aca="false">IF($A167="","",IFERROR(VLOOKUP($A167,PLANI_LLOGARIVE!$A$2:$I$500,4,FALSE()),""))</f>
        <v>6</v>
      </c>
      <c r="D167" s="175" t="n">
        <f aca="false">IF($A167="","",SUMIFS(DITARI!$F$6:$F$550,DITARI!$D$6:$D$550,$A167))</f>
        <v>0</v>
      </c>
      <c r="E167" s="175" t="n">
        <f aca="false">IF($A167="","",SUMIFS(DITARI!$G$6:$G$550,DITARI!$D$6:$D$550,$A167))</f>
        <v>0</v>
      </c>
      <c r="F167" s="175" t="n">
        <f aca="false">IF($A167="","",MAX($D167-$E167,0))</f>
        <v>0</v>
      </c>
      <c r="G167" s="175" t="n">
        <f aca="false">IF($A167="","",MAX($E167-$D167,0))</f>
        <v>0</v>
      </c>
      <c r="H167" s="174" t="str">
        <f aca="false">IF($A167="","",IF($F167&gt;0,"Saldo Debit",IF($G167&gt;0,"Saldo Kredit","Zero")))</f>
        <v>Zero</v>
      </c>
      <c r="I167" s="174" t="str">
        <f aca="false">IF($A167="","",IFERROR(VLOOKUP($A167,PLANI_LLOGARIVE!$A$2:$I$500,9,FALSE()),""))</f>
        <v>Debit</v>
      </c>
      <c r="J167" s="101" t="str">
        <f aca="false">IF(A167="","",IF(OR(H167="Zero",I167="Debit/Credit"),"",IF(OR(AND(H167="Saldo Debit",I167="Debit"),AND(H167="Saldo Kredit",OR(I167="Credit",I167="Kredit"))),"","⚠️ JO NORMALE")))</f>
        <v/>
      </c>
    </row>
    <row r="168" customFormat="false" ht="12.75" hidden="false" customHeight="true" outlineLevel="0" collapsed="false">
      <c r="A168" s="172" t="str">
        <f aca="false">IF(AND(PLANI_LLOGARIVE!$A162&lt;&gt;"",PLANI_LLOGARIVE!$J162=TRUE()),PLANI_LLOGARIVE!$A162&amp;"","")</f>
        <v>644</v>
      </c>
      <c r="B168" s="172" t="str">
        <f aca="false">IF($A168="","",IFERROR(VLOOKUP($A168,PLANI_LLOGARIVE!$A$2:$I$500,2,FALSE()),""))</f>
        <v>Sigurimet shoqërore dhe shëndetësore</v>
      </c>
      <c r="C168" s="172" t="str">
        <f aca="false">IF($A168="","",IFERROR(VLOOKUP($A168,PLANI_LLOGARIVE!$A$2:$I$500,4,FALSE()),""))</f>
        <v>6</v>
      </c>
      <c r="D168" s="173" t="n">
        <f aca="false">IF($A168="","",SUMIFS(DITARI!$F$6:$F$550,DITARI!$D$6:$D$550,$A168))</f>
        <v>0</v>
      </c>
      <c r="E168" s="173" t="n">
        <f aca="false">IF($A168="","",SUMIFS(DITARI!$G$6:$G$550,DITARI!$D$6:$D$550,$A168))</f>
        <v>0</v>
      </c>
      <c r="F168" s="173" t="n">
        <f aca="false">IF($A168="","",MAX($D168-$E168,0))</f>
        <v>0</v>
      </c>
      <c r="G168" s="173" t="n">
        <f aca="false">IF($A168="","",MAX($E168-$D168,0))</f>
        <v>0</v>
      </c>
      <c r="H168" s="172" t="str">
        <f aca="false">IF($A168="","",IF($F168&gt;0,"Saldo Debit",IF($G168&gt;0,"Saldo Kredit","Zero")))</f>
        <v>Zero</v>
      </c>
      <c r="I168" s="172" t="str">
        <f aca="false">IF($A168="","",IFERROR(VLOOKUP($A168,PLANI_LLOGARIVE!$A$2:$I$500,9,FALSE()),""))</f>
        <v>Debit</v>
      </c>
      <c r="J168" s="101" t="str">
        <f aca="false">IF(A168="","",IF(OR(H168="Zero",I168="Debit/Credit"),"",IF(OR(AND(H168="Saldo Debit",I168="Debit"),AND(H168="Saldo Kredit",OR(I168="Credit",I168="Kredit"))),"","⚠️ JO NORMALE")))</f>
        <v/>
      </c>
    </row>
    <row r="169" customFormat="false" ht="12.75" hidden="false" customHeight="true" outlineLevel="0" collapsed="false">
      <c r="A169" s="174" t="str">
        <f aca="false">IF(AND(PLANI_LLOGARIVE!$A163&lt;&gt;"",PLANI_LLOGARIVE!$J163=TRUE()),PLANI_LLOGARIVE!$A163&amp;"","")</f>
        <v>645</v>
      </c>
      <c r="B169" s="174" t="str">
        <f aca="false">IF($A169="","",IFERROR(VLOOKUP($A169,PLANI_LLOGARIVE!$A$2:$I$500,2,FALSE()),""))</f>
        <v>Kontributet dhe kuota të tjera për personelin</v>
      </c>
      <c r="C169" s="174" t="str">
        <f aca="false">IF($A169="","",IFERROR(VLOOKUP($A169,PLANI_LLOGARIVE!$A$2:$I$500,4,FALSE()),""))</f>
        <v>6</v>
      </c>
      <c r="D169" s="175" t="n">
        <f aca="false">IF($A169="","",SUMIFS(DITARI!$F$6:$F$550,DITARI!$D$6:$D$550,$A169))</f>
        <v>0</v>
      </c>
      <c r="E169" s="175" t="n">
        <f aca="false">IF($A169="","",SUMIFS(DITARI!$G$6:$G$550,DITARI!$D$6:$D$550,$A169))</f>
        <v>0</v>
      </c>
      <c r="F169" s="175" t="n">
        <f aca="false">IF($A169="","",MAX($D169-$E169,0))</f>
        <v>0</v>
      </c>
      <c r="G169" s="175" t="n">
        <f aca="false">IF($A169="","",MAX($E169-$D169,0))</f>
        <v>0</v>
      </c>
      <c r="H169" s="174" t="str">
        <f aca="false">IF($A169="","",IF($F169&gt;0,"Saldo Debit",IF($G169&gt;0,"Saldo Kredit","Zero")))</f>
        <v>Zero</v>
      </c>
      <c r="I169" s="174" t="str">
        <f aca="false">IF($A169="","",IFERROR(VLOOKUP($A169,PLANI_LLOGARIVE!$A$2:$I$500,9,FALSE()),""))</f>
        <v>Debit</v>
      </c>
      <c r="J169" s="101" t="str">
        <f aca="false">IF(A169="","",IF(OR(H169="Zero",I169="Debit/Credit"),"",IF(OR(AND(H169="Saldo Debit",I169="Debit"),AND(H169="Saldo Kredit",OR(I169="Credit",I169="Kredit"))),"","⚠️ JO NORMALE")))</f>
        <v/>
      </c>
    </row>
    <row r="170" customFormat="false" ht="12.75" hidden="false" customHeight="true" outlineLevel="0" collapsed="false">
      <c r="A170" s="172" t="str">
        <f aca="false">IF(AND(PLANI_LLOGARIVE!$A164&lt;&gt;"",PLANI_LLOGARIVE!$J164=TRUE()),PLANI_LLOGARIVE!$A164&amp;"","")</f>
        <v>648</v>
      </c>
      <c r="B170" s="172" t="str">
        <f aca="false">IF($A170="","",IFERROR(VLOOKUP($A170,PLANI_LLOGARIVE!$A$2:$I$500,2,FALSE()),""))</f>
        <v>Shpenzime të tjera për personelin</v>
      </c>
      <c r="C170" s="172" t="str">
        <f aca="false">IF($A170="","",IFERROR(VLOOKUP($A170,PLANI_LLOGARIVE!$A$2:$I$500,4,FALSE()),""))</f>
        <v>6</v>
      </c>
      <c r="D170" s="173" t="n">
        <f aca="false">IF($A170="","",SUMIFS(DITARI!$F$6:$F$550,DITARI!$D$6:$D$550,$A170))</f>
        <v>0</v>
      </c>
      <c r="E170" s="173" t="n">
        <f aca="false">IF($A170="","",SUMIFS(DITARI!$G$6:$G$550,DITARI!$D$6:$D$550,$A170))</f>
        <v>0</v>
      </c>
      <c r="F170" s="173" t="n">
        <f aca="false">IF($A170="","",MAX($D170-$E170,0))</f>
        <v>0</v>
      </c>
      <c r="G170" s="173" t="n">
        <f aca="false">IF($A170="","",MAX($E170-$D170,0))</f>
        <v>0</v>
      </c>
      <c r="H170" s="172" t="str">
        <f aca="false">IF($A170="","",IF($F170&gt;0,"Saldo Debit",IF($G170&gt;0,"Saldo Kredit","Zero")))</f>
        <v>Zero</v>
      </c>
      <c r="I170" s="172" t="str">
        <f aca="false">IF($A170="","",IFERROR(VLOOKUP($A170,PLANI_LLOGARIVE!$A$2:$I$500,9,FALSE()),""))</f>
        <v>Debit</v>
      </c>
      <c r="J170" s="101" t="str">
        <f aca="false">IF(A170="","",IF(OR(H170="Zero",I170="Debit/Credit"),"",IF(OR(AND(H170="Saldo Debit",I170="Debit"),AND(H170="Saldo Kredit",OR(I170="Credit",I170="Kredit"))),"","⚠️ JO NORMALE")))</f>
        <v/>
      </c>
    </row>
    <row r="171" customFormat="false" ht="12.75" hidden="false" customHeight="true" outlineLevel="0" collapsed="false">
      <c r="A171" s="174" t="str">
        <f aca="false">IF(AND(PLANI_LLOGARIVE!$A165&lt;&gt;"",PLANI_LLOGARIVE!$J165=TRUE()),PLANI_LLOGARIVE!$A165&amp;"","")</f>
        <v/>
      </c>
      <c r="B171" s="174" t="str">
        <f aca="false">IF($A171="","",IFERROR(VLOOKUP($A171,PLANI_LLOGARIVE!$A$2:$I$500,2,FALSE()),""))</f>
        <v/>
      </c>
      <c r="C171" s="174" t="str">
        <f aca="false">IF($A171="","",IFERROR(VLOOKUP($A171,PLANI_LLOGARIVE!$A$2:$I$500,4,FALSE()),""))</f>
        <v/>
      </c>
      <c r="D171" s="175" t="str">
        <f aca="false">IF($A171="","",SUMIFS(DITARI!$F$6:$F$550,DITARI!$D$6:$D$550,$A171))</f>
        <v/>
      </c>
      <c r="E171" s="175" t="str">
        <f aca="false">IF($A171="","",SUMIFS(DITARI!$G$6:$G$550,DITARI!$D$6:$D$550,$A171))</f>
        <v/>
      </c>
      <c r="F171" s="175" t="str">
        <f aca="false">IF($A171="","",MAX($D171-$E171,0))</f>
        <v/>
      </c>
      <c r="G171" s="175" t="str">
        <f aca="false">IF($A171="","",MAX($E171-$D171,0))</f>
        <v/>
      </c>
      <c r="H171" s="174" t="str">
        <f aca="false">IF($A171="","",IF($F171&gt;0,"Saldo Debit",IF($G171&gt;0,"Saldo Kredit","Zero")))</f>
        <v/>
      </c>
      <c r="I171" s="174" t="str">
        <f aca="false">IF($A171="","",IFERROR(VLOOKUP($A171,PLANI_LLOGARIVE!$A$2:$I$500,9,FALSE()),""))</f>
        <v/>
      </c>
      <c r="J171" s="101" t="str">
        <f aca="false">IF(A171="","",IF(OR(H171="Zero",I171="Debit/Credit"),"",IF(OR(AND(H171="Saldo Debit",I171="Debit"),AND(H171="Saldo Kredit",OR(I171="Credit",I171="Kredit"))),"","⚠️ JO NORMALE")))</f>
        <v/>
      </c>
    </row>
    <row r="172" customFormat="false" ht="12.75" hidden="false" customHeight="true" outlineLevel="0" collapsed="false">
      <c r="A172" s="172" t="str">
        <f aca="false">IF(AND(PLANI_LLOGARIVE!$A166&lt;&gt;"",PLANI_LLOGARIVE!$J166=TRUE()),PLANI_LLOGARIVE!$A166&amp;"","")</f>
        <v>652</v>
      </c>
      <c r="B172" s="172" t="str">
        <f aca="false">IF($A172="","",IFERROR(VLOOKUP($A172,PLANI_LLOGARIVE!$A$2:$I$500,2,FALSE()),""))</f>
        <v>Vlera kontabël e AAGJ të shitura</v>
      </c>
      <c r="C172" s="172" t="str">
        <f aca="false">IF($A172="","",IFERROR(VLOOKUP($A172,PLANI_LLOGARIVE!$A$2:$I$500,4,FALSE()),""))</f>
        <v>6</v>
      </c>
      <c r="D172" s="173" t="n">
        <f aca="false">IF($A172="","",SUMIFS(DITARI!$F$6:$F$550,DITARI!$D$6:$D$550,$A172))</f>
        <v>0</v>
      </c>
      <c r="E172" s="173" t="n">
        <f aca="false">IF($A172="","",SUMIFS(DITARI!$G$6:$G$550,DITARI!$D$6:$D$550,$A172))</f>
        <v>0</v>
      </c>
      <c r="F172" s="173" t="n">
        <f aca="false">IF($A172="","",MAX($D172-$E172,0))</f>
        <v>0</v>
      </c>
      <c r="G172" s="173" t="n">
        <f aca="false">IF($A172="","",MAX($E172-$D172,0))</f>
        <v>0</v>
      </c>
      <c r="H172" s="172" t="str">
        <f aca="false">IF($A172="","",IF($F172&gt;0,"Saldo Debit",IF($G172&gt;0,"Saldo Kredit","Zero")))</f>
        <v>Zero</v>
      </c>
      <c r="I172" s="172" t="str">
        <f aca="false">IF($A172="","",IFERROR(VLOOKUP($A172,PLANI_LLOGARIVE!$A$2:$I$500,9,FALSE()),""))</f>
        <v>Debit</v>
      </c>
      <c r="J172" s="101" t="str">
        <f aca="false">IF(A172="","",IF(OR(H172="Zero",I172="Debit/Credit"),"",IF(OR(AND(H172="Saldo Debit",I172="Debit"),AND(H172="Saldo Kredit",OR(I172="Credit",I172="Kredit"))),"","⚠️ JO NORMALE")))</f>
        <v/>
      </c>
    </row>
    <row r="173" customFormat="false" ht="12.75" hidden="false" customHeight="true" outlineLevel="0" collapsed="false">
      <c r="A173" s="174" t="str">
        <f aca="false">IF(AND(PLANI_LLOGARIVE!$A167&lt;&gt;"",PLANI_LLOGARIVE!$J167=TRUE()),PLANI_LLOGARIVE!$A167&amp;"","")</f>
        <v>654</v>
      </c>
      <c r="B173" s="174" t="str">
        <f aca="false">IF($A173="","",IFERROR(VLOOKUP($A173,PLANI_LLOGARIVE!$A$2:$I$500,2,FALSE()),""))</f>
        <v>Shpenzime për pritje dhe përfaqësime</v>
      </c>
      <c r="C173" s="174" t="str">
        <f aca="false">IF($A173="","",IFERROR(VLOOKUP($A173,PLANI_LLOGARIVE!$A$2:$I$500,4,FALSE()),""))</f>
        <v>6</v>
      </c>
      <c r="D173" s="175" t="n">
        <f aca="false">IF($A173="","",SUMIFS(DITARI!$F$6:$F$550,DITARI!$D$6:$D$550,$A173))</f>
        <v>0</v>
      </c>
      <c r="E173" s="175" t="n">
        <f aca="false">IF($A173="","",SUMIFS(DITARI!$G$6:$G$550,DITARI!$D$6:$D$550,$A173))</f>
        <v>0</v>
      </c>
      <c r="F173" s="175" t="n">
        <f aca="false">IF($A173="","",MAX($D173-$E173,0))</f>
        <v>0</v>
      </c>
      <c r="G173" s="175" t="n">
        <f aca="false">IF($A173="","",MAX($E173-$D173,0))</f>
        <v>0</v>
      </c>
      <c r="H173" s="174" t="str">
        <f aca="false">IF($A173="","",IF($F173&gt;0,"Saldo Debit",IF($G173&gt;0,"Saldo Kredit","Zero")))</f>
        <v>Zero</v>
      </c>
      <c r="I173" s="174" t="str">
        <f aca="false">IF($A173="","",IFERROR(VLOOKUP($A173,PLANI_LLOGARIVE!$A$2:$I$500,9,FALSE()),""))</f>
        <v>Debit</v>
      </c>
      <c r="J173" s="101" t="str">
        <f aca="false">IF(A173="","",IF(OR(H173="Zero",I173="Debit/Credit"),"",IF(OR(AND(H173="Saldo Debit",I173="Debit"),AND(H173="Saldo Kredit",OR(I173="Credit",I173="Kredit"))),"","⚠️ JO NORMALE")))</f>
        <v/>
      </c>
    </row>
    <row r="174" customFormat="false" ht="12.75" hidden="false" customHeight="true" outlineLevel="0" collapsed="false">
      <c r="A174" s="172" t="str">
        <f aca="false">IF(AND(PLANI_LLOGARIVE!$A168&lt;&gt;"",PLANI_LLOGARIVE!$J168=TRUE()),PLANI_LLOGARIVE!$A168&amp;"","")</f>
        <v>656</v>
      </c>
      <c r="B174" s="172" t="str">
        <f aca="false">IF($A174="","",IFERROR(VLOOKUP($A174,PLANI_LLOGARIVE!$A$2:$I$500,2,FALSE()),""))</f>
        <v>Humbje nga mosarkëtimi i kërkesave/të drejtave</v>
      </c>
      <c r="C174" s="172" t="str">
        <f aca="false">IF($A174="","",IFERROR(VLOOKUP($A174,PLANI_LLOGARIVE!$A$2:$I$500,4,FALSE()),""))</f>
        <v>6</v>
      </c>
      <c r="D174" s="173" t="n">
        <f aca="false">IF($A174="","",SUMIFS(DITARI!$F$6:$F$550,DITARI!$D$6:$D$550,$A174))</f>
        <v>0</v>
      </c>
      <c r="E174" s="173" t="n">
        <f aca="false">IF($A174="","",SUMIFS(DITARI!$G$6:$G$550,DITARI!$D$6:$D$550,$A174))</f>
        <v>0</v>
      </c>
      <c r="F174" s="173" t="n">
        <f aca="false">IF($A174="","",MAX($D174-$E174,0))</f>
        <v>0</v>
      </c>
      <c r="G174" s="173" t="n">
        <f aca="false">IF($A174="","",MAX($E174-$D174,0))</f>
        <v>0</v>
      </c>
      <c r="H174" s="172" t="str">
        <f aca="false">IF($A174="","",IF($F174&gt;0,"Saldo Debit",IF($G174&gt;0,"Saldo Kredit","Zero")))</f>
        <v>Zero</v>
      </c>
      <c r="I174" s="172" t="str">
        <f aca="false">IF($A174="","",IFERROR(VLOOKUP($A174,PLANI_LLOGARIVE!$A$2:$I$500,9,FALSE()),""))</f>
        <v>Debit</v>
      </c>
      <c r="J174" s="101" t="str">
        <f aca="false">IF(A174="","",IF(OR(H174="Zero",I174="Debit/Credit"),"",IF(OR(AND(H174="Saldo Debit",I174="Debit"),AND(H174="Saldo Kredit",OR(I174="Credit",I174="Kredit"))),"","⚠️ JO NORMALE")))</f>
        <v/>
      </c>
    </row>
    <row r="175" customFormat="false" ht="12.75" hidden="false" customHeight="true" outlineLevel="0" collapsed="false">
      <c r="A175" s="174" t="str">
        <f aca="false">IF(AND(PLANI_LLOGARIVE!$A169&lt;&gt;"",PLANI_LLOGARIVE!$J169=TRUE()),PLANI_LLOGARIVE!$A169&amp;"","")</f>
        <v>657</v>
      </c>
      <c r="B175" s="174" t="str">
        <f aca="false">IF($A175="","",IFERROR(VLOOKUP($A175,PLANI_LLOGARIVE!$A$2:$I$500,2,FALSE()),""))</f>
        <v>Gjoba dhe dëmshpërblime</v>
      </c>
      <c r="C175" s="174" t="str">
        <f aca="false">IF($A175="","",IFERROR(VLOOKUP($A175,PLANI_LLOGARIVE!$A$2:$I$500,4,FALSE()),""))</f>
        <v>6</v>
      </c>
      <c r="D175" s="175" t="n">
        <f aca="false">IF($A175="","",SUMIFS(DITARI!$F$6:$F$550,DITARI!$D$6:$D$550,$A175))</f>
        <v>0</v>
      </c>
      <c r="E175" s="175" t="n">
        <f aca="false">IF($A175="","",SUMIFS(DITARI!$G$6:$G$550,DITARI!$D$6:$D$550,$A175))</f>
        <v>0</v>
      </c>
      <c r="F175" s="175" t="n">
        <f aca="false">IF($A175="","",MAX($D175-$E175,0))</f>
        <v>0</v>
      </c>
      <c r="G175" s="175" t="n">
        <f aca="false">IF($A175="","",MAX($E175-$D175,0))</f>
        <v>0</v>
      </c>
      <c r="H175" s="174" t="str">
        <f aca="false">IF($A175="","",IF($F175&gt;0,"Saldo Debit",IF($G175&gt;0,"Saldo Kredit","Zero")))</f>
        <v>Zero</v>
      </c>
      <c r="I175" s="174" t="str">
        <f aca="false">IF($A175="","",IFERROR(VLOOKUP($A175,PLANI_LLOGARIVE!$A$2:$I$500,9,FALSE()),""))</f>
        <v>Debit</v>
      </c>
      <c r="J175" s="101" t="str">
        <f aca="false">IF(A175="","",IF(OR(H175="Zero",I175="Debit/Credit"),"",IF(OR(AND(H175="Saldo Debit",I175="Debit"),AND(H175="Saldo Kredit",OR(I175="Credit",I175="Kredit"))),"","⚠️ JO NORMALE")))</f>
        <v/>
      </c>
    </row>
    <row r="176" customFormat="false" ht="12.75" hidden="false" customHeight="true" outlineLevel="0" collapsed="false">
      <c r="A176" s="172" t="str">
        <f aca="false">IF(AND(PLANI_LLOGARIVE!$A170&lt;&gt;"",PLANI_LLOGARIVE!$J170=TRUE()),PLANI_LLOGARIVE!$A170&amp;"","")</f>
        <v>658</v>
      </c>
      <c r="B176" s="172" t="str">
        <f aca="false">IF($A176="","",IFERROR(VLOOKUP($A176,PLANI_LLOGARIVE!$A$2:$I$500,2,FALSE()),""))</f>
        <v>Shpenzime të tjera</v>
      </c>
      <c r="C176" s="172" t="str">
        <f aca="false">IF($A176="","",IFERROR(VLOOKUP($A176,PLANI_LLOGARIVE!$A$2:$I$500,4,FALSE()),""))</f>
        <v>6</v>
      </c>
      <c r="D176" s="173" t="n">
        <f aca="false">IF($A176="","",SUMIFS(DITARI!$F$6:$F$550,DITARI!$D$6:$D$550,$A176))</f>
        <v>0</v>
      </c>
      <c r="E176" s="173" t="n">
        <f aca="false">IF($A176="","",SUMIFS(DITARI!$G$6:$G$550,DITARI!$D$6:$D$550,$A176))</f>
        <v>0</v>
      </c>
      <c r="F176" s="173" t="n">
        <f aca="false">IF($A176="","",MAX($D176-$E176,0))</f>
        <v>0</v>
      </c>
      <c r="G176" s="173" t="n">
        <f aca="false">IF($A176="","",MAX($E176-$D176,0))</f>
        <v>0</v>
      </c>
      <c r="H176" s="172" t="str">
        <f aca="false">IF($A176="","",IF($F176&gt;0,"Saldo Debit",IF($G176&gt;0,"Saldo Kredit","Zero")))</f>
        <v>Zero</v>
      </c>
      <c r="I176" s="172" t="str">
        <f aca="false">IF($A176="","",IFERROR(VLOOKUP($A176,PLANI_LLOGARIVE!$A$2:$I$500,9,FALSE()),""))</f>
        <v>Debit</v>
      </c>
      <c r="J176" s="101" t="str">
        <f aca="false">IF(A176="","",IF(OR(H176="Zero",I176="Debit/Credit"),"",IF(OR(AND(H176="Saldo Debit",I176="Debit"),AND(H176="Saldo Kredit",OR(I176="Credit",I176="Kredit"))),"","⚠️ JO NORMALE")))</f>
        <v/>
      </c>
    </row>
    <row r="177" customFormat="false" ht="12.75" hidden="false" customHeight="true" outlineLevel="0" collapsed="false">
      <c r="A177" s="174" t="str">
        <f aca="false">IF(AND(PLANI_LLOGARIVE!$A171&lt;&gt;"",PLANI_LLOGARIVE!$J171=TRUE()),PLANI_LLOGARIVE!$A171&amp;"","")</f>
        <v/>
      </c>
      <c r="B177" s="174" t="str">
        <f aca="false">IF($A177="","",IFERROR(VLOOKUP($A177,PLANI_LLOGARIVE!$A$2:$I$500,2,FALSE()),""))</f>
        <v/>
      </c>
      <c r="C177" s="174" t="str">
        <f aca="false">IF($A177="","",IFERROR(VLOOKUP($A177,PLANI_LLOGARIVE!$A$2:$I$500,4,FALSE()),""))</f>
        <v/>
      </c>
      <c r="D177" s="175" t="str">
        <f aca="false">IF($A177="","",SUMIFS(DITARI!$F$6:$F$550,DITARI!$D$6:$D$550,$A177))</f>
        <v/>
      </c>
      <c r="E177" s="175" t="str">
        <f aca="false">IF($A177="","",SUMIFS(DITARI!$G$6:$G$550,DITARI!$D$6:$D$550,$A177))</f>
        <v/>
      </c>
      <c r="F177" s="175" t="str">
        <f aca="false">IF($A177="","",MAX($D177-$E177,0))</f>
        <v/>
      </c>
      <c r="G177" s="175" t="str">
        <f aca="false">IF($A177="","",MAX($E177-$D177,0))</f>
        <v/>
      </c>
      <c r="H177" s="174" t="str">
        <f aca="false">IF($A177="","",IF($F177&gt;0,"Saldo Debit",IF($G177&gt;0,"Saldo Kredit","Zero")))</f>
        <v/>
      </c>
      <c r="I177" s="174" t="str">
        <f aca="false">IF($A177="","",IFERROR(VLOOKUP($A177,PLANI_LLOGARIVE!$A$2:$I$500,9,FALSE()),""))</f>
        <v/>
      </c>
      <c r="J177" s="101" t="str">
        <f aca="false">IF(A177="","",IF(OR(H177="Zero",I177="Debit/Credit"),"",IF(OR(AND(H177="Saldo Debit",I177="Debit"),AND(H177="Saldo Kredit",OR(I177="Credit",I177="Kredit"))),"","⚠️ JO NORMALE")))</f>
        <v/>
      </c>
    </row>
    <row r="178" customFormat="false" ht="12.75" hidden="false" customHeight="true" outlineLevel="0" collapsed="false">
      <c r="A178" s="172" t="str">
        <f aca="false">IF(AND(PLANI_LLOGARIVE!$A172&lt;&gt;"",PLANI_LLOGARIVE!$J172=TRUE()),PLANI_LLOGARIVE!$A172&amp;"","")</f>
        <v>661</v>
      </c>
      <c r="B178" s="172" t="str">
        <f aca="false">IF($A178="","",IFERROR(VLOOKUP($A178,PLANI_LLOGARIVE!$A$2:$I$500,2,FALSE()),""))</f>
        <v>Shpenzime financiare nga shoqëritë e kontrolluara</v>
      </c>
      <c r="C178" s="172" t="str">
        <f aca="false">IF($A178="","",IFERROR(VLOOKUP($A178,PLANI_LLOGARIVE!$A$2:$I$500,4,FALSE()),""))</f>
        <v>6</v>
      </c>
      <c r="D178" s="173" t="n">
        <f aca="false">IF($A178="","",SUMIFS(DITARI!$F$6:$F$550,DITARI!$D$6:$D$550,$A178))</f>
        <v>0</v>
      </c>
      <c r="E178" s="173" t="n">
        <f aca="false">IF($A178="","",SUMIFS(DITARI!$G$6:$G$550,DITARI!$D$6:$D$550,$A178))</f>
        <v>0</v>
      </c>
      <c r="F178" s="173" t="n">
        <f aca="false">IF($A178="","",MAX($D178-$E178,0))</f>
        <v>0</v>
      </c>
      <c r="G178" s="173" t="n">
        <f aca="false">IF($A178="","",MAX($E178-$D178,0))</f>
        <v>0</v>
      </c>
      <c r="H178" s="172" t="str">
        <f aca="false">IF($A178="","",IF($F178&gt;0,"Saldo Debit",IF($G178&gt;0,"Saldo Kredit","Zero")))</f>
        <v>Zero</v>
      </c>
      <c r="I178" s="172" t="str">
        <f aca="false">IF($A178="","",IFERROR(VLOOKUP($A178,PLANI_LLOGARIVE!$A$2:$I$500,9,FALSE()),""))</f>
        <v>Debit</v>
      </c>
      <c r="J178" s="101" t="str">
        <f aca="false">IF(A178="","",IF(OR(H178="Zero",I178="Debit/Credit"),"",IF(OR(AND(H178="Saldo Debit",I178="Debit"),AND(H178="Saldo Kredit",OR(I178="Credit",I178="Kredit"))),"","⚠️ JO NORMALE")))</f>
        <v/>
      </c>
    </row>
    <row r="179" customFormat="false" ht="12.75" hidden="false" customHeight="true" outlineLevel="0" collapsed="false">
      <c r="A179" s="174" t="str">
        <f aca="false">IF(AND(PLANI_LLOGARIVE!$A173&lt;&gt;"",PLANI_LLOGARIVE!$J173=TRUE()),PLANI_LLOGARIVE!$A173&amp;"","")</f>
        <v>662</v>
      </c>
      <c r="B179" s="174" t="str">
        <f aca="false">IF($A179="","",IFERROR(VLOOKUP($A179,PLANI_LLOGARIVE!$A$2:$I$500,2,FALSE()),""))</f>
        <v>Shpenzime financiare nga shoqëritë e lidhura</v>
      </c>
      <c r="C179" s="174" t="str">
        <f aca="false">IF($A179="","",IFERROR(VLOOKUP($A179,PLANI_LLOGARIVE!$A$2:$I$500,4,FALSE()),""))</f>
        <v>6</v>
      </c>
      <c r="D179" s="175" t="n">
        <f aca="false">IF($A179="","",SUMIFS(DITARI!$F$6:$F$550,DITARI!$D$6:$D$550,$A179))</f>
        <v>0</v>
      </c>
      <c r="E179" s="175" t="n">
        <f aca="false">IF($A179="","",SUMIFS(DITARI!$G$6:$G$550,DITARI!$D$6:$D$550,$A179))</f>
        <v>0</v>
      </c>
      <c r="F179" s="175" t="n">
        <f aca="false">IF($A179="","",MAX($D179-$E179,0))</f>
        <v>0</v>
      </c>
      <c r="G179" s="175" t="n">
        <f aca="false">IF($A179="","",MAX($E179-$D179,0))</f>
        <v>0</v>
      </c>
      <c r="H179" s="174" t="str">
        <f aca="false">IF($A179="","",IF($F179&gt;0,"Saldo Debit",IF($G179&gt;0,"Saldo Kredit","Zero")))</f>
        <v>Zero</v>
      </c>
      <c r="I179" s="174" t="str">
        <f aca="false">IF($A179="","",IFERROR(VLOOKUP($A179,PLANI_LLOGARIVE!$A$2:$I$500,9,FALSE()),""))</f>
        <v>Debit</v>
      </c>
      <c r="J179" s="101" t="str">
        <f aca="false">IF(A179="","",IF(OR(H179="Zero",I179="Debit/Credit"),"",IF(OR(AND(H179="Saldo Debit",I179="Debit"),AND(H179="Saldo Kredit",OR(I179="Credit",I179="Kredit"))),"","⚠️ JO NORMALE")))</f>
        <v/>
      </c>
    </row>
    <row r="180" customFormat="false" ht="12.75" hidden="false" customHeight="true" outlineLevel="0" collapsed="false">
      <c r="A180" s="172" t="str">
        <f aca="false">IF(AND(PLANI_LLOGARIVE!$A174&lt;&gt;"",PLANI_LLOGARIVE!$J174=TRUE()),PLANI_LLOGARIVE!$A174&amp;"","")</f>
        <v>667</v>
      </c>
      <c r="B180" s="172" t="str">
        <f aca="false">IF($A180="","",IFERROR(VLOOKUP($A180,PLANI_LLOGARIVE!$A$2:$I$500,2,FALSE()),""))</f>
        <v>Shpenzime për interesa</v>
      </c>
      <c r="C180" s="172" t="str">
        <f aca="false">IF($A180="","",IFERROR(VLOOKUP($A180,PLANI_LLOGARIVE!$A$2:$I$500,4,FALSE()),""))</f>
        <v>6</v>
      </c>
      <c r="D180" s="173" t="n">
        <f aca="false">IF($A180="","",SUMIFS(DITARI!$F$6:$F$550,DITARI!$D$6:$D$550,$A180))</f>
        <v>0</v>
      </c>
      <c r="E180" s="173" t="n">
        <f aca="false">IF($A180="","",SUMIFS(DITARI!$G$6:$G$550,DITARI!$D$6:$D$550,$A180))</f>
        <v>0</v>
      </c>
      <c r="F180" s="173" t="n">
        <f aca="false">IF($A180="","",MAX($D180-$E180,0))</f>
        <v>0</v>
      </c>
      <c r="G180" s="173" t="n">
        <f aca="false">IF($A180="","",MAX($E180-$D180,0))</f>
        <v>0</v>
      </c>
      <c r="H180" s="172" t="str">
        <f aca="false">IF($A180="","",IF($F180&gt;0,"Saldo Debit",IF($G180&gt;0,"Saldo Kredit","Zero")))</f>
        <v>Zero</v>
      </c>
      <c r="I180" s="172" t="str">
        <f aca="false">IF($A180="","",IFERROR(VLOOKUP($A180,PLANI_LLOGARIVE!$A$2:$I$500,9,FALSE()),""))</f>
        <v>Debit</v>
      </c>
      <c r="J180" s="101" t="str">
        <f aca="false">IF(A180="","",IF(OR(H180="Zero",I180="Debit/Credit"),"",IF(OR(AND(H180="Saldo Debit",I180="Debit"),AND(H180="Saldo Kredit",OR(I180="Credit",I180="Kredit"))),"","⚠️ JO NORMALE")))</f>
        <v/>
      </c>
    </row>
    <row r="181" customFormat="false" ht="12.75" hidden="false" customHeight="true" outlineLevel="0" collapsed="false">
      <c r="A181" s="174" t="str">
        <f aca="false">IF(AND(PLANI_LLOGARIVE!$A175&lt;&gt;"",PLANI_LLOGARIVE!$J175=TRUE()),PLANI_LLOGARIVE!$A175&amp;"","")</f>
        <v>668</v>
      </c>
      <c r="B181" s="174" t="str">
        <f aca="false">IF($A181="","",IFERROR(VLOOKUP($A181,PLANI_LLOGARIVE!$A$2:$I$500,2,FALSE()),""))</f>
        <v>Shpenzime financiare të tjera</v>
      </c>
      <c r="C181" s="174" t="str">
        <f aca="false">IF($A181="","",IFERROR(VLOOKUP($A181,PLANI_LLOGARIVE!$A$2:$I$500,4,FALSE()),""))</f>
        <v>6</v>
      </c>
      <c r="D181" s="175" t="n">
        <f aca="false">IF($A181="","",SUMIFS(DITARI!$F$6:$F$550,DITARI!$D$6:$D$550,$A181))</f>
        <v>0</v>
      </c>
      <c r="E181" s="175" t="n">
        <f aca="false">IF($A181="","",SUMIFS(DITARI!$G$6:$G$550,DITARI!$D$6:$D$550,$A181))</f>
        <v>0</v>
      </c>
      <c r="F181" s="175" t="n">
        <f aca="false">IF($A181="","",MAX($D181-$E181,0))</f>
        <v>0</v>
      </c>
      <c r="G181" s="175" t="n">
        <f aca="false">IF($A181="","",MAX($E181-$D181,0))</f>
        <v>0</v>
      </c>
      <c r="H181" s="174" t="str">
        <f aca="false">IF($A181="","",IF($F181&gt;0,"Saldo Debit",IF($G181&gt;0,"Saldo Kredit","Zero")))</f>
        <v>Zero</v>
      </c>
      <c r="I181" s="174" t="str">
        <f aca="false">IF($A181="","",IFERROR(VLOOKUP($A181,PLANI_LLOGARIVE!$A$2:$I$500,9,FALSE()),""))</f>
        <v>Debit</v>
      </c>
      <c r="J181" s="101" t="str">
        <f aca="false">IF(A181="","",IF(OR(H181="Zero",I181="Debit/Credit"),"",IF(OR(AND(H181="Saldo Debit",I181="Debit"),AND(H181="Saldo Kredit",OR(I181="Credit",I181="Kredit"))),"","⚠️ JO NORMALE")))</f>
        <v/>
      </c>
    </row>
    <row r="182" customFormat="false" ht="12.75" hidden="false" customHeight="true" outlineLevel="0" collapsed="false">
      <c r="A182" s="172" t="str">
        <f aca="false">IF(AND(PLANI_LLOGARIVE!$A176&lt;&gt;"",PLANI_LLOGARIVE!$J176=TRUE()),PLANI_LLOGARIVE!$A176&amp;"","")</f>
        <v>669</v>
      </c>
      <c r="B182" s="172" t="str">
        <f aca="false">IF($A182="","",IFERROR(VLOOKUP($A182,PLANI_LLOGARIVE!$A$2:$I$500,2,FALSE()),""))</f>
        <v>Humbje nga këmbimet dhe përkthimet valutore</v>
      </c>
      <c r="C182" s="172" t="str">
        <f aca="false">IF($A182="","",IFERROR(VLOOKUP($A182,PLANI_LLOGARIVE!$A$2:$I$500,4,FALSE()),""))</f>
        <v>6</v>
      </c>
      <c r="D182" s="173" t="n">
        <f aca="false">IF($A182="","",SUMIFS(DITARI!$F$6:$F$550,DITARI!$D$6:$D$550,$A182))</f>
        <v>0</v>
      </c>
      <c r="E182" s="173" t="n">
        <f aca="false">IF($A182="","",SUMIFS(DITARI!$G$6:$G$550,DITARI!$D$6:$D$550,$A182))</f>
        <v>0</v>
      </c>
      <c r="F182" s="173" t="n">
        <f aca="false">IF($A182="","",MAX($D182-$E182,0))</f>
        <v>0</v>
      </c>
      <c r="G182" s="173" t="n">
        <f aca="false">IF($A182="","",MAX($E182-$D182,0))</f>
        <v>0</v>
      </c>
      <c r="H182" s="172" t="str">
        <f aca="false">IF($A182="","",IF($F182&gt;0,"Saldo Debit",IF($G182&gt;0,"Saldo Kredit","Zero")))</f>
        <v>Zero</v>
      </c>
      <c r="I182" s="172" t="str">
        <f aca="false">IF($A182="","",IFERROR(VLOOKUP($A182,PLANI_LLOGARIVE!$A$2:$I$500,9,FALSE()),""))</f>
        <v>Debit</v>
      </c>
      <c r="J182" s="101" t="str">
        <f aca="false">IF(A182="","",IF(OR(H182="Zero",I182="Debit/Credit"),"",IF(OR(AND(H182="Saldo Debit",I182="Debit"),AND(H182="Saldo Kredit",OR(I182="Credit",I182="Kredit"))),"","⚠️ JO NORMALE")))</f>
        <v/>
      </c>
    </row>
    <row r="183" customFormat="false" ht="12.75" hidden="false" customHeight="true" outlineLevel="0" collapsed="false">
      <c r="A183" s="174" t="str">
        <f aca="false">IF(AND(PLANI_LLOGARIVE!$A177&lt;&gt;"",PLANI_LLOGARIVE!$J177=TRUE()),PLANI_LLOGARIVE!$A177&amp;"","")</f>
        <v/>
      </c>
      <c r="B183" s="174" t="str">
        <f aca="false">IF($A183="","",IFERROR(VLOOKUP($A183,PLANI_LLOGARIVE!$A$2:$I$500,2,FALSE()),""))</f>
        <v/>
      </c>
      <c r="C183" s="174" t="str">
        <f aca="false">IF($A183="","",IFERROR(VLOOKUP($A183,PLANI_LLOGARIVE!$A$2:$I$500,4,FALSE()),""))</f>
        <v/>
      </c>
      <c r="D183" s="175" t="str">
        <f aca="false">IF($A183="","",SUMIFS(DITARI!$F$6:$F$550,DITARI!$D$6:$D$550,$A183))</f>
        <v/>
      </c>
      <c r="E183" s="175" t="str">
        <f aca="false">IF($A183="","",SUMIFS(DITARI!$G$6:$G$550,DITARI!$D$6:$D$550,$A183))</f>
        <v/>
      </c>
      <c r="F183" s="175" t="str">
        <f aca="false">IF($A183="","",MAX($D183-$E183,0))</f>
        <v/>
      </c>
      <c r="G183" s="175" t="str">
        <f aca="false">IF($A183="","",MAX($E183-$D183,0))</f>
        <v/>
      </c>
      <c r="H183" s="174" t="str">
        <f aca="false">IF($A183="","",IF($F183&gt;0,"Saldo Debit",IF($G183&gt;0,"Saldo Kredit","Zero")))</f>
        <v/>
      </c>
      <c r="I183" s="174" t="str">
        <f aca="false">IF($A183="","",IFERROR(VLOOKUP($A183,PLANI_LLOGARIVE!$A$2:$I$500,9,FALSE()),""))</f>
        <v/>
      </c>
      <c r="J183" s="101" t="str">
        <f aca="false">IF(A183="","",IF(OR(H183="Zero",I183="Debit/Credit"),"",IF(OR(AND(H183="Saldo Debit",I183="Debit"),AND(H183="Saldo Kredit",OR(I183="Credit",I183="Kredit"))),"","⚠️ JO NORMALE")))</f>
        <v/>
      </c>
    </row>
    <row r="184" customFormat="false" ht="12.75" hidden="false" customHeight="true" outlineLevel="0" collapsed="false">
      <c r="A184" s="172" t="str">
        <f aca="false">IF(AND(PLANI_LLOGARIVE!$A178&lt;&gt;"",PLANI_LLOGARIVE!$J178=TRUE()),PLANI_LLOGARIVE!$A178&amp;"","")</f>
        <v>672</v>
      </c>
      <c r="B184" s="172" t="str">
        <f aca="false">IF($A184="","",IFERROR(VLOOKUP($A184,PLANI_LLOGARIVE!$A$2:$I$500,2,FALSE()),""))</f>
        <v>Vlera kontabël e aktiveve afatgjata të shitura</v>
      </c>
      <c r="C184" s="172" t="str">
        <f aca="false">IF($A184="","",IFERROR(VLOOKUP($A184,PLANI_LLOGARIVE!$A$2:$I$500,4,FALSE()),""))</f>
        <v>6</v>
      </c>
      <c r="D184" s="173" t="n">
        <f aca="false">IF($A184="","",SUMIFS(DITARI!$F$6:$F$550,DITARI!$D$6:$D$550,$A184))</f>
        <v>0</v>
      </c>
      <c r="E184" s="173" t="n">
        <f aca="false">IF($A184="","",SUMIFS(DITARI!$G$6:$G$550,DITARI!$D$6:$D$550,$A184))</f>
        <v>0</v>
      </c>
      <c r="F184" s="173" t="n">
        <f aca="false">IF($A184="","",MAX($D184-$E184,0))</f>
        <v>0</v>
      </c>
      <c r="G184" s="173" t="n">
        <f aca="false">IF($A184="","",MAX($E184-$D184,0))</f>
        <v>0</v>
      </c>
      <c r="H184" s="172" t="str">
        <f aca="false">IF($A184="","",IF($F184&gt;0,"Saldo Debit",IF($G184&gt;0,"Saldo Kredit","Zero")))</f>
        <v>Zero</v>
      </c>
      <c r="I184" s="172" t="str">
        <f aca="false">IF($A184="","",IFERROR(VLOOKUP($A184,PLANI_LLOGARIVE!$A$2:$I$500,9,FALSE()),""))</f>
        <v>Debit</v>
      </c>
      <c r="J184" s="101" t="str">
        <f aca="false">IF(A184="","",IF(OR(H184="Zero",I184="Debit/Credit"),"",IF(OR(AND(H184="Saldo Debit",I184="Debit"),AND(H184="Saldo Kredit",OR(I184="Credit",I184="Kredit"))),"","⚠️ JO NORMALE")))</f>
        <v/>
      </c>
    </row>
    <row r="185" customFormat="false" ht="12.75" hidden="false" customHeight="true" outlineLevel="0" collapsed="false">
      <c r="A185" s="174" t="str">
        <f aca="false">IF(AND(PLANI_LLOGARIVE!$A179&lt;&gt;"",PLANI_LLOGARIVE!$J179=TRUE()),PLANI_LLOGARIVE!$A179&amp;"","")</f>
        <v>677</v>
      </c>
      <c r="B185" s="174" t="str">
        <f aca="false">IF($A185="","",IFERROR(VLOOKUP($A185,PLANI_LLOGARIVE!$A$2:$I$500,2,FALSE()),""))</f>
        <v>Humbje nga gabime të lejuara në ushtrimet</v>
      </c>
      <c r="C185" s="174" t="str">
        <f aca="false">IF($A185="","",IFERROR(VLOOKUP($A185,PLANI_LLOGARIVE!$A$2:$I$500,4,FALSE()),""))</f>
        <v>6</v>
      </c>
      <c r="D185" s="175" t="n">
        <f aca="false">IF($A185="","",SUMIFS(DITARI!$F$6:$F$550,DITARI!$D$6:$D$550,$A185))</f>
        <v>0</v>
      </c>
      <c r="E185" s="175" t="n">
        <f aca="false">IF($A185="","",SUMIFS(DITARI!$G$6:$G$550,DITARI!$D$6:$D$550,$A185))</f>
        <v>0</v>
      </c>
      <c r="F185" s="175" t="n">
        <f aca="false">IF($A185="","",MAX($D185-$E185,0))</f>
        <v>0</v>
      </c>
      <c r="G185" s="175" t="n">
        <f aca="false">IF($A185="","",MAX($E185-$D185,0))</f>
        <v>0</v>
      </c>
      <c r="H185" s="174" t="str">
        <f aca="false">IF($A185="","",IF($F185&gt;0,"Saldo Debit",IF($G185&gt;0,"Saldo Kredit","Zero")))</f>
        <v>Zero</v>
      </c>
      <c r="I185" s="174" t="str">
        <f aca="false">IF($A185="","",IFERROR(VLOOKUP($A185,PLANI_LLOGARIVE!$A$2:$I$500,9,FALSE()),""))</f>
        <v>Debit</v>
      </c>
      <c r="J185" s="101" t="str">
        <f aca="false">IF(A185="","",IF(OR(H185="Zero",I185="Debit/Credit"),"",IF(OR(AND(H185="Saldo Debit",I185="Debit"),AND(H185="Saldo Kredit",OR(I185="Credit",I185="Kredit"))),"","⚠️ JO NORMALE")))</f>
        <v/>
      </c>
    </row>
    <row r="186" customFormat="false" ht="12.75" hidden="false" customHeight="true" outlineLevel="0" collapsed="false">
      <c r="A186" s="172" t="str">
        <f aca="false">IF(AND(PLANI_LLOGARIVE!$A180&lt;&gt;"",PLANI_LLOGARIVE!$J180=TRUE()),PLANI_LLOGARIVE!$A180&amp;"","")</f>
        <v/>
      </c>
      <c r="B186" s="172" t="str">
        <f aca="false">IF($A186="","",IFERROR(VLOOKUP($A186,PLANI_LLOGARIVE!$A$2:$I$500,2,FALSE()),""))</f>
        <v/>
      </c>
      <c r="C186" s="172" t="str">
        <f aca="false">IF($A186="","",IFERROR(VLOOKUP($A186,PLANI_LLOGARIVE!$A$2:$I$500,4,FALSE()),""))</f>
        <v/>
      </c>
      <c r="D186" s="173" t="str">
        <f aca="false">IF($A186="","",SUMIFS(DITARI!$F$6:$F$550,DITARI!$D$6:$D$550,$A186))</f>
        <v/>
      </c>
      <c r="E186" s="173" t="str">
        <f aca="false">IF($A186="","",SUMIFS(DITARI!$G$6:$G$550,DITARI!$D$6:$D$550,$A186))</f>
        <v/>
      </c>
      <c r="F186" s="173" t="str">
        <f aca="false">IF($A186="","",MAX($D186-$E186,0))</f>
        <v/>
      </c>
      <c r="G186" s="173" t="str">
        <f aca="false">IF($A186="","",MAX($E186-$D186,0))</f>
        <v/>
      </c>
      <c r="H186" s="172" t="str">
        <f aca="false">IF($A186="","",IF($F186&gt;0,"Saldo Debit",IF($G186&gt;0,"Saldo Kredit","Zero")))</f>
        <v/>
      </c>
      <c r="I186" s="172" t="str">
        <f aca="false">IF($A186="","",IFERROR(VLOOKUP($A186,PLANI_LLOGARIVE!$A$2:$I$500,9,FALSE()),""))</f>
        <v/>
      </c>
      <c r="J186" s="101" t="str">
        <f aca="false">IF(A186="","",IF(OR(H186="Zero",I186="Debit/Credit"),"",IF(OR(AND(H186="Saldo Debit",I186="Debit"),AND(H186="Saldo Kredit",OR(I186="Credit",I186="Kredit"))),"","⚠️ JO NORMALE")))</f>
        <v/>
      </c>
    </row>
    <row r="187" customFormat="false" ht="12.75" hidden="false" customHeight="true" outlineLevel="0" collapsed="false">
      <c r="A187" s="174" t="str">
        <f aca="false">IF(AND(PLANI_LLOGARIVE!$A181&lt;&gt;"",PLANI_LLOGARIVE!$J181=TRUE()),PLANI_LLOGARIVE!$A181&amp;"","")</f>
        <v>681</v>
      </c>
      <c r="B187" s="174" t="str">
        <f aca="false">IF($A187="","",IFERROR(VLOOKUP($A187,PLANI_LLOGARIVE!$A$2:$I$500,2,FALSE()),""))</f>
        <v>Amortizime të aktiveve afatgjata</v>
      </c>
      <c r="C187" s="174" t="str">
        <f aca="false">IF($A187="","",IFERROR(VLOOKUP($A187,PLANI_LLOGARIVE!$A$2:$I$500,4,FALSE()),""))</f>
        <v>6</v>
      </c>
      <c r="D187" s="175" t="n">
        <f aca="false">IF($A187="","",SUMIFS(DITARI!$F$6:$F$550,DITARI!$D$6:$D$550,$A187))</f>
        <v>0</v>
      </c>
      <c r="E187" s="175" t="n">
        <f aca="false">IF($A187="","",SUMIFS(DITARI!$G$6:$G$550,DITARI!$D$6:$D$550,$A187))</f>
        <v>0</v>
      </c>
      <c r="F187" s="175" t="n">
        <f aca="false">IF($A187="","",MAX($D187-$E187,0))</f>
        <v>0</v>
      </c>
      <c r="G187" s="175" t="n">
        <f aca="false">IF($A187="","",MAX($E187-$D187,0))</f>
        <v>0</v>
      </c>
      <c r="H187" s="174" t="str">
        <f aca="false">IF($A187="","",IF($F187&gt;0,"Saldo Debit",IF($G187&gt;0,"Saldo Kredit","Zero")))</f>
        <v>Zero</v>
      </c>
      <c r="I187" s="174" t="str">
        <f aca="false">IF($A187="","",IFERROR(VLOOKUP($A187,PLANI_LLOGARIVE!$A$2:$I$500,9,FALSE()),""))</f>
        <v>Debit</v>
      </c>
      <c r="J187" s="101" t="str">
        <f aca="false">IF(A187="","",IF(OR(H187="Zero",I187="Debit/Credit"),"",IF(OR(AND(H187="Saldo Debit",I187="Debit"),AND(H187="Saldo Kredit",OR(I187="Credit",I187="Kredit"))),"","⚠️ JO NORMALE")))</f>
        <v/>
      </c>
    </row>
    <row r="188" customFormat="false" ht="12.75" hidden="false" customHeight="true" outlineLevel="0" collapsed="false">
      <c r="A188" s="172" t="str">
        <f aca="false">IF(AND(PLANI_LLOGARIVE!$A182&lt;&gt;"",PLANI_LLOGARIVE!$J182=TRUE()),PLANI_LLOGARIVE!$A182&amp;"","")</f>
        <v>6812</v>
      </c>
      <c r="B188" s="172" t="str">
        <f aca="false">IF($A188="","",IFERROR(VLOOKUP($A188,PLANI_LLOGARIVE!$A$2:$I$500,2,FALSE()),""))</f>
        <v>Shpenzime amortizimi për ndërtesat</v>
      </c>
      <c r="C188" s="172" t="str">
        <f aca="false">IF($A188="","",IFERROR(VLOOKUP($A188,PLANI_LLOGARIVE!$A$2:$I$500,4,FALSE()),""))</f>
        <v>6</v>
      </c>
      <c r="D188" s="173" t="n">
        <f aca="false">IF($A188="","",SUMIFS(DITARI!$F$6:$F$550,DITARI!$D$6:$D$550,$A188))</f>
        <v>0</v>
      </c>
      <c r="E188" s="173" t="n">
        <f aca="false">IF($A188="","",SUMIFS(DITARI!$G$6:$G$550,DITARI!$D$6:$D$550,$A188))</f>
        <v>0</v>
      </c>
      <c r="F188" s="173" t="n">
        <f aca="false">IF($A188="","",MAX($D188-$E188,0))</f>
        <v>0</v>
      </c>
      <c r="G188" s="173" t="n">
        <f aca="false">IF($A188="","",MAX($E188-$D188,0))</f>
        <v>0</v>
      </c>
      <c r="H188" s="172" t="str">
        <f aca="false">IF($A188="","",IF($F188&gt;0,"Saldo Debit",IF($G188&gt;0,"Saldo Kredit","Zero")))</f>
        <v>Zero</v>
      </c>
      <c r="I188" s="172" t="str">
        <f aca="false">IF($A188="","",IFERROR(VLOOKUP($A188,PLANI_LLOGARIVE!$A$2:$I$500,9,FALSE()),""))</f>
        <v>Debit</v>
      </c>
      <c r="J188" s="101" t="str">
        <f aca="false">IF(A188="","",IF(OR(H188="Zero",I188="Debit/Credit"),"",IF(OR(AND(H188="Saldo Debit",I188="Debit"),AND(H188="Saldo Kredit",OR(I188="Credit",I188="Kredit"))),"","⚠️ JO NORMALE")))</f>
        <v/>
      </c>
    </row>
    <row r="189" customFormat="false" ht="12.75" hidden="false" customHeight="true" outlineLevel="0" collapsed="false">
      <c r="A189" s="174" t="str">
        <f aca="false">IF(AND(PLANI_LLOGARIVE!$A183&lt;&gt;"",PLANI_LLOGARIVE!$J183=TRUE()),PLANI_LLOGARIVE!$A183&amp;"","")</f>
        <v>6813</v>
      </c>
      <c r="B189" s="174" t="str">
        <f aca="false">IF($A189="","",IFERROR(VLOOKUP($A189,PLANI_LLOGARIVE!$A$2:$I$500,2,FALSE()),""))</f>
        <v>Shpenzime amortizimi për instalime/makineri/pajisje</v>
      </c>
      <c r="C189" s="174" t="str">
        <f aca="false">IF($A189="","",IFERROR(VLOOKUP($A189,PLANI_LLOGARIVE!$A$2:$I$500,4,FALSE()),""))</f>
        <v>6</v>
      </c>
      <c r="D189" s="175" t="n">
        <f aca="false">IF($A189="","",SUMIFS(DITARI!$F$6:$F$550,DITARI!$D$6:$D$550,$A189))</f>
        <v>0</v>
      </c>
      <c r="E189" s="175" t="n">
        <f aca="false">IF($A189="","",SUMIFS(DITARI!$G$6:$G$550,DITARI!$D$6:$D$550,$A189))</f>
        <v>0</v>
      </c>
      <c r="F189" s="175" t="n">
        <f aca="false">IF($A189="","",MAX($D189-$E189,0))</f>
        <v>0</v>
      </c>
      <c r="G189" s="175" t="n">
        <f aca="false">IF($A189="","",MAX($E189-$D189,0))</f>
        <v>0</v>
      </c>
      <c r="H189" s="174" t="str">
        <f aca="false">IF($A189="","",IF($F189&gt;0,"Saldo Debit",IF($G189&gt;0,"Saldo Kredit","Zero")))</f>
        <v>Zero</v>
      </c>
      <c r="I189" s="174" t="str">
        <f aca="false">IF($A189="","",IFERROR(VLOOKUP($A189,PLANI_LLOGARIVE!$A$2:$I$500,9,FALSE()),""))</f>
        <v>Debit</v>
      </c>
      <c r="J189" s="101" t="str">
        <f aca="false">IF(A189="","",IF(OR(H189="Zero",I189="Debit/Credit"),"",IF(OR(AND(H189="Saldo Debit",I189="Debit"),AND(H189="Saldo Kredit",OR(I189="Credit",I189="Kredit"))),"","⚠️ JO NORMALE")))</f>
        <v/>
      </c>
    </row>
    <row r="190" customFormat="false" ht="12.75" hidden="false" customHeight="true" outlineLevel="0" collapsed="false">
      <c r="A190" s="172" t="str">
        <f aca="false">IF(AND(PLANI_LLOGARIVE!$A184&lt;&gt;"",PLANI_LLOGARIVE!$J184=TRUE()),PLANI_LLOGARIVE!$A184&amp;"","")</f>
        <v>6815</v>
      </c>
      <c r="B190" s="172" t="str">
        <f aca="false">IF($A190="","",IFERROR(VLOOKUP($A190,PLANI_LLOGARIVE!$A$2:$I$500,2,FALSE()),""))</f>
        <v>Shpenzime amortizimi për mjete transporti</v>
      </c>
      <c r="C190" s="172" t="str">
        <f aca="false">IF($A190="","",IFERROR(VLOOKUP($A190,PLANI_LLOGARIVE!$A$2:$I$500,4,FALSE()),""))</f>
        <v>6</v>
      </c>
      <c r="D190" s="173" t="n">
        <f aca="false">IF($A190="","",SUMIFS(DITARI!$F$6:$F$550,DITARI!$D$6:$D$550,$A190))</f>
        <v>0</v>
      </c>
      <c r="E190" s="173" t="n">
        <f aca="false">IF($A190="","",SUMIFS(DITARI!$G$6:$G$550,DITARI!$D$6:$D$550,$A190))</f>
        <v>0</v>
      </c>
      <c r="F190" s="173" t="n">
        <f aca="false">IF($A190="","",MAX($D190-$E190,0))</f>
        <v>0</v>
      </c>
      <c r="G190" s="173" t="n">
        <f aca="false">IF($A190="","",MAX($E190-$D190,0))</f>
        <v>0</v>
      </c>
      <c r="H190" s="172" t="str">
        <f aca="false">IF($A190="","",IF($F190&gt;0,"Saldo Debit",IF($G190&gt;0,"Saldo Kredit","Zero")))</f>
        <v>Zero</v>
      </c>
      <c r="I190" s="172" t="str">
        <f aca="false">IF($A190="","",IFERROR(VLOOKUP($A190,PLANI_LLOGARIVE!$A$2:$I$500,9,FALSE()),""))</f>
        <v>Debit</v>
      </c>
      <c r="J190" s="101" t="str">
        <f aca="false">IF(A190="","",IF(OR(H190="Zero",I190="Debit/Credit"),"",IF(OR(AND(H190="Saldo Debit",I190="Debit"),AND(H190="Saldo Kredit",OR(I190="Credit",I190="Kredit"))),"","⚠️ JO NORMALE")))</f>
        <v/>
      </c>
    </row>
    <row r="191" customFormat="false" ht="12.75" hidden="false" customHeight="true" outlineLevel="0" collapsed="false">
      <c r="A191" s="174" t="str">
        <f aca="false">IF(AND(PLANI_LLOGARIVE!$A185&lt;&gt;"",PLANI_LLOGARIVE!$J185=TRUE()),PLANI_LLOGARIVE!$A185&amp;"","")</f>
        <v>686</v>
      </c>
      <c r="B191" s="174" t="str">
        <f aca="false">IF($A191="","",IFERROR(VLOOKUP($A191,PLANI_LLOGARIVE!$A$2:$I$500,2,FALSE()),""))</f>
        <v>Provizione për zhvlerësimin e aktiveve financiare</v>
      </c>
      <c r="C191" s="174" t="str">
        <f aca="false">IF($A191="","",IFERROR(VLOOKUP($A191,PLANI_LLOGARIVE!$A$2:$I$500,4,FALSE()),""))</f>
        <v>6</v>
      </c>
      <c r="D191" s="175" t="n">
        <f aca="false">IF($A191="","",SUMIFS(DITARI!$F$6:$F$550,DITARI!$D$6:$D$550,$A191))</f>
        <v>0</v>
      </c>
      <c r="E191" s="175" t="n">
        <f aca="false">IF($A191="","",SUMIFS(DITARI!$G$6:$G$550,DITARI!$D$6:$D$550,$A191))</f>
        <v>0</v>
      </c>
      <c r="F191" s="175" t="n">
        <f aca="false">IF($A191="","",MAX($D191-$E191,0))</f>
        <v>0</v>
      </c>
      <c r="G191" s="175" t="n">
        <f aca="false">IF($A191="","",MAX($E191-$D191,0))</f>
        <v>0</v>
      </c>
      <c r="H191" s="174" t="str">
        <f aca="false">IF($A191="","",IF($F191&gt;0,"Saldo Debit",IF($G191&gt;0,"Saldo Kredit","Zero")))</f>
        <v>Zero</v>
      </c>
      <c r="I191" s="174" t="str">
        <f aca="false">IF($A191="","",IFERROR(VLOOKUP($A191,PLANI_LLOGARIVE!$A$2:$I$500,9,FALSE()),""))</f>
        <v>Debit</v>
      </c>
      <c r="J191" s="101" t="str">
        <f aca="false">IF(A191="","",IF(OR(H191="Zero",I191="Debit/Credit"),"",IF(OR(AND(H191="Saldo Debit",I191="Debit"),AND(H191="Saldo Kredit",OR(I191="Credit",I191="Kredit"))),"","⚠️ JO NORMALE")))</f>
        <v/>
      </c>
    </row>
    <row r="192" customFormat="false" ht="12.75" hidden="false" customHeight="true" outlineLevel="0" collapsed="false">
      <c r="A192" s="172" t="str">
        <f aca="false">IF(AND(PLANI_LLOGARIVE!$A186&lt;&gt;"",PLANI_LLOGARIVE!$J186=TRUE()),PLANI_LLOGARIVE!$A186&amp;"","")</f>
        <v>687</v>
      </c>
      <c r="B192" s="172" t="str">
        <f aca="false">IF($A192="","",IFERROR(VLOOKUP($A192,PLANI_LLOGARIVE!$A$2:$I$500,2,FALSE()),""))</f>
        <v>Shpenzime të tjera nga rivlerësimi</v>
      </c>
      <c r="C192" s="172" t="str">
        <f aca="false">IF($A192="","",IFERROR(VLOOKUP($A192,PLANI_LLOGARIVE!$A$2:$I$500,4,FALSE()),""))</f>
        <v>6</v>
      </c>
      <c r="D192" s="173" t="n">
        <f aca="false">IF($A192="","",SUMIFS(DITARI!$F$6:$F$550,DITARI!$D$6:$D$550,$A192))</f>
        <v>0</v>
      </c>
      <c r="E192" s="173" t="n">
        <f aca="false">IF($A192="","",SUMIFS(DITARI!$G$6:$G$550,DITARI!$D$6:$D$550,$A192))</f>
        <v>0</v>
      </c>
      <c r="F192" s="173" t="n">
        <f aca="false">IF($A192="","",MAX($D192-$E192,0))</f>
        <v>0</v>
      </c>
      <c r="G192" s="173" t="n">
        <f aca="false">IF($A192="","",MAX($E192-$D192,0))</f>
        <v>0</v>
      </c>
      <c r="H192" s="172" t="str">
        <f aca="false">IF($A192="","",IF($F192&gt;0,"Saldo Debit",IF($G192&gt;0,"Saldo Kredit","Zero")))</f>
        <v>Zero</v>
      </c>
      <c r="I192" s="172" t="str">
        <f aca="false">IF($A192="","",IFERROR(VLOOKUP($A192,PLANI_LLOGARIVE!$A$2:$I$500,9,FALSE()),""))</f>
        <v>Debit</v>
      </c>
      <c r="J192" s="101" t="str">
        <f aca="false">IF(A192="","",IF(OR(H192="Zero",I192="Debit/Credit"),"",IF(OR(AND(H192="Saldo Debit",I192="Debit"),AND(H192="Saldo Kredit",OR(I192="Credit",I192="Kredit"))),"","⚠️ JO NORMALE")))</f>
        <v/>
      </c>
    </row>
    <row r="193" customFormat="false" ht="12.75" hidden="false" customHeight="true" outlineLevel="0" collapsed="false">
      <c r="A193" s="174" t="str">
        <f aca="false">IF(AND(PLANI_LLOGARIVE!$A187&lt;&gt;"",PLANI_LLOGARIVE!$J187=TRUE()),PLANI_LLOGARIVE!$A187&amp;"","")</f>
        <v/>
      </c>
      <c r="B193" s="174" t="str">
        <f aca="false">IF($A193="","",IFERROR(VLOOKUP($A193,PLANI_LLOGARIVE!$A$2:$I$500,2,FALSE()),""))</f>
        <v/>
      </c>
      <c r="C193" s="174" t="str">
        <f aca="false">IF($A193="","",IFERROR(VLOOKUP($A193,PLANI_LLOGARIVE!$A$2:$I$500,4,FALSE()),""))</f>
        <v/>
      </c>
      <c r="D193" s="175" t="str">
        <f aca="false">IF($A193="","",SUMIFS(DITARI!$F$6:$F$550,DITARI!$D$6:$D$550,$A193))</f>
        <v/>
      </c>
      <c r="E193" s="175" t="str">
        <f aca="false">IF($A193="","",SUMIFS(DITARI!$G$6:$G$550,DITARI!$D$6:$D$550,$A193))</f>
        <v/>
      </c>
      <c r="F193" s="175" t="str">
        <f aca="false">IF($A193="","",MAX($D193-$E193,0))</f>
        <v/>
      </c>
      <c r="G193" s="175" t="str">
        <f aca="false">IF($A193="","",MAX($E193-$D193,0))</f>
        <v/>
      </c>
      <c r="H193" s="174" t="str">
        <f aca="false">IF($A193="","",IF($F193&gt;0,"Saldo Debit",IF($G193&gt;0,"Saldo Kredit","Zero")))</f>
        <v/>
      </c>
      <c r="I193" s="174" t="str">
        <f aca="false">IF($A193="","",IFERROR(VLOOKUP($A193,PLANI_LLOGARIVE!$A$2:$I$500,9,FALSE()),""))</f>
        <v/>
      </c>
      <c r="J193" s="101" t="str">
        <f aca="false">IF(A193="","",IF(OR(H193="Zero",I193="Debit/Credit"),"",IF(OR(AND(H193="Saldo Debit",I193="Debit"),AND(H193="Saldo Kredit",OR(I193="Credit",I193="Kredit"))),"","⚠️ JO NORMALE")))</f>
        <v/>
      </c>
    </row>
    <row r="194" customFormat="false" ht="12.75" hidden="false" customHeight="true" outlineLevel="0" collapsed="false">
      <c r="A194" s="172" t="str">
        <f aca="false">IF(AND(PLANI_LLOGARIVE!$A188&lt;&gt;"",PLANI_LLOGARIVE!$J188=TRUE()),PLANI_LLOGARIVE!$A188&amp;"","")</f>
        <v>694</v>
      </c>
      <c r="B194" s="172" t="str">
        <f aca="false">IF($A194="","",IFERROR(VLOOKUP($A194,PLANI_LLOGARIVE!$A$2:$I$500,2,FALSE()),""))</f>
        <v>Tatime mbi fitimet</v>
      </c>
      <c r="C194" s="172" t="str">
        <f aca="false">IF($A194="","",IFERROR(VLOOKUP($A194,PLANI_LLOGARIVE!$A$2:$I$500,4,FALSE()),""))</f>
        <v>6</v>
      </c>
      <c r="D194" s="173" t="n">
        <f aca="false">IF($A194="","",SUMIFS(DITARI!$F$6:$F$550,DITARI!$D$6:$D$550,$A194))</f>
        <v>0</v>
      </c>
      <c r="E194" s="173" t="n">
        <f aca="false">IF($A194="","",SUMIFS(DITARI!$G$6:$G$550,DITARI!$D$6:$D$550,$A194))</f>
        <v>0</v>
      </c>
      <c r="F194" s="173" t="n">
        <f aca="false">IF($A194="","",MAX($D194-$E194,0))</f>
        <v>0</v>
      </c>
      <c r="G194" s="173" t="n">
        <f aca="false">IF($A194="","",MAX($E194-$D194,0))</f>
        <v>0</v>
      </c>
      <c r="H194" s="172" t="str">
        <f aca="false">IF($A194="","",IF($F194&gt;0,"Saldo Debit",IF($G194&gt;0,"Saldo Kredit","Zero")))</f>
        <v>Zero</v>
      </c>
      <c r="I194" s="172" t="str">
        <f aca="false">IF($A194="","",IFERROR(VLOOKUP($A194,PLANI_LLOGARIVE!$A$2:$I$500,9,FALSE()),""))</f>
        <v>Debit</v>
      </c>
      <c r="J194" s="101" t="str">
        <f aca="false">IF(A194="","",IF(OR(H194="Zero",I194="Debit/Credit"),"",IF(OR(AND(H194="Saldo Debit",I194="Debit"),AND(H194="Saldo Kredit",OR(I194="Credit",I194="Kredit"))),"","⚠️ JO NORMALE")))</f>
        <v/>
      </c>
    </row>
    <row r="195" customFormat="false" ht="12.75" hidden="false" customHeight="true" outlineLevel="0" collapsed="false">
      <c r="A195" s="174" t="str">
        <f aca="false">IF(AND(PLANI_LLOGARIVE!$A189&lt;&gt;"",PLANI_LLOGARIVE!$J189=TRUE()),PLANI_LLOGARIVE!$A189&amp;"","")</f>
        <v/>
      </c>
      <c r="B195" s="174" t="str">
        <f aca="false">IF($A195="","",IFERROR(VLOOKUP($A195,PLANI_LLOGARIVE!$A$2:$I$500,2,FALSE()),""))</f>
        <v/>
      </c>
      <c r="C195" s="174" t="str">
        <f aca="false">IF($A195="","",IFERROR(VLOOKUP($A195,PLANI_LLOGARIVE!$A$2:$I$500,4,FALSE()),""))</f>
        <v/>
      </c>
      <c r="D195" s="175" t="str">
        <f aca="false">IF($A195="","",SUMIFS(DITARI!$F$6:$F$550,DITARI!$D$6:$D$550,$A195))</f>
        <v/>
      </c>
      <c r="E195" s="175" t="str">
        <f aca="false">IF($A195="","",SUMIFS(DITARI!$G$6:$G$550,DITARI!$D$6:$D$550,$A195))</f>
        <v/>
      </c>
      <c r="F195" s="175" t="str">
        <f aca="false">IF($A195="","",MAX($D195-$E195,0))</f>
        <v/>
      </c>
      <c r="G195" s="175" t="str">
        <f aca="false">IF($A195="","",MAX($E195-$D195,0))</f>
        <v/>
      </c>
      <c r="H195" s="174" t="str">
        <f aca="false">IF($A195="","",IF($F195&gt;0,"Saldo Debit",IF($G195&gt;0,"Saldo Kredit","Zero")))</f>
        <v/>
      </c>
      <c r="I195" s="174" t="str">
        <f aca="false">IF($A195="","",IFERROR(VLOOKUP($A195,PLANI_LLOGARIVE!$A$2:$I$500,9,FALSE()),""))</f>
        <v/>
      </c>
      <c r="J195" s="101" t="str">
        <f aca="false">IF(A195="","",IF(OR(H195="Zero",I195="Debit/Credit"),"",IF(OR(AND(H195="Saldo Debit",I195="Debit"),AND(H195="Saldo Kredit",OR(I195="Credit",I195="Kredit"))),"","⚠️ JO NORMALE")))</f>
        <v/>
      </c>
    </row>
    <row r="196" customFormat="false" ht="12.75" hidden="false" customHeight="true" outlineLevel="0" collapsed="false">
      <c r="A196" s="172" t="str">
        <f aca="false">IF(AND(PLANI_LLOGARIVE!$A190&lt;&gt;"",PLANI_LLOGARIVE!$J190=TRUE()),PLANI_LLOGARIVE!$A190&amp;"","")</f>
        <v/>
      </c>
      <c r="B196" s="172" t="str">
        <f aca="false">IF($A196="","",IFERROR(VLOOKUP($A196,PLANI_LLOGARIVE!$A$2:$I$500,2,FALSE()),""))</f>
        <v/>
      </c>
      <c r="C196" s="172" t="str">
        <f aca="false">IF($A196="","",IFERROR(VLOOKUP($A196,PLANI_LLOGARIVE!$A$2:$I$500,4,FALSE()),""))</f>
        <v/>
      </c>
      <c r="D196" s="173" t="str">
        <f aca="false">IF($A196="","",SUMIFS(DITARI!$F$6:$F$550,DITARI!$D$6:$D$550,$A196))</f>
        <v/>
      </c>
      <c r="E196" s="173" t="str">
        <f aca="false">IF($A196="","",SUMIFS(DITARI!$G$6:$G$550,DITARI!$D$6:$D$550,$A196))</f>
        <v/>
      </c>
      <c r="F196" s="173" t="str">
        <f aca="false">IF($A196="","",MAX($D196-$E196,0))</f>
        <v/>
      </c>
      <c r="G196" s="173" t="str">
        <f aca="false">IF($A196="","",MAX($E196-$D196,0))</f>
        <v/>
      </c>
      <c r="H196" s="172" t="str">
        <f aca="false">IF($A196="","",IF($F196&gt;0,"Saldo Debit",IF($G196&gt;0,"Saldo Kredit","Zero")))</f>
        <v/>
      </c>
      <c r="I196" s="172" t="str">
        <f aca="false">IF($A196="","",IFERROR(VLOOKUP($A196,PLANI_LLOGARIVE!$A$2:$I$500,9,FALSE()),""))</f>
        <v/>
      </c>
      <c r="J196" s="101" t="str">
        <f aca="false">IF(A196="","",IF(OR(H196="Zero",I196="Debit/Credit"),"",IF(OR(AND(H196="Saldo Debit",I196="Debit"),AND(H196="Saldo Kredit",OR(I196="Credit",I196="Kredit"))),"","⚠️ JO NORMALE")))</f>
        <v/>
      </c>
    </row>
    <row r="197" customFormat="false" ht="12.75" hidden="false" customHeight="true" outlineLevel="0" collapsed="false">
      <c r="A197" s="174" t="str">
        <f aca="false">IF(AND(PLANI_LLOGARIVE!$A191&lt;&gt;"",PLANI_LLOGARIVE!$J191=TRUE()),PLANI_LLOGARIVE!$A191&amp;"","")</f>
        <v>701</v>
      </c>
      <c r="B197" s="174" t="str">
        <f aca="false">IF($A197="","",IFERROR(VLOOKUP($A197,PLANI_LLOGARIVE!$A$2:$I$500,2,FALSE()),""))</f>
        <v>Shitje e produkteve të gatshme</v>
      </c>
      <c r="C197" s="174" t="str">
        <f aca="false">IF($A197="","",IFERROR(VLOOKUP($A197,PLANI_LLOGARIVE!$A$2:$I$500,4,FALSE()),""))</f>
        <v>7</v>
      </c>
      <c r="D197" s="175" t="n">
        <f aca="false">IF($A197="","",SUMIFS(DITARI!$F$6:$F$550,DITARI!$D$6:$D$550,$A197))</f>
        <v>0</v>
      </c>
      <c r="E197" s="175" t="n">
        <f aca="false">IF($A197="","",SUMIFS(DITARI!$G$6:$G$550,DITARI!$D$6:$D$550,$A197))</f>
        <v>0</v>
      </c>
      <c r="F197" s="175" t="n">
        <f aca="false">IF($A197="","",MAX($D197-$E197,0))</f>
        <v>0</v>
      </c>
      <c r="G197" s="175" t="n">
        <f aca="false">IF($A197="","",MAX($E197-$D197,0))</f>
        <v>0</v>
      </c>
      <c r="H197" s="174" t="str">
        <f aca="false">IF($A197="","",IF($F197&gt;0,"Saldo Debit",IF($G197&gt;0,"Saldo Kredit","Zero")))</f>
        <v>Zero</v>
      </c>
      <c r="I197" s="174" t="str">
        <f aca="false">IF($A197="","",IFERROR(VLOOKUP($A197,PLANI_LLOGARIVE!$A$2:$I$500,9,FALSE()),""))</f>
        <v>Credit</v>
      </c>
      <c r="J197" s="101" t="str">
        <f aca="false">IF(A197="","",IF(OR(H197="Zero",I197="Debit/Credit"),"",IF(OR(AND(H197="Saldo Debit",I197="Debit"),AND(H197="Saldo Kredit",OR(I197="Credit",I197="Kredit"))),"","⚠️ JO NORMALE")))</f>
        <v/>
      </c>
    </row>
    <row r="198" customFormat="false" ht="12.75" hidden="false" customHeight="true" outlineLevel="0" collapsed="false">
      <c r="A198" s="172" t="str">
        <f aca="false">IF(AND(PLANI_LLOGARIVE!$A192&lt;&gt;"",PLANI_LLOGARIVE!$J192=TRUE()),PLANI_LLOGARIVE!$A192&amp;"","")</f>
        <v>702</v>
      </c>
      <c r="B198" s="172" t="str">
        <f aca="false">IF($A198="","",IFERROR(VLOOKUP($A198,PLANI_LLOGARIVE!$A$2:$I$500,2,FALSE()),""))</f>
        <v>Shitje e produkteve të ndërmjetme</v>
      </c>
      <c r="C198" s="172" t="str">
        <f aca="false">IF($A198="","",IFERROR(VLOOKUP($A198,PLANI_LLOGARIVE!$A$2:$I$500,4,FALSE()),""))</f>
        <v>7</v>
      </c>
      <c r="D198" s="173" t="n">
        <f aca="false">IF($A198="","",SUMIFS(DITARI!$F$6:$F$550,DITARI!$D$6:$D$550,$A198))</f>
        <v>0</v>
      </c>
      <c r="E198" s="173" t="n">
        <f aca="false">IF($A198="","",SUMIFS(DITARI!$G$6:$G$550,DITARI!$D$6:$D$550,$A198))</f>
        <v>0</v>
      </c>
      <c r="F198" s="173" t="n">
        <f aca="false">IF($A198="","",MAX($D198-$E198,0))</f>
        <v>0</v>
      </c>
      <c r="G198" s="173" t="n">
        <f aca="false">IF($A198="","",MAX($E198-$D198,0))</f>
        <v>0</v>
      </c>
      <c r="H198" s="172" t="str">
        <f aca="false">IF($A198="","",IF($F198&gt;0,"Saldo Debit",IF($G198&gt;0,"Saldo Kredit","Zero")))</f>
        <v>Zero</v>
      </c>
      <c r="I198" s="172" t="str">
        <f aca="false">IF($A198="","",IFERROR(VLOOKUP($A198,PLANI_LLOGARIVE!$A$2:$I$500,9,FALSE()),""))</f>
        <v>Credit</v>
      </c>
      <c r="J198" s="101" t="str">
        <f aca="false">IF(A198="","",IF(OR(H198="Zero",I198="Debit/Credit"),"",IF(OR(AND(H198="Saldo Debit",I198="Debit"),AND(H198="Saldo Kredit",OR(I198="Credit",I198="Kredit"))),"","⚠️ JO NORMALE")))</f>
        <v/>
      </c>
    </row>
    <row r="199" customFormat="false" ht="12.75" hidden="false" customHeight="true" outlineLevel="0" collapsed="false">
      <c r="A199" s="174" t="str">
        <f aca="false">IF(AND(PLANI_LLOGARIVE!$A193&lt;&gt;"",PLANI_LLOGARIVE!$J193=TRUE()),PLANI_LLOGARIVE!$A193&amp;"","")</f>
        <v>703</v>
      </c>
      <c r="B199" s="174" t="str">
        <f aca="false">IF($A199="","",IFERROR(VLOOKUP($A199,PLANI_LLOGARIVE!$A$2:$I$500,2,FALSE()),""))</f>
        <v>Shitje e nënprodukteve</v>
      </c>
      <c r="C199" s="174" t="str">
        <f aca="false">IF($A199="","",IFERROR(VLOOKUP($A199,PLANI_LLOGARIVE!$A$2:$I$500,4,FALSE()),""))</f>
        <v>7</v>
      </c>
      <c r="D199" s="175" t="n">
        <f aca="false">IF($A199="","",SUMIFS(DITARI!$F$6:$F$550,DITARI!$D$6:$D$550,$A199))</f>
        <v>0</v>
      </c>
      <c r="E199" s="175" t="n">
        <f aca="false">IF($A199="","",SUMIFS(DITARI!$G$6:$G$550,DITARI!$D$6:$D$550,$A199))</f>
        <v>0</v>
      </c>
      <c r="F199" s="175" t="n">
        <f aca="false">IF($A199="","",MAX($D199-$E199,0))</f>
        <v>0</v>
      </c>
      <c r="G199" s="175" t="n">
        <f aca="false">IF($A199="","",MAX($E199-$D199,0))</f>
        <v>0</v>
      </c>
      <c r="H199" s="174" t="str">
        <f aca="false">IF($A199="","",IF($F199&gt;0,"Saldo Debit",IF($G199&gt;0,"Saldo Kredit","Zero")))</f>
        <v>Zero</v>
      </c>
      <c r="I199" s="174" t="str">
        <f aca="false">IF($A199="","",IFERROR(VLOOKUP($A199,PLANI_LLOGARIVE!$A$2:$I$500,9,FALSE()),""))</f>
        <v>Credit</v>
      </c>
      <c r="J199" s="101" t="str">
        <f aca="false">IF(A199="","",IF(OR(H199="Zero",I199="Debit/Credit"),"",IF(OR(AND(H199="Saldo Debit",I199="Debit"),AND(H199="Saldo Kredit",OR(I199="Credit",I199="Kredit"))),"","⚠️ JO NORMALE")))</f>
        <v/>
      </c>
    </row>
    <row r="200" customFormat="false" ht="12.75" hidden="false" customHeight="true" outlineLevel="0" collapsed="false">
      <c r="A200" s="172" t="str">
        <f aca="false">IF(AND(PLANI_LLOGARIVE!$A194&lt;&gt;"",PLANI_LLOGARIVE!$J194=TRUE()),PLANI_LLOGARIVE!$A194&amp;"","")</f>
        <v>704</v>
      </c>
      <c r="B200" s="172" t="str">
        <f aca="false">IF($A200="","",IFERROR(VLOOKUP($A200,PLANI_LLOGARIVE!$A$2:$I$500,2,FALSE()),""))</f>
        <v>Shitje punime dhe shërbime</v>
      </c>
      <c r="C200" s="172" t="str">
        <f aca="false">IF($A200="","",IFERROR(VLOOKUP($A200,PLANI_LLOGARIVE!$A$2:$I$500,4,FALSE()),""))</f>
        <v>7</v>
      </c>
      <c r="D200" s="173" t="n">
        <f aca="false">IF($A200="","",SUMIFS(DITARI!$F$6:$F$550,DITARI!$D$6:$D$550,$A200))</f>
        <v>0</v>
      </c>
      <c r="E200" s="173" t="n">
        <f aca="false">IF($A200="","",SUMIFS(DITARI!$G$6:$G$550,DITARI!$D$6:$D$550,$A200))</f>
        <v>0</v>
      </c>
      <c r="F200" s="173" t="n">
        <f aca="false">IF($A200="","",MAX($D200-$E200,0))</f>
        <v>0</v>
      </c>
      <c r="G200" s="173" t="n">
        <f aca="false">IF($A200="","",MAX($E200-$D200,0))</f>
        <v>0</v>
      </c>
      <c r="H200" s="172" t="str">
        <f aca="false">IF($A200="","",IF($F200&gt;0,"Saldo Debit",IF($G200&gt;0,"Saldo Kredit","Zero")))</f>
        <v>Zero</v>
      </c>
      <c r="I200" s="172" t="str">
        <f aca="false">IF($A200="","",IFERROR(VLOOKUP($A200,PLANI_LLOGARIVE!$A$2:$I$500,9,FALSE()),""))</f>
        <v>Credit</v>
      </c>
      <c r="J200" s="101" t="str">
        <f aca="false">IF(A200="","",IF(OR(H200="Zero",I200="Debit/Credit"),"",IF(OR(AND(H200="Saldo Debit",I200="Debit"),AND(H200="Saldo Kredit",OR(I200="Credit",I200="Kredit"))),"","⚠️ JO NORMALE")))</f>
        <v/>
      </c>
    </row>
    <row r="201" customFormat="false" ht="12.75" hidden="false" customHeight="true" outlineLevel="0" collapsed="false">
      <c r="A201" s="174" t="str">
        <f aca="false">IF(AND(PLANI_LLOGARIVE!$A195&lt;&gt;"",PLANI_LLOGARIVE!$J195=TRUE()),PLANI_LLOGARIVE!$A195&amp;"","")</f>
        <v>705</v>
      </c>
      <c r="B201" s="174" t="str">
        <f aca="false">IF($A201="","",IFERROR(VLOOKUP($A201,PLANI_LLOGARIVE!$A$2:$I$500,2,FALSE()),""))</f>
        <v>Shitje mallrash</v>
      </c>
      <c r="C201" s="174" t="str">
        <f aca="false">IF($A201="","",IFERROR(VLOOKUP($A201,PLANI_LLOGARIVE!$A$2:$I$500,4,FALSE()),""))</f>
        <v>7</v>
      </c>
      <c r="D201" s="175" t="n">
        <f aca="false">IF($A201="","",SUMIFS(DITARI!$F$6:$F$550,DITARI!$D$6:$D$550,$A201))</f>
        <v>0</v>
      </c>
      <c r="E201" s="175" t="n">
        <f aca="false">IF($A201="","",SUMIFS(DITARI!$G$6:$G$550,DITARI!$D$6:$D$550,$A201))</f>
        <v>0</v>
      </c>
      <c r="F201" s="175" t="n">
        <f aca="false">IF($A201="","",MAX($D201-$E201,0))</f>
        <v>0</v>
      </c>
      <c r="G201" s="175" t="n">
        <f aca="false">IF($A201="","",MAX($E201-$D201,0))</f>
        <v>0</v>
      </c>
      <c r="H201" s="174" t="str">
        <f aca="false">IF($A201="","",IF($F201&gt;0,"Saldo Debit",IF($G201&gt;0,"Saldo Kredit","Zero")))</f>
        <v>Zero</v>
      </c>
      <c r="I201" s="174" t="str">
        <f aca="false">IF($A201="","",IFERROR(VLOOKUP($A201,PLANI_LLOGARIVE!$A$2:$I$500,9,FALSE()),""))</f>
        <v>Credit</v>
      </c>
      <c r="J201" s="101" t="str">
        <f aca="false">IF(A201="","",IF(OR(H201="Zero",I201="Debit/Credit"),"",IF(OR(AND(H201="Saldo Debit",I201="Debit"),AND(H201="Saldo Kredit",OR(I201="Credit",I201="Kredit"))),"","⚠️ JO NORMALE")))</f>
        <v/>
      </c>
    </row>
    <row r="202" customFormat="false" ht="12.75" hidden="false" customHeight="true" outlineLevel="0" collapsed="false">
      <c r="A202" s="172" t="str">
        <f aca="false">IF(AND(PLANI_LLOGARIVE!$A196&lt;&gt;"",PLANI_LLOGARIVE!$J196=TRUE()),PLANI_LLOGARIVE!$A196&amp;"","")</f>
        <v>706</v>
      </c>
      <c r="B202" s="172" t="str">
        <f aca="false">IF($A202="","",IFERROR(VLOOKUP($A202,PLANI_LLOGARIVE!$A$2:$I$500,2,FALSE()),""))</f>
        <v>Të ardhura nga komisionet bankare</v>
      </c>
      <c r="C202" s="172" t="str">
        <f aca="false">IF($A202="","",IFERROR(VLOOKUP($A202,PLANI_LLOGARIVE!$A$2:$I$500,4,FALSE()),""))</f>
        <v>7</v>
      </c>
      <c r="D202" s="173" t="n">
        <f aca="false">IF($A202="","",SUMIFS(DITARI!$F$6:$F$550,DITARI!$D$6:$D$550,$A202))</f>
        <v>0</v>
      </c>
      <c r="E202" s="173" t="n">
        <f aca="false">IF($A202="","",SUMIFS(DITARI!$G$6:$G$550,DITARI!$D$6:$D$550,$A202))</f>
        <v>0</v>
      </c>
      <c r="F202" s="173" t="n">
        <f aca="false">IF($A202="","",MAX($D202-$E202,0))</f>
        <v>0</v>
      </c>
      <c r="G202" s="173" t="n">
        <f aca="false">IF($A202="","",MAX($E202-$D202,0))</f>
        <v>0</v>
      </c>
      <c r="H202" s="172" t="str">
        <f aca="false">IF($A202="","",IF($F202&gt;0,"Saldo Debit",IF($G202&gt;0,"Saldo Kredit","Zero")))</f>
        <v>Zero</v>
      </c>
      <c r="I202" s="172" t="str">
        <f aca="false">IF($A202="","",IFERROR(VLOOKUP($A202,PLANI_LLOGARIVE!$A$2:$I$500,9,FALSE()),""))</f>
        <v>Credit</v>
      </c>
      <c r="J202" s="101" t="str">
        <f aca="false">IF(A202="","",IF(OR(H202="Zero",I202="Debit/Credit"),"",IF(OR(AND(H202="Saldo Debit",I202="Debit"),AND(H202="Saldo Kredit",OR(I202="Credit",I202="Kredit"))),"","⚠️ JO NORMALE")))</f>
        <v/>
      </c>
    </row>
    <row r="203" customFormat="false" ht="12.75" hidden="false" customHeight="true" outlineLevel="0" collapsed="false">
      <c r="A203" s="174" t="str">
        <f aca="false">IF(AND(PLANI_LLOGARIVE!$A197&lt;&gt;"",PLANI_LLOGARIVE!$J197=TRUE()),PLANI_LLOGARIVE!$A197&amp;"","")</f>
        <v>707</v>
      </c>
      <c r="B203" s="174" t="str">
        <f aca="false">IF($A203="","",IFERROR(VLOOKUP($A203,PLANI_LLOGARIVE!$A$2:$I$500,2,FALSE()),""))</f>
        <v>Shitje materiale dhe furnitura</v>
      </c>
      <c r="C203" s="174" t="str">
        <f aca="false">IF($A203="","",IFERROR(VLOOKUP($A203,PLANI_LLOGARIVE!$A$2:$I$500,4,FALSE()),""))</f>
        <v>7</v>
      </c>
      <c r="D203" s="175" t="n">
        <f aca="false">IF($A203="","",SUMIFS(DITARI!$F$6:$F$550,DITARI!$D$6:$D$550,$A203))</f>
        <v>0</v>
      </c>
      <c r="E203" s="175" t="n">
        <f aca="false">IF($A203="","",SUMIFS(DITARI!$G$6:$G$550,DITARI!$D$6:$D$550,$A203))</f>
        <v>0</v>
      </c>
      <c r="F203" s="175" t="n">
        <f aca="false">IF($A203="","",MAX($D203-$E203,0))</f>
        <v>0</v>
      </c>
      <c r="G203" s="175" t="n">
        <f aca="false">IF($A203="","",MAX($E203-$D203,0))</f>
        <v>0</v>
      </c>
      <c r="H203" s="174" t="str">
        <f aca="false">IF($A203="","",IF($F203&gt;0,"Saldo Debit",IF($G203&gt;0,"Saldo Kredit","Zero")))</f>
        <v>Zero</v>
      </c>
      <c r="I203" s="174" t="str">
        <f aca="false">IF($A203="","",IFERROR(VLOOKUP($A203,PLANI_LLOGARIVE!$A$2:$I$500,9,FALSE()),""))</f>
        <v>Credit</v>
      </c>
      <c r="J203" s="101" t="str">
        <f aca="false">IF(A203="","",IF(OR(H203="Zero",I203="Debit/Credit"),"",IF(OR(AND(H203="Saldo Debit",I203="Debit"),AND(H203="Saldo Kredit",OR(I203="Credit",I203="Kredit"))),"","⚠️ JO NORMALE")))</f>
        <v/>
      </c>
    </row>
    <row r="204" customFormat="false" ht="12.75" hidden="false" customHeight="true" outlineLevel="0" collapsed="false">
      <c r="A204" s="172" t="str">
        <f aca="false">IF(AND(PLANI_LLOGARIVE!$A198&lt;&gt;"",PLANI_LLOGARIVE!$J198=TRUE()),PLANI_LLOGARIVE!$A198&amp;"","")</f>
        <v>708</v>
      </c>
      <c r="B204" s="172" t="str">
        <f aca="false">IF($A204="","",IFERROR(VLOOKUP($A204,PLANI_LLOGARIVE!$A$2:$I$500,2,FALSE()),""))</f>
        <v>Të ardhura nga shitje të tjera</v>
      </c>
      <c r="C204" s="172" t="str">
        <f aca="false">IF($A204="","",IFERROR(VLOOKUP($A204,PLANI_LLOGARIVE!$A$2:$I$500,4,FALSE()),""))</f>
        <v>7</v>
      </c>
      <c r="D204" s="173" t="n">
        <f aca="false">IF($A204="","",SUMIFS(DITARI!$F$6:$F$550,DITARI!$D$6:$D$550,$A204))</f>
        <v>0</v>
      </c>
      <c r="E204" s="173" t="n">
        <f aca="false">IF($A204="","",SUMIFS(DITARI!$G$6:$G$550,DITARI!$D$6:$D$550,$A204))</f>
        <v>0</v>
      </c>
      <c r="F204" s="173" t="n">
        <f aca="false">IF($A204="","",MAX($D204-$E204,0))</f>
        <v>0</v>
      </c>
      <c r="G204" s="173" t="n">
        <f aca="false">IF($A204="","",MAX($E204-$D204,0))</f>
        <v>0</v>
      </c>
      <c r="H204" s="172" t="str">
        <f aca="false">IF($A204="","",IF($F204&gt;0,"Saldo Debit",IF($G204&gt;0,"Saldo Kredit","Zero")))</f>
        <v>Zero</v>
      </c>
      <c r="I204" s="172" t="str">
        <f aca="false">IF($A204="","",IFERROR(VLOOKUP($A204,PLANI_LLOGARIVE!$A$2:$I$500,9,FALSE()),""))</f>
        <v>Credit</v>
      </c>
      <c r="J204" s="101" t="str">
        <f aca="false">IF(A204="","",IF(OR(H204="Zero",I204="Debit/Credit"),"",IF(OR(AND(H204="Saldo Debit",I204="Debit"),AND(H204="Saldo Kredit",OR(I204="Credit",I204="Kredit"))),"","⚠️ JO NORMALE")))</f>
        <v/>
      </c>
    </row>
    <row r="205" customFormat="false" ht="12.75" hidden="false" customHeight="true" outlineLevel="0" collapsed="false">
      <c r="A205" s="174" t="str">
        <f aca="false">IF(AND(PLANI_LLOGARIVE!$A199&lt;&gt;"",PLANI_LLOGARIVE!$J199=TRUE()),PLANI_LLOGARIVE!$A199&amp;"","")</f>
        <v/>
      </c>
      <c r="B205" s="174" t="str">
        <f aca="false">IF($A205="","",IFERROR(VLOOKUP($A205,PLANI_LLOGARIVE!$A$2:$I$500,2,FALSE()),""))</f>
        <v/>
      </c>
      <c r="C205" s="174" t="str">
        <f aca="false">IF($A205="","",IFERROR(VLOOKUP($A205,PLANI_LLOGARIVE!$A$2:$I$500,4,FALSE()),""))</f>
        <v/>
      </c>
      <c r="D205" s="175" t="str">
        <f aca="false">IF($A205="","",SUMIFS(DITARI!$F$6:$F$550,DITARI!$D$6:$D$550,$A205))</f>
        <v/>
      </c>
      <c r="E205" s="175" t="str">
        <f aca="false">IF($A205="","",SUMIFS(DITARI!$G$6:$G$550,DITARI!$D$6:$D$550,$A205))</f>
        <v/>
      </c>
      <c r="F205" s="175" t="str">
        <f aca="false">IF($A205="","",MAX($D205-$E205,0))</f>
        <v/>
      </c>
      <c r="G205" s="175" t="str">
        <f aca="false">IF($A205="","",MAX($E205-$D205,0))</f>
        <v/>
      </c>
      <c r="H205" s="174" t="str">
        <f aca="false">IF($A205="","",IF($F205&gt;0,"Saldo Debit",IF($G205&gt;0,"Saldo Kredit","Zero")))</f>
        <v/>
      </c>
      <c r="I205" s="174" t="str">
        <f aca="false">IF($A205="","",IFERROR(VLOOKUP($A205,PLANI_LLOGARIVE!$A$2:$I$500,9,FALSE()),""))</f>
        <v/>
      </c>
      <c r="J205" s="101" t="str">
        <f aca="false">IF(A205="","",IF(OR(H205="Zero",I205="Debit/Credit"),"",IF(OR(AND(H205="Saldo Debit",I205="Debit"),AND(H205="Saldo Kredit",OR(I205="Credit",I205="Kredit"))),"","⚠️ JO NORMALE")))</f>
        <v/>
      </c>
    </row>
    <row r="206" customFormat="false" ht="12.75" hidden="false" customHeight="true" outlineLevel="0" collapsed="false">
      <c r="A206" s="172" t="str">
        <f aca="false">IF(AND(PLANI_LLOGARIVE!$A200&lt;&gt;"",PLANI_LLOGARIVE!$J200=TRUE()),PLANI_LLOGARIVE!$A200&amp;"","")</f>
        <v>713</v>
      </c>
      <c r="B206" s="172" t="str">
        <f aca="false">IF($A206="","",IFERROR(VLOOKUP($A206,PLANI_LLOGARIVE!$A$2:$I$500,2,FALSE()),""))</f>
        <v>Ndryshim gjendje prodhim në proces</v>
      </c>
      <c r="C206" s="172" t="str">
        <f aca="false">IF($A206="","",IFERROR(VLOOKUP($A206,PLANI_LLOGARIVE!$A$2:$I$500,4,FALSE()),""))</f>
        <v>7</v>
      </c>
      <c r="D206" s="173" t="n">
        <f aca="false">IF($A206="","",SUMIFS(DITARI!$F$6:$F$550,DITARI!$D$6:$D$550,$A206))</f>
        <v>0</v>
      </c>
      <c r="E206" s="173" t="n">
        <f aca="false">IF($A206="","",SUMIFS(DITARI!$G$6:$G$550,DITARI!$D$6:$D$550,$A206))</f>
        <v>0</v>
      </c>
      <c r="F206" s="173" t="n">
        <f aca="false">IF($A206="","",MAX($D206-$E206,0))</f>
        <v>0</v>
      </c>
      <c r="G206" s="173" t="n">
        <f aca="false">IF($A206="","",MAX($E206-$D206,0))</f>
        <v>0</v>
      </c>
      <c r="H206" s="172" t="str">
        <f aca="false">IF($A206="","",IF($F206&gt;0,"Saldo Debit",IF($G206&gt;0,"Saldo Kredit","Zero")))</f>
        <v>Zero</v>
      </c>
      <c r="I206" s="172" t="str">
        <f aca="false">IF($A206="","",IFERROR(VLOOKUP($A206,PLANI_LLOGARIVE!$A$2:$I$500,9,FALSE()),""))</f>
        <v>Credit/Debit</v>
      </c>
      <c r="J206" s="101" t="str">
        <f aca="false">IF(A206="","",IF(OR(H206="Zero",I206="Debit/Credit"),"",IF(OR(AND(H206="Saldo Debit",I206="Debit"),AND(H206="Saldo Kredit",OR(I206="Credit",I206="Kredit"))),"","⚠️ JO NORMALE")))</f>
        <v/>
      </c>
    </row>
    <row r="207" customFormat="false" ht="12.75" hidden="false" customHeight="true" outlineLevel="0" collapsed="false">
      <c r="A207" s="174" t="str">
        <f aca="false">IF(AND(PLANI_LLOGARIVE!$A201&lt;&gt;"",PLANI_LLOGARIVE!$J201=TRUE()),PLANI_LLOGARIVE!$A201&amp;"","")</f>
        <v>714</v>
      </c>
      <c r="B207" s="174" t="str">
        <f aca="false">IF($A207="","",IFERROR(VLOOKUP($A207,PLANI_LLOGARIVE!$A$2:$I$500,2,FALSE()),""))</f>
        <v>Ndryshim gjendje produkti</v>
      </c>
      <c r="C207" s="174" t="str">
        <f aca="false">IF($A207="","",IFERROR(VLOOKUP($A207,PLANI_LLOGARIVE!$A$2:$I$500,4,FALSE()),""))</f>
        <v>7</v>
      </c>
      <c r="D207" s="175" t="n">
        <f aca="false">IF($A207="","",SUMIFS(DITARI!$F$6:$F$550,DITARI!$D$6:$D$550,$A207))</f>
        <v>0</v>
      </c>
      <c r="E207" s="175" t="n">
        <f aca="false">IF($A207="","",SUMIFS(DITARI!$G$6:$G$550,DITARI!$D$6:$D$550,$A207))</f>
        <v>0</v>
      </c>
      <c r="F207" s="175" t="n">
        <f aca="false">IF($A207="","",MAX($D207-$E207,0))</f>
        <v>0</v>
      </c>
      <c r="G207" s="175" t="n">
        <f aca="false">IF($A207="","",MAX($E207-$D207,0))</f>
        <v>0</v>
      </c>
      <c r="H207" s="174" t="str">
        <f aca="false">IF($A207="","",IF($F207&gt;0,"Saldo Debit",IF($G207&gt;0,"Saldo Kredit","Zero")))</f>
        <v>Zero</v>
      </c>
      <c r="I207" s="174" t="str">
        <f aca="false">IF($A207="","",IFERROR(VLOOKUP($A207,PLANI_LLOGARIVE!$A$2:$I$500,9,FALSE()),""))</f>
        <v>Credit/Debit</v>
      </c>
      <c r="J207" s="101" t="str">
        <f aca="false">IF(A207="","",IF(OR(H207="Zero",I207="Debit/Credit"),"",IF(OR(AND(H207="Saldo Debit",I207="Debit"),AND(H207="Saldo Kredit",OR(I207="Credit",I207="Kredit"))),"","⚠️ JO NORMALE")))</f>
        <v/>
      </c>
    </row>
    <row r="208" customFormat="false" ht="12.75" hidden="false" customHeight="true" outlineLevel="0" collapsed="false">
      <c r="A208" s="172" t="str">
        <f aca="false">IF(AND(PLANI_LLOGARIVE!$A202&lt;&gt;"",PLANI_LLOGARIVE!$J202=TRUE()),PLANI_LLOGARIVE!$A202&amp;"","")</f>
        <v/>
      </c>
      <c r="B208" s="172" t="str">
        <f aca="false">IF($A208="","",IFERROR(VLOOKUP($A208,PLANI_LLOGARIVE!$A$2:$I$500,2,FALSE()),""))</f>
        <v/>
      </c>
      <c r="C208" s="172" t="str">
        <f aca="false">IF($A208="","",IFERROR(VLOOKUP($A208,PLANI_LLOGARIVE!$A$2:$I$500,4,FALSE()),""))</f>
        <v/>
      </c>
      <c r="D208" s="173" t="str">
        <f aca="false">IF($A208="","",SUMIFS(DITARI!$F$6:$F$550,DITARI!$D$6:$D$550,$A208))</f>
        <v/>
      </c>
      <c r="E208" s="173" t="str">
        <f aca="false">IF($A208="","",SUMIFS(DITARI!$G$6:$G$550,DITARI!$D$6:$D$550,$A208))</f>
        <v/>
      </c>
      <c r="F208" s="173" t="str">
        <f aca="false">IF($A208="","",MAX($D208-$E208,0))</f>
        <v/>
      </c>
      <c r="G208" s="173" t="str">
        <f aca="false">IF($A208="","",MAX($E208-$D208,0))</f>
        <v/>
      </c>
      <c r="H208" s="172" t="str">
        <f aca="false">IF($A208="","",IF($F208&gt;0,"Saldo Debit",IF($G208&gt;0,"Saldo Kredit","Zero")))</f>
        <v/>
      </c>
      <c r="I208" s="172" t="str">
        <f aca="false">IF($A208="","",IFERROR(VLOOKUP($A208,PLANI_LLOGARIVE!$A$2:$I$500,9,FALSE()),""))</f>
        <v/>
      </c>
      <c r="J208" s="101" t="str">
        <f aca="false">IF(A208="","",IF(OR(H208="Zero",I208="Debit/Credit"),"",IF(OR(AND(H208="Saldo Debit",I208="Debit"),AND(H208="Saldo Kredit",OR(I208="Credit",I208="Kredit"))),"","⚠️ JO NORMALE")))</f>
        <v/>
      </c>
    </row>
    <row r="209" customFormat="false" ht="12.75" hidden="false" customHeight="true" outlineLevel="0" collapsed="false">
      <c r="A209" s="174" t="str">
        <f aca="false">IF(AND(PLANI_LLOGARIVE!$A203&lt;&gt;"",PLANI_LLOGARIVE!$J203=TRUE()),PLANI_LLOGARIVE!$A203&amp;"","")</f>
        <v>721</v>
      </c>
      <c r="B209" s="174" t="str">
        <f aca="false">IF($A209="","",IFERROR(VLOOKUP($A209,PLANI_LLOGARIVE!$A$2:$I$500,2,FALSE()),""))</f>
        <v>Prodhimi i AA jomateriale</v>
      </c>
      <c r="C209" s="174" t="str">
        <f aca="false">IF($A209="","",IFERROR(VLOOKUP($A209,PLANI_LLOGARIVE!$A$2:$I$500,4,FALSE()),""))</f>
        <v>7</v>
      </c>
      <c r="D209" s="175" t="n">
        <f aca="false">IF($A209="","",SUMIFS(DITARI!$F$6:$F$550,DITARI!$D$6:$D$550,$A209))</f>
        <v>0</v>
      </c>
      <c r="E209" s="175" t="n">
        <f aca="false">IF($A209="","",SUMIFS(DITARI!$G$6:$G$550,DITARI!$D$6:$D$550,$A209))</f>
        <v>0</v>
      </c>
      <c r="F209" s="175" t="n">
        <f aca="false">IF($A209="","",MAX($D209-$E209,0))</f>
        <v>0</v>
      </c>
      <c r="G209" s="175" t="n">
        <f aca="false">IF($A209="","",MAX($E209-$D209,0))</f>
        <v>0</v>
      </c>
      <c r="H209" s="174" t="str">
        <f aca="false">IF($A209="","",IF($F209&gt;0,"Saldo Debit",IF($G209&gt;0,"Saldo Kredit","Zero")))</f>
        <v>Zero</v>
      </c>
      <c r="I209" s="174" t="str">
        <f aca="false">IF($A209="","",IFERROR(VLOOKUP($A209,PLANI_LLOGARIVE!$A$2:$I$500,9,FALSE()),""))</f>
        <v>Credit</v>
      </c>
      <c r="J209" s="101" t="str">
        <f aca="false">IF(A209="","",IF(OR(H209="Zero",I209="Debit/Credit"),"",IF(OR(AND(H209="Saldo Debit",I209="Debit"),AND(H209="Saldo Kredit",OR(I209="Credit",I209="Kredit"))),"","⚠️ JO NORMALE")))</f>
        <v/>
      </c>
    </row>
    <row r="210" customFormat="false" ht="12.75" hidden="false" customHeight="true" outlineLevel="0" collapsed="false">
      <c r="A210" s="172" t="str">
        <f aca="false">IF(AND(PLANI_LLOGARIVE!$A204&lt;&gt;"",PLANI_LLOGARIVE!$J204=TRUE()),PLANI_LLOGARIVE!$A204&amp;"","")</f>
        <v>722</v>
      </c>
      <c r="B210" s="172" t="str">
        <f aca="false">IF($A210="","",IFERROR(VLOOKUP($A210,PLANI_LLOGARIVE!$A$2:$I$500,2,FALSE()),""))</f>
        <v>Prodhimi i AA materiale</v>
      </c>
      <c r="C210" s="172" t="str">
        <f aca="false">IF($A210="","",IFERROR(VLOOKUP($A210,PLANI_LLOGARIVE!$A$2:$I$500,4,FALSE()),""))</f>
        <v>7</v>
      </c>
      <c r="D210" s="173" t="n">
        <f aca="false">IF($A210="","",SUMIFS(DITARI!$F$6:$F$550,DITARI!$D$6:$D$550,$A210))</f>
        <v>0</v>
      </c>
      <c r="E210" s="173" t="n">
        <f aca="false">IF($A210="","",SUMIFS(DITARI!$G$6:$G$550,DITARI!$D$6:$D$550,$A210))</f>
        <v>0</v>
      </c>
      <c r="F210" s="173" t="n">
        <f aca="false">IF($A210="","",MAX($D210-$E210,0))</f>
        <v>0</v>
      </c>
      <c r="G210" s="173" t="n">
        <f aca="false">IF($A210="","",MAX($E210-$D210,0))</f>
        <v>0</v>
      </c>
      <c r="H210" s="172" t="str">
        <f aca="false">IF($A210="","",IF($F210&gt;0,"Saldo Debit",IF($G210&gt;0,"Saldo Kredit","Zero")))</f>
        <v>Zero</v>
      </c>
      <c r="I210" s="172" t="str">
        <f aca="false">IF($A210="","",IFERROR(VLOOKUP($A210,PLANI_LLOGARIVE!$A$2:$I$500,9,FALSE()),""))</f>
        <v>Credit</v>
      </c>
      <c r="J210" s="101" t="str">
        <f aca="false">IF(A210="","",IF(OR(H210="Zero",I210="Debit/Credit"),"",IF(OR(AND(H210="Saldo Debit",I210="Debit"),AND(H210="Saldo Kredit",OR(I210="Credit",I210="Kredit"))),"","⚠️ JO NORMALE")))</f>
        <v/>
      </c>
    </row>
    <row r="211" customFormat="false" ht="12.75" hidden="false" customHeight="true" outlineLevel="0" collapsed="false">
      <c r="A211" s="174" t="str">
        <f aca="false">IF(AND(PLANI_LLOGARIVE!$A205&lt;&gt;"",PLANI_LLOGARIVE!$J205=TRUE()),PLANI_LLOGARIVE!$A205&amp;"","")</f>
        <v/>
      </c>
      <c r="B211" s="174" t="str">
        <f aca="false">IF($A211="","",IFERROR(VLOOKUP($A211,PLANI_LLOGARIVE!$A$2:$I$500,2,FALSE()),""))</f>
        <v/>
      </c>
      <c r="C211" s="174" t="str">
        <f aca="false">IF($A211="","",IFERROR(VLOOKUP($A211,PLANI_LLOGARIVE!$A$2:$I$500,4,FALSE()),""))</f>
        <v/>
      </c>
      <c r="D211" s="175" t="str">
        <f aca="false">IF($A211="","",SUMIFS(DITARI!$F$6:$F$550,DITARI!$D$6:$D$550,$A211))</f>
        <v/>
      </c>
      <c r="E211" s="175" t="str">
        <f aca="false">IF($A211="","",SUMIFS(DITARI!$G$6:$G$550,DITARI!$D$6:$D$550,$A211))</f>
        <v/>
      </c>
      <c r="F211" s="175" t="str">
        <f aca="false">IF($A211="","",MAX($D211-$E211,0))</f>
        <v/>
      </c>
      <c r="G211" s="175" t="str">
        <f aca="false">IF($A211="","",MAX($E211-$D211,0))</f>
        <v/>
      </c>
      <c r="H211" s="174" t="str">
        <f aca="false">IF($A211="","",IF($F211&gt;0,"Saldo Debit",IF($G211&gt;0,"Saldo Kredit","Zero")))</f>
        <v/>
      </c>
      <c r="I211" s="174" t="str">
        <f aca="false">IF($A211="","",IFERROR(VLOOKUP($A211,PLANI_LLOGARIVE!$A$2:$I$500,9,FALSE()),""))</f>
        <v/>
      </c>
      <c r="J211" s="101" t="str">
        <f aca="false">IF(A211="","",IF(OR(H211="Zero",I211="Debit/Credit"),"",IF(OR(AND(H211="Saldo Debit",I211="Debit"),AND(H211="Saldo Kredit",OR(I211="Credit",I211="Kredit"))),"","⚠️ JO NORMALE")))</f>
        <v/>
      </c>
    </row>
    <row r="212" customFormat="false" ht="12.75" hidden="false" customHeight="true" outlineLevel="0" collapsed="false">
      <c r="A212" s="172" t="str">
        <f aca="false">IF(AND(PLANI_LLOGARIVE!$A206&lt;&gt;"",PLANI_LLOGARIVE!$J206=TRUE()),PLANI_LLOGARIVE!$A206&amp;"","")</f>
        <v>731</v>
      </c>
      <c r="B212" s="172" t="str">
        <f aca="false">IF($A212="","",IFERROR(VLOOKUP($A212,PLANI_LLOGARIVE!$A$2:$I$500,2,FALSE()),""))</f>
        <v>Të ardhura nga grantet</v>
      </c>
      <c r="C212" s="172" t="str">
        <f aca="false">IF($A212="","",IFERROR(VLOOKUP($A212,PLANI_LLOGARIVE!$A$2:$I$500,4,FALSE()),""))</f>
        <v>7</v>
      </c>
      <c r="D212" s="173" t="n">
        <f aca="false">IF($A212="","",SUMIFS(DITARI!$F$6:$F$550,DITARI!$D$6:$D$550,$A212))</f>
        <v>0</v>
      </c>
      <c r="E212" s="173" t="n">
        <f aca="false">IF($A212="","",SUMIFS(DITARI!$G$6:$G$550,DITARI!$D$6:$D$550,$A212))</f>
        <v>0</v>
      </c>
      <c r="F212" s="173" t="n">
        <f aca="false">IF($A212="","",MAX($D212-$E212,0))</f>
        <v>0</v>
      </c>
      <c r="G212" s="173" t="n">
        <f aca="false">IF($A212="","",MAX($E212-$D212,0))</f>
        <v>0</v>
      </c>
      <c r="H212" s="172" t="str">
        <f aca="false">IF($A212="","",IF($F212&gt;0,"Saldo Debit",IF($G212&gt;0,"Saldo Kredit","Zero")))</f>
        <v>Zero</v>
      </c>
      <c r="I212" s="172" t="str">
        <f aca="false">IF($A212="","",IFERROR(VLOOKUP($A212,PLANI_LLOGARIVE!$A$2:$I$500,9,FALSE()),""))</f>
        <v>Credit</v>
      </c>
      <c r="J212" s="101" t="str">
        <f aca="false">IF(A212="","",IF(OR(H212="Zero",I212="Debit/Credit"),"",IF(OR(AND(H212="Saldo Debit",I212="Debit"),AND(H212="Saldo Kredit",OR(I212="Credit",I212="Kredit"))),"","⚠️ JO NORMALE")))</f>
        <v/>
      </c>
    </row>
    <row r="213" customFormat="false" ht="12.75" hidden="false" customHeight="true" outlineLevel="0" collapsed="false">
      <c r="A213" s="174" t="str">
        <f aca="false">IF(AND(PLANI_LLOGARIVE!$A207&lt;&gt;"",PLANI_LLOGARIVE!$J207=TRUE()),PLANI_LLOGARIVE!$A207&amp;"","")</f>
        <v/>
      </c>
      <c r="B213" s="174" t="str">
        <f aca="false">IF($A213="","",IFERROR(VLOOKUP($A213,PLANI_LLOGARIVE!$A$2:$I$500,2,FALSE()),""))</f>
        <v/>
      </c>
      <c r="C213" s="174" t="str">
        <f aca="false">IF($A213="","",IFERROR(VLOOKUP($A213,PLANI_LLOGARIVE!$A$2:$I$500,4,FALSE()),""))</f>
        <v/>
      </c>
      <c r="D213" s="175" t="str">
        <f aca="false">IF($A213="","",SUMIFS(DITARI!$F$6:$F$550,DITARI!$D$6:$D$550,$A213))</f>
        <v/>
      </c>
      <c r="E213" s="175" t="str">
        <f aca="false">IF($A213="","",SUMIFS(DITARI!$G$6:$G$550,DITARI!$D$6:$D$550,$A213))</f>
        <v/>
      </c>
      <c r="F213" s="175" t="str">
        <f aca="false">IF($A213="","",MAX($D213-$E213,0))</f>
        <v/>
      </c>
      <c r="G213" s="175" t="str">
        <f aca="false">IF($A213="","",MAX($E213-$D213,0))</f>
        <v/>
      </c>
      <c r="H213" s="174" t="str">
        <f aca="false">IF($A213="","",IF($F213&gt;0,"Saldo Debit",IF($G213&gt;0,"Saldo Kredit","Zero")))</f>
        <v/>
      </c>
      <c r="I213" s="174" t="str">
        <f aca="false">IF($A213="","",IFERROR(VLOOKUP($A213,PLANI_LLOGARIVE!$A$2:$I$500,9,FALSE()),""))</f>
        <v/>
      </c>
      <c r="J213" s="101" t="str">
        <f aca="false">IF(A213="","",IF(OR(H213="Zero",I213="Debit/Credit"),"",IF(OR(AND(H213="Saldo Debit",I213="Debit"),AND(H213="Saldo Kredit",OR(I213="Credit",I213="Kredit"))),"","⚠️ JO NORMALE")))</f>
        <v/>
      </c>
    </row>
    <row r="214" customFormat="false" ht="12.75" hidden="false" customHeight="true" outlineLevel="0" collapsed="false">
      <c r="A214" s="172" t="str">
        <f aca="false">IF(AND(PLANI_LLOGARIVE!$A208&lt;&gt;"",PLANI_LLOGARIVE!$J208=TRUE()),PLANI_LLOGARIVE!$A208&amp;"","")</f>
        <v>752</v>
      </c>
      <c r="B214" s="172" t="str">
        <f aca="false">IF($A214="","",IFERROR(VLOOKUP($A214,PLANI_LLOGARIVE!$A$2:$I$500,2,FALSE()),""))</f>
        <v>Të ardhura nga shitja e AAGJ</v>
      </c>
      <c r="C214" s="172" t="str">
        <f aca="false">IF($A214="","",IFERROR(VLOOKUP($A214,PLANI_LLOGARIVE!$A$2:$I$500,4,FALSE()),""))</f>
        <v>7</v>
      </c>
      <c r="D214" s="173" t="n">
        <f aca="false">IF($A214="","",SUMIFS(DITARI!$F$6:$F$550,DITARI!$D$6:$D$550,$A214))</f>
        <v>0</v>
      </c>
      <c r="E214" s="173" t="n">
        <f aca="false">IF($A214="","",SUMIFS(DITARI!$G$6:$G$550,DITARI!$D$6:$D$550,$A214))</f>
        <v>0</v>
      </c>
      <c r="F214" s="173" t="n">
        <f aca="false">IF($A214="","",MAX($D214-$E214,0))</f>
        <v>0</v>
      </c>
      <c r="G214" s="173" t="n">
        <f aca="false">IF($A214="","",MAX($E214-$D214,0))</f>
        <v>0</v>
      </c>
      <c r="H214" s="172" t="str">
        <f aca="false">IF($A214="","",IF($F214&gt;0,"Saldo Debit",IF($G214&gt;0,"Saldo Kredit","Zero")))</f>
        <v>Zero</v>
      </c>
      <c r="I214" s="172" t="str">
        <f aca="false">IF($A214="","",IFERROR(VLOOKUP($A214,PLANI_LLOGARIVE!$A$2:$I$500,9,FALSE()),""))</f>
        <v>Credit</v>
      </c>
      <c r="J214" s="101" t="str">
        <f aca="false">IF(A214="","",IF(OR(H214="Zero",I214="Debit/Credit"),"",IF(OR(AND(H214="Saldo Debit",I214="Debit"),AND(H214="Saldo Kredit",OR(I214="Credit",I214="Kredit"))),"","⚠️ JO NORMALE")))</f>
        <v/>
      </c>
    </row>
    <row r="215" customFormat="false" ht="12.75" hidden="false" customHeight="true" outlineLevel="0" collapsed="false">
      <c r="A215" s="174" t="str">
        <f aca="false">IF(AND(PLANI_LLOGARIVE!$A209&lt;&gt;"",PLANI_LLOGARIVE!$J209=TRUE()),PLANI_LLOGARIVE!$A209&amp;"","")</f>
        <v>754</v>
      </c>
      <c r="B215" s="174" t="str">
        <f aca="false">IF($A215="","",IFERROR(VLOOKUP($A215,PLANI_LLOGARIVE!$A$2:$I$500,2,FALSE()),""))</f>
        <v>Dhurata e ndihma të marra</v>
      </c>
      <c r="C215" s="174" t="str">
        <f aca="false">IF($A215="","",IFERROR(VLOOKUP($A215,PLANI_LLOGARIVE!$A$2:$I$500,4,FALSE()),""))</f>
        <v>7</v>
      </c>
      <c r="D215" s="175" t="n">
        <f aca="false">IF($A215="","",SUMIFS(DITARI!$F$6:$F$550,DITARI!$D$6:$D$550,$A215))</f>
        <v>0</v>
      </c>
      <c r="E215" s="175" t="n">
        <f aca="false">IF($A215="","",SUMIFS(DITARI!$G$6:$G$550,DITARI!$D$6:$D$550,$A215))</f>
        <v>0</v>
      </c>
      <c r="F215" s="175" t="n">
        <f aca="false">IF($A215="","",MAX($D215-$E215,0))</f>
        <v>0</v>
      </c>
      <c r="G215" s="175" t="n">
        <f aca="false">IF($A215="","",MAX($E215-$D215,0))</f>
        <v>0</v>
      </c>
      <c r="H215" s="174" t="str">
        <f aca="false">IF($A215="","",IF($F215&gt;0,"Saldo Debit",IF($G215&gt;0,"Saldo Kredit","Zero")))</f>
        <v>Zero</v>
      </c>
      <c r="I215" s="174" t="str">
        <f aca="false">IF($A215="","",IFERROR(VLOOKUP($A215,PLANI_LLOGARIVE!$A$2:$I$500,9,FALSE()),""))</f>
        <v>Credit</v>
      </c>
      <c r="J215" s="101" t="str">
        <f aca="false">IF(A215="","",IF(OR(H215="Zero",I215="Debit/Credit"),"",IF(OR(AND(H215="Saldo Debit",I215="Debit"),AND(H215="Saldo Kredit",OR(I215="Credit",I215="Kredit"))),"","⚠️ JO NORMALE")))</f>
        <v/>
      </c>
    </row>
    <row r="216" customFormat="false" ht="12.75" hidden="false" customHeight="true" outlineLevel="0" collapsed="false">
      <c r="A216" s="172" t="str">
        <f aca="false">IF(AND(PLANI_LLOGARIVE!$A210&lt;&gt;"",PLANI_LLOGARIVE!$J210=TRUE()),PLANI_LLOGARIVE!$A210&amp;"","")</f>
        <v>757</v>
      </c>
      <c r="B216" s="172" t="str">
        <f aca="false">IF($A216="","",IFERROR(VLOOKUP($A216,PLANI_LLOGARIVE!$A$2:$I$500,2,FALSE()),""))</f>
        <v>Penalitete dhe gjoba të arkëtuara</v>
      </c>
      <c r="C216" s="172" t="str">
        <f aca="false">IF($A216="","",IFERROR(VLOOKUP($A216,PLANI_LLOGARIVE!$A$2:$I$500,4,FALSE()),""))</f>
        <v>7</v>
      </c>
      <c r="D216" s="173" t="n">
        <f aca="false">IF($A216="","",SUMIFS(DITARI!$F$6:$F$550,DITARI!$D$6:$D$550,$A216))</f>
        <v>0</v>
      </c>
      <c r="E216" s="173" t="n">
        <f aca="false">IF($A216="","",SUMIFS(DITARI!$G$6:$G$550,DITARI!$D$6:$D$550,$A216))</f>
        <v>0</v>
      </c>
      <c r="F216" s="173" t="n">
        <f aca="false">IF($A216="","",MAX($D216-$E216,0))</f>
        <v>0</v>
      </c>
      <c r="G216" s="173" t="n">
        <f aca="false">IF($A216="","",MAX($E216-$D216,0))</f>
        <v>0</v>
      </c>
      <c r="H216" s="172" t="str">
        <f aca="false">IF($A216="","",IF($F216&gt;0,"Saldo Debit",IF($G216&gt;0,"Saldo Kredit","Zero")))</f>
        <v>Zero</v>
      </c>
      <c r="I216" s="172" t="str">
        <f aca="false">IF($A216="","",IFERROR(VLOOKUP($A216,PLANI_LLOGARIVE!$A$2:$I$500,9,FALSE()),""))</f>
        <v>Credit</v>
      </c>
      <c r="J216" s="101" t="str">
        <f aca="false">IF(A216="","",IF(OR(H216="Zero",I216="Debit/Credit"),"",IF(OR(AND(H216="Saldo Debit",I216="Debit"),AND(H216="Saldo Kredit",OR(I216="Credit",I216="Kredit"))),"","⚠️ JO NORMALE")))</f>
        <v/>
      </c>
    </row>
    <row r="217" customFormat="false" ht="12.75" hidden="false" customHeight="true" outlineLevel="0" collapsed="false">
      <c r="A217" s="174" t="str">
        <f aca="false">IF(AND(PLANI_LLOGARIVE!$A211&lt;&gt;"",PLANI_LLOGARIVE!$J211=TRUE()),PLANI_LLOGARIVE!$A211&amp;"","")</f>
        <v>758</v>
      </c>
      <c r="B217" s="174" t="str">
        <f aca="false">IF($A217="","",IFERROR(VLOOKUP($A217,PLANI_LLOGARIVE!$A$2:$I$500,2,FALSE()),""))</f>
        <v>Të ndryshme</v>
      </c>
      <c r="C217" s="174" t="str">
        <f aca="false">IF($A217="","",IFERROR(VLOOKUP($A217,PLANI_LLOGARIVE!$A$2:$I$500,4,FALSE()),""))</f>
        <v>7</v>
      </c>
      <c r="D217" s="175" t="n">
        <f aca="false">IF($A217="","",SUMIFS(DITARI!$F$6:$F$550,DITARI!$D$6:$D$550,$A217))</f>
        <v>0</v>
      </c>
      <c r="E217" s="175" t="n">
        <f aca="false">IF($A217="","",SUMIFS(DITARI!$G$6:$G$550,DITARI!$D$6:$D$550,$A217))</f>
        <v>0</v>
      </c>
      <c r="F217" s="175" t="n">
        <f aca="false">IF($A217="","",MAX($D217-$E217,0))</f>
        <v>0</v>
      </c>
      <c r="G217" s="175" t="n">
        <f aca="false">IF($A217="","",MAX($E217-$D217,0))</f>
        <v>0</v>
      </c>
      <c r="H217" s="174" t="str">
        <f aca="false">IF($A217="","",IF($F217&gt;0,"Saldo Debit",IF($G217&gt;0,"Saldo Kredit","Zero")))</f>
        <v>Zero</v>
      </c>
      <c r="I217" s="174" t="str">
        <f aca="false">IF($A217="","",IFERROR(VLOOKUP($A217,PLANI_LLOGARIVE!$A$2:$I$500,9,FALSE()),""))</f>
        <v>Credit</v>
      </c>
      <c r="J217" s="101" t="str">
        <f aca="false">IF(A217="","",IF(OR(H217="Zero",I217="Debit/Credit"),"",IF(OR(AND(H217="Saldo Debit",I217="Debit"),AND(H217="Saldo Kredit",OR(I217="Credit",I217="Kredit"))),"","⚠️ JO NORMALE")))</f>
        <v/>
      </c>
    </row>
    <row r="218" customFormat="false" ht="12.75" hidden="false" customHeight="true" outlineLevel="0" collapsed="false">
      <c r="A218" s="172" t="str">
        <f aca="false">IF(AND(PLANI_LLOGARIVE!$A212&lt;&gt;"",PLANI_LLOGARIVE!$J212=TRUE()),PLANI_LLOGARIVE!$A212&amp;"","")</f>
        <v/>
      </c>
      <c r="B218" s="172" t="str">
        <f aca="false">IF($A218="","",IFERROR(VLOOKUP($A218,PLANI_LLOGARIVE!$A$2:$I$500,2,FALSE()),""))</f>
        <v/>
      </c>
      <c r="C218" s="172" t="str">
        <f aca="false">IF($A218="","",IFERROR(VLOOKUP($A218,PLANI_LLOGARIVE!$A$2:$I$500,4,FALSE()),""))</f>
        <v/>
      </c>
      <c r="D218" s="173" t="str">
        <f aca="false">IF($A218="","",SUMIFS(DITARI!$F$6:$F$550,DITARI!$D$6:$D$550,$A218))</f>
        <v/>
      </c>
      <c r="E218" s="173" t="str">
        <f aca="false">IF($A218="","",SUMIFS(DITARI!$G$6:$G$550,DITARI!$D$6:$D$550,$A218))</f>
        <v/>
      </c>
      <c r="F218" s="173" t="str">
        <f aca="false">IF($A218="","",MAX($D218-$E218,0))</f>
        <v/>
      </c>
      <c r="G218" s="173" t="str">
        <f aca="false">IF($A218="","",MAX($E218-$D218,0))</f>
        <v/>
      </c>
      <c r="H218" s="172" t="str">
        <f aca="false">IF($A218="","",IF($F218&gt;0,"Saldo Debit",IF($G218&gt;0,"Saldo Kredit","Zero")))</f>
        <v/>
      </c>
      <c r="I218" s="172" t="str">
        <f aca="false">IF($A218="","",IFERROR(VLOOKUP($A218,PLANI_LLOGARIVE!$A$2:$I$500,9,FALSE()),""))</f>
        <v/>
      </c>
      <c r="J218" s="101" t="str">
        <f aca="false">IF(A218="","",IF(OR(H218="Zero",I218="Debit/Credit"),"",IF(OR(AND(H218="Saldo Debit",I218="Debit"),AND(H218="Saldo Kredit",OR(I218="Credit",I218="Kredit"))),"","⚠️ JO NORMALE")))</f>
        <v/>
      </c>
    </row>
    <row r="219" customFormat="false" ht="12.75" hidden="false" customHeight="true" outlineLevel="0" collapsed="false">
      <c r="A219" s="174" t="str">
        <f aca="false">IF(AND(PLANI_LLOGARIVE!$A213&lt;&gt;"",PLANI_LLOGARIVE!$J213=TRUE()),PLANI_LLOGARIVE!$A213&amp;"","")</f>
        <v>761</v>
      </c>
      <c r="B219" s="174" t="str">
        <f aca="false">IF($A219="","",IFERROR(VLOOKUP($A219,PLANI_LLOGARIVE!$A$2:$I$500,2,FALSE()),""))</f>
        <v>Të ardhura financiare nga shoqëritë e kontrolluara</v>
      </c>
      <c r="C219" s="174" t="str">
        <f aca="false">IF($A219="","",IFERROR(VLOOKUP($A219,PLANI_LLOGARIVE!$A$2:$I$500,4,FALSE()),""))</f>
        <v>7</v>
      </c>
      <c r="D219" s="175" t="n">
        <f aca="false">IF($A219="","",SUMIFS(DITARI!$F$6:$F$550,DITARI!$D$6:$D$550,$A219))</f>
        <v>0</v>
      </c>
      <c r="E219" s="175" t="n">
        <f aca="false">IF($A219="","",SUMIFS(DITARI!$G$6:$G$550,DITARI!$D$6:$D$550,$A219))</f>
        <v>0</v>
      </c>
      <c r="F219" s="175" t="n">
        <f aca="false">IF($A219="","",MAX($D219-$E219,0))</f>
        <v>0</v>
      </c>
      <c r="G219" s="175" t="n">
        <f aca="false">IF($A219="","",MAX($E219-$D219,0))</f>
        <v>0</v>
      </c>
      <c r="H219" s="174" t="str">
        <f aca="false">IF($A219="","",IF($F219&gt;0,"Saldo Debit",IF($G219&gt;0,"Saldo Kredit","Zero")))</f>
        <v>Zero</v>
      </c>
      <c r="I219" s="174" t="str">
        <f aca="false">IF($A219="","",IFERROR(VLOOKUP($A219,PLANI_LLOGARIVE!$A$2:$I$500,9,FALSE()),""))</f>
        <v>Credit</v>
      </c>
      <c r="J219" s="101" t="str">
        <f aca="false">IF(A219="","",IF(OR(H219="Zero",I219="Debit/Credit"),"",IF(OR(AND(H219="Saldo Debit",I219="Debit"),AND(H219="Saldo Kredit",OR(I219="Credit",I219="Kredit"))),"","⚠️ JO NORMALE")))</f>
        <v/>
      </c>
    </row>
    <row r="220" customFormat="false" ht="12.75" hidden="false" customHeight="true" outlineLevel="0" collapsed="false">
      <c r="A220" s="172" t="str">
        <f aca="false">IF(AND(PLANI_LLOGARIVE!$A214&lt;&gt;"",PLANI_LLOGARIVE!$J214=TRUE()),PLANI_LLOGARIVE!$A214&amp;"","")</f>
        <v>762</v>
      </c>
      <c r="B220" s="172" t="str">
        <f aca="false">IF($A220="","",IFERROR(VLOOKUP($A220,PLANI_LLOGARIVE!$A$2:$I$500,2,FALSE()),""))</f>
        <v>Të ardhura financiare nga shoqëritë e lidhura</v>
      </c>
      <c r="C220" s="172" t="str">
        <f aca="false">IF($A220="","",IFERROR(VLOOKUP($A220,PLANI_LLOGARIVE!$A$2:$I$500,4,FALSE()),""))</f>
        <v>7</v>
      </c>
      <c r="D220" s="173" t="n">
        <f aca="false">IF($A220="","",SUMIFS(DITARI!$F$6:$F$550,DITARI!$D$6:$D$550,$A220))</f>
        <v>0</v>
      </c>
      <c r="E220" s="173" t="n">
        <f aca="false">IF($A220="","",SUMIFS(DITARI!$G$6:$G$550,DITARI!$D$6:$D$550,$A220))</f>
        <v>0</v>
      </c>
      <c r="F220" s="173" t="n">
        <f aca="false">IF($A220="","",MAX($D220-$E220,0))</f>
        <v>0</v>
      </c>
      <c r="G220" s="173" t="n">
        <f aca="false">IF($A220="","",MAX($E220-$D220,0))</f>
        <v>0</v>
      </c>
      <c r="H220" s="172" t="str">
        <f aca="false">IF($A220="","",IF($F220&gt;0,"Saldo Debit",IF($G220&gt;0,"Saldo Kredit","Zero")))</f>
        <v>Zero</v>
      </c>
      <c r="I220" s="172" t="str">
        <f aca="false">IF($A220="","",IFERROR(VLOOKUP($A220,PLANI_LLOGARIVE!$A$2:$I$500,9,FALSE()),""))</f>
        <v>Credit</v>
      </c>
      <c r="J220" s="101" t="str">
        <f aca="false">IF(A220="","",IF(OR(H220="Zero",I220="Debit/Credit"),"",IF(OR(AND(H220="Saldo Debit",I220="Debit"),AND(H220="Saldo Kredit",OR(I220="Credit",I220="Kredit"))),"","⚠️ JO NORMALE")))</f>
        <v/>
      </c>
    </row>
    <row r="221" customFormat="false" ht="12.75" hidden="false" customHeight="true" outlineLevel="0" collapsed="false">
      <c r="A221" s="174" t="str">
        <f aca="false">IF(AND(PLANI_LLOGARIVE!$A215&lt;&gt;"",PLANI_LLOGARIVE!$J215=TRUE()),PLANI_LLOGARIVE!$A215&amp;"","")</f>
        <v>763</v>
      </c>
      <c r="B221" s="174" t="str">
        <f aca="false">IF($A221="","",IFERROR(VLOOKUP($A221,PLANI_LLOGARIVE!$A$2:$I$500,2,FALSE()),""))</f>
        <v>Të ardhura nga dividentët</v>
      </c>
      <c r="C221" s="174" t="str">
        <f aca="false">IF($A221="","",IFERROR(VLOOKUP($A221,PLANI_LLOGARIVE!$A$2:$I$500,4,FALSE()),""))</f>
        <v>7</v>
      </c>
      <c r="D221" s="175" t="n">
        <f aca="false">IF($A221="","",SUMIFS(DITARI!$F$6:$F$550,DITARI!$D$6:$D$550,$A221))</f>
        <v>0</v>
      </c>
      <c r="E221" s="175" t="n">
        <f aca="false">IF($A221="","",SUMIFS(DITARI!$G$6:$G$550,DITARI!$D$6:$D$550,$A221))</f>
        <v>0</v>
      </c>
      <c r="F221" s="175" t="n">
        <f aca="false">IF($A221="","",MAX($D221-$E221,0))</f>
        <v>0</v>
      </c>
      <c r="G221" s="175" t="n">
        <f aca="false">IF($A221="","",MAX($E221-$D221,0))</f>
        <v>0</v>
      </c>
      <c r="H221" s="174" t="str">
        <f aca="false">IF($A221="","",IF($F221&gt;0,"Saldo Debit",IF($G221&gt;0,"Saldo Kredit","Zero")))</f>
        <v>Zero</v>
      </c>
      <c r="I221" s="174" t="str">
        <f aca="false">IF($A221="","",IFERROR(VLOOKUP($A221,PLANI_LLOGARIVE!$A$2:$I$500,9,FALSE()),""))</f>
        <v>Credit</v>
      </c>
      <c r="J221" s="101" t="str">
        <f aca="false">IF(A221="","",IF(OR(H221="Zero",I221="Debit/Credit"),"",IF(OR(AND(H221="Saldo Debit",I221="Debit"),AND(H221="Saldo Kredit",OR(I221="Credit",I221="Kredit"))),"","⚠️ JO NORMALE")))</f>
        <v/>
      </c>
    </row>
    <row r="222" customFormat="false" ht="12.75" hidden="false" customHeight="true" outlineLevel="0" collapsed="false">
      <c r="A222" s="172" t="str">
        <f aca="false">IF(AND(PLANI_LLOGARIVE!$A216&lt;&gt;"",PLANI_LLOGARIVE!$J216=TRUE()),PLANI_LLOGARIVE!$A216&amp;"","")</f>
        <v>764</v>
      </c>
      <c r="B222" s="172" t="str">
        <f aca="false">IF($A222="","",IFERROR(VLOOKUP($A222,PLANI_LLOGARIVE!$A$2:$I$500,2,FALSE()),""))</f>
        <v>Fitime nga rivlerësimi i letrave me vlerë</v>
      </c>
      <c r="C222" s="172" t="str">
        <f aca="false">IF($A222="","",IFERROR(VLOOKUP($A222,PLANI_LLOGARIVE!$A$2:$I$500,4,FALSE()),""))</f>
        <v>7</v>
      </c>
      <c r="D222" s="173" t="n">
        <f aca="false">IF($A222="","",SUMIFS(DITARI!$F$6:$F$550,DITARI!$D$6:$D$550,$A222))</f>
        <v>0</v>
      </c>
      <c r="E222" s="173" t="n">
        <f aca="false">IF($A222="","",SUMIFS(DITARI!$G$6:$G$550,DITARI!$D$6:$D$550,$A222))</f>
        <v>0</v>
      </c>
      <c r="F222" s="173" t="n">
        <f aca="false">IF($A222="","",MAX($D222-$E222,0))</f>
        <v>0</v>
      </c>
      <c r="G222" s="173" t="n">
        <f aca="false">IF($A222="","",MAX($E222-$D222,0))</f>
        <v>0</v>
      </c>
      <c r="H222" s="172" t="str">
        <f aca="false">IF($A222="","",IF($F222&gt;0,"Saldo Debit",IF($G222&gt;0,"Saldo Kredit","Zero")))</f>
        <v>Zero</v>
      </c>
      <c r="I222" s="172" t="str">
        <f aca="false">IF($A222="","",IFERROR(VLOOKUP($A222,PLANI_LLOGARIVE!$A$2:$I$500,9,FALSE()),""))</f>
        <v>Credit</v>
      </c>
      <c r="J222" s="101" t="str">
        <f aca="false">IF(A222="","",IF(OR(H222="Zero",I222="Debit/Credit"),"",IF(OR(AND(H222="Saldo Debit",I222="Debit"),AND(H222="Saldo Kredit",OR(I222="Credit",I222="Kredit"))),"","⚠️ JO NORMALE")))</f>
        <v/>
      </c>
    </row>
    <row r="223" customFormat="false" ht="12.75" hidden="false" customHeight="true" outlineLevel="0" collapsed="false">
      <c r="A223" s="174" t="str">
        <f aca="false">IF(AND(PLANI_LLOGARIVE!$A217&lt;&gt;"",PLANI_LLOGARIVE!$J217=TRUE()),PLANI_LLOGARIVE!$A217&amp;"","")</f>
        <v>765</v>
      </c>
      <c r="B223" s="174" t="str">
        <f aca="false">IF($A223="","",IFERROR(VLOOKUP($A223,PLANI_LLOGARIVE!$A$2:$I$500,2,FALSE()),""))</f>
        <v>Fitime nga shitja e letrave me vlerë</v>
      </c>
      <c r="C223" s="174" t="str">
        <f aca="false">IF($A223="","",IFERROR(VLOOKUP($A223,PLANI_LLOGARIVE!$A$2:$I$500,4,FALSE()),""))</f>
        <v>7</v>
      </c>
      <c r="D223" s="175" t="n">
        <f aca="false">IF($A223="","",SUMIFS(DITARI!$F$6:$F$550,DITARI!$D$6:$D$550,$A223))</f>
        <v>0</v>
      </c>
      <c r="E223" s="175" t="n">
        <f aca="false">IF($A223="","",SUMIFS(DITARI!$G$6:$G$550,DITARI!$D$6:$D$550,$A223))</f>
        <v>0</v>
      </c>
      <c r="F223" s="175" t="n">
        <f aca="false">IF($A223="","",MAX($D223-$E223,0))</f>
        <v>0</v>
      </c>
      <c r="G223" s="175" t="n">
        <f aca="false">IF($A223="","",MAX($E223-$D223,0))</f>
        <v>0</v>
      </c>
      <c r="H223" s="174" t="str">
        <f aca="false">IF($A223="","",IF($F223&gt;0,"Saldo Debit",IF($G223&gt;0,"Saldo Kredit","Zero")))</f>
        <v>Zero</v>
      </c>
      <c r="I223" s="174" t="str">
        <f aca="false">IF($A223="","",IFERROR(VLOOKUP($A223,PLANI_LLOGARIVE!$A$2:$I$500,9,FALSE()),""))</f>
        <v>Credit</v>
      </c>
      <c r="J223" s="101" t="str">
        <f aca="false">IF(A223="","",IF(OR(H223="Zero",I223="Debit/Credit"),"",IF(OR(AND(H223="Saldo Debit",I223="Debit"),AND(H223="Saldo Kredit",OR(I223="Credit",I223="Kredit"))),"","⚠️ JO NORMALE")))</f>
        <v/>
      </c>
    </row>
    <row r="224" customFormat="false" ht="12.75" hidden="false" customHeight="true" outlineLevel="0" collapsed="false">
      <c r="A224" s="172" t="str">
        <f aca="false">IF(AND(PLANI_LLOGARIVE!$A218&lt;&gt;"",PLANI_LLOGARIVE!$J218=TRUE()),PLANI_LLOGARIVE!$A218&amp;"","")</f>
        <v>767</v>
      </c>
      <c r="B224" s="172" t="str">
        <f aca="false">IF($A224="","",IFERROR(VLOOKUP($A224,PLANI_LLOGARIVE!$A$2:$I$500,2,FALSE()),""))</f>
        <v>Të ardhura nga interesat</v>
      </c>
      <c r="C224" s="172" t="str">
        <f aca="false">IF($A224="","",IFERROR(VLOOKUP($A224,PLANI_LLOGARIVE!$A$2:$I$500,4,FALSE()),""))</f>
        <v>7</v>
      </c>
      <c r="D224" s="173" t="n">
        <f aca="false">IF($A224="","",SUMIFS(DITARI!$F$6:$F$550,DITARI!$D$6:$D$550,$A224))</f>
        <v>0</v>
      </c>
      <c r="E224" s="173" t="n">
        <f aca="false">IF($A224="","",SUMIFS(DITARI!$G$6:$G$550,DITARI!$D$6:$D$550,$A224))</f>
        <v>0</v>
      </c>
      <c r="F224" s="173" t="n">
        <f aca="false">IF($A224="","",MAX($D224-$E224,0))</f>
        <v>0</v>
      </c>
      <c r="G224" s="173" t="n">
        <f aca="false">IF($A224="","",MAX($E224-$D224,0))</f>
        <v>0</v>
      </c>
      <c r="H224" s="172" t="str">
        <f aca="false">IF($A224="","",IF($F224&gt;0,"Saldo Debit",IF($G224&gt;0,"Saldo Kredit","Zero")))</f>
        <v>Zero</v>
      </c>
      <c r="I224" s="172" t="str">
        <f aca="false">IF($A224="","",IFERROR(VLOOKUP($A224,PLANI_LLOGARIVE!$A$2:$I$500,9,FALSE()),""))</f>
        <v>Credit</v>
      </c>
      <c r="J224" s="101" t="str">
        <f aca="false">IF(A224="","",IF(OR(H224="Zero",I224="Debit/Credit"),"",IF(OR(AND(H224="Saldo Debit",I224="Debit"),AND(H224="Saldo Kredit",OR(I224="Credit",I224="Kredit"))),"","⚠️ JO NORMALE")))</f>
        <v/>
      </c>
    </row>
    <row r="225" customFormat="false" ht="12.75" hidden="false" customHeight="true" outlineLevel="0" collapsed="false">
      <c r="A225" s="174" t="str">
        <f aca="false">IF(AND(PLANI_LLOGARIVE!$A219&lt;&gt;"",PLANI_LLOGARIVE!$J219=TRUE()),PLANI_LLOGARIVE!$A219&amp;"","")</f>
        <v>768</v>
      </c>
      <c r="B225" s="174" t="str">
        <f aca="false">IF($A225="","",IFERROR(VLOOKUP($A225,PLANI_LLOGARIVE!$A$2:$I$500,2,FALSE()),""))</f>
        <v>Të ardhura të tjera financiare</v>
      </c>
      <c r="C225" s="174" t="str">
        <f aca="false">IF($A225="","",IFERROR(VLOOKUP($A225,PLANI_LLOGARIVE!$A$2:$I$500,4,FALSE()),""))</f>
        <v>7</v>
      </c>
      <c r="D225" s="175" t="n">
        <f aca="false">IF($A225="","",SUMIFS(DITARI!$F$6:$F$550,DITARI!$D$6:$D$550,$A225))</f>
        <v>0</v>
      </c>
      <c r="E225" s="175" t="n">
        <f aca="false">IF($A225="","",SUMIFS(DITARI!$G$6:$G$550,DITARI!$D$6:$D$550,$A225))</f>
        <v>0</v>
      </c>
      <c r="F225" s="175" t="n">
        <f aca="false">IF($A225="","",MAX($D225-$E225,0))</f>
        <v>0</v>
      </c>
      <c r="G225" s="175" t="n">
        <f aca="false">IF($A225="","",MAX($E225-$D225,0))</f>
        <v>0</v>
      </c>
      <c r="H225" s="174" t="str">
        <f aca="false">IF($A225="","",IF($F225&gt;0,"Saldo Debit",IF($G225&gt;0,"Saldo Kredit","Zero")))</f>
        <v>Zero</v>
      </c>
      <c r="I225" s="174" t="str">
        <f aca="false">IF($A225="","",IFERROR(VLOOKUP($A225,PLANI_LLOGARIVE!$A$2:$I$500,9,FALSE()),""))</f>
        <v>Credit</v>
      </c>
      <c r="J225" s="101" t="str">
        <f aca="false">IF(A225="","",IF(OR(H225="Zero",I225="Debit/Credit"),"",IF(OR(AND(H225="Saldo Debit",I225="Debit"),AND(H225="Saldo Kredit",OR(I225="Credit",I225="Kredit"))),"","⚠️ JO NORMALE")))</f>
        <v/>
      </c>
    </row>
    <row r="226" customFormat="false" ht="12.75" hidden="false" customHeight="true" outlineLevel="0" collapsed="false">
      <c r="A226" s="172" t="str">
        <f aca="false">IF(AND(PLANI_LLOGARIVE!$A220&lt;&gt;"",PLANI_LLOGARIVE!$J220=TRUE()),PLANI_LLOGARIVE!$A220&amp;"","")</f>
        <v>769</v>
      </c>
      <c r="B226" s="172" t="str">
        <f aca="false">IF($A226="","",IFERROR(VLOOKUP($A226,PLANI_LLOGARIVE!$A$2:$I$500,2,FALSE()),""))</f>
        <v>Fitim nga këmbimet valutore</v>
      </c>
      <c r="C226" s="172" t="str">
        <f aca="false">IF($A226="","",IFERROR(VLOOKUP($A226,PLANI_LLOGARIVE!$A$2:$I$500,4,FALSE()),""))</f>
        <v>7</v>
      </c>
      <c r="D226" s="173" t="n">
        <f aca="false">IF($A226="","",SUMIFS(DITARI!$F$6:$F$550,DITARI!$D$6:$D$550,$A226))</f>
        <v>0</v>
      </c>
      <c r="E226" s="173" t="n">
        <f aca="false">IF($A226="","",SUMIFS(DITARI!$G$6:$G$550,DITARI!$D$6:$D$550,$A226))</f>
        <v>0</v>
      </c>
      <c r="F226" s="173" t="n">
        <f aca="false">IF($A226="","",MAX($D226-$E226,0))</f>
        <v>0</v>
      </c>
      <c r="G226" s="173" t="n">
        <f aca="false">IF($A226="","",MAX($E226-$D226,0))</f>
        <v>0</v>
      </c>
      <c r="H226" s="172" t="str">
        <f aca="false">IF($A226="","",IF($F226&gt;0,"Saldo Debit",IF($G226&gt;0,"Saldo Kredit","Zero")))</f>
        <v>Zero</v>
      </c>
      <c r="I226" s="172" t="str">
        <f aca="false">IF($A226="","",IFERROR(VLOOKUP($A226,PLANI_LLOGARIVE!$A$2:$I$500,9,FALSE()),""))</f>
        <v>Credit</v>
      </c>
      <c r="J226" s="101" t="str">
        <f aca="false">IF(A226="","",IF(OR(H226="Zero",I226="Debit/Credit"),"",IF(OR(AND(H226="Saldo Debit",I226="Debit"),AND(H226="Saldo Kredit",OR(I226="Credit",I226="Kredit"))),"","⚠️ JO NORMALE")))</f>
        <v/>
      </c>
    </row>
    <row r="227" customFormat="false" ht="12.75" hidden="false" customHeight="true" outlineLevel="0" collapsed="false">
      <c r="A227" s="174" t="str">
        <f aca="false">IF(AND(PLANI_LLOGARIVE!$A221&lt;&gt;"",PLANI_LLOGARIVE!$J221=TRUE()),PLANI_LLOGARIVE!$A221&amp;"","")</f>
        <v/>
      </c>
      <c r="B227" s="174" t="str">
        <f aca="false">IF($A227="","",IFERROR(VLOOKUP($A227,PLANI_LLOGARIVE!$A$2:$I$500,2,FALSE()),""))</f>
        <v/>
      </c>
      <c r="C227" s="174" t="str">
        <f aca="false">IF($A227="","",IFERROR(VLOOKUP($A227,PLANI_LLOGARIVE!$A$2:$I$500,4,FALSE()),""))</f>
        <v/>
      </c>
      <c r="D227" s="175" t="str">
        <f aca="false">IF($A227="","",SUMIFS(DITARI!$F$6:$F$550,DITARI!$D$6:$D$550,$A227))</f>
        <v/>
      </c>
      <c r="E227" s="175" t="str">
        <f aca="false">IF($A227="","",SUMIFS(DITARI!$G$6:$G$550,DITARI!$D$6:$D$550,$A227))</f>
        <v/>
      </c>
      <c r="F227" s="175" t="str">
        <f aca="false">IF($A227="","",MAX($D227-$E227,0))</f>
        <v/>
      </c>
      <c r="G227" s="175" t="str">
        <f aca="false">IF($A227="","",MAX($E227-$D227,0))</f>
        <v/>
      </c>
      <c r="H227" s="174" t="str">
        <f aca="false">IF($A227="","",IF($F227&gt;0,"Saldo Debit",IF($G227&gt;0,"Saldo Kredit","Zero")))</f>
        <v/>
      </c>
      <c r="I227" s="174" t="str">
        <f aca="false">IF($A227="","",IFERROR(VLOOKUP($A227,PLANI_LLOGARIVE!$A$2:$I$500,9,FALSE()),""))</f>
        <v/>
      </c>
      <c r="J227" s="101" t="str">
        <f aca="false">IF(A227="","",IF(OR(H227="Zero",I227="Debit/Credit"),"",IF(OR(AND(H227="Saldo Debit",I227="Debit"),AND(H227="Saldo Kredit",OR(I227="Credit",I227="Kredit"))),"","⚠️ JO NORMALE")))</f>
        <v/>
      </c>
    </row>
    <row r="228" customFormat="false" ht="12.75" hidden="false" customHeight="true" outlineLevel="0" collapsed="false">
      <c r="A228" s="172" t="str">
        <f aca="false">IF(AND(PLANI_LLOGARIVE!$A222&lt;&gt;"",PLANI_LLOGARIVE!$J222=TRUE()),PLANI_LLOGARIVE!$A222&amp;"","")</f>
        <v>771</v>
      </c>
      <c r="B228" s="172" t="str">
        <f aca="false">IF($A228="","",IFERROR(VLOOKUP($A228,PLANI_LLOGARIVE!$A$2:$I$500,2,FALSE()),""))</f>
        <v>Të ardhura nga shitja e AAGJ</v>
      </c>
      <c r="C228" s="172" t="str">
        <f aca="false">IF($A228="","",IFERROR(VLOOKUP($A228,PLANI_LLOGARIVE!$A$2:$I$500,4,FALSE()),""))</f>
        <v>7</v>
      </c>
      <c r="D228" s="173" t="n">
        <f aca="false">IF($A228="","",SUMIFS(DITARI!$F$6:$F$550,DITARI!$D$6:$D$550,$A228))</f>
        <v>0</v>
      </c>
      <c r="E228" s="173" t="n">
        <f aca="false">IF($A228="","",SUMIFS(DITARI!$G$6:$G$550,DITARI!$D$6:$D$550,$A228))</f>
        <v>0</v>
      </c>
      <c r="F228" s="173" t="n">
        <f aca="false">IF($A228="","",MAX($D228-$E228,0))</f>
        <v>0</v>
      </c>
      <c r="G228" s="173" t="n">
        <f aca="false">IF($A228="","",MAX($E228-$D228,0))</f>
        <v>0</v>
      </c>
      <c r="H228" s="172" t="str">
        <f aca="false">IF($A228="","",IF($F228&gt;0,"Saldo Debit",IF($G228&gt;0,"Saldo Kredit","Zero")))</f>
        <v>Zero</v>
      </c>
      <c r="I228" s="172" t="str">
        <f aca="false">IF($A228="","",IFERROR(VLOOKUP($A228,PLANI_LLOGARIVE!$A$2:$I$500,9,FALSE()),""))</f>
        <v>Credit</v>
      </c>
      <c r="J228" s="101" t="str">
        <f aca="false">IF(A228="","",IF(OR(H228="Zero",I228="Debit/Credit"),"",IF(OR(AND(H228="Saldo Debit",I228="Debit"),AND(H228="Saldo Kredit",OR(I228="Credit",I228="Kredit"))),"","⚠️ JO NORMALE")))</f>
        <v/>
      </c>
    </row>
    <row r="229" customFormat="false" ht="12.75" hidden="false" customHeight="true" outlineLevel="0" collapsed="false">
      <c r="A229" s="174" t="str">
        <f aca="false">IF(AND(PLANI_LLOGARIVE!$A223&lt;&gt;"",PLANI_LLOGARIVE!$J223=TRUE()),PLANI_LLOGARIVE!$A223&amp;"","")</f>
        <v>772</v>
      </c>
      <c r="B229" s="174" t="str">
        <f aca="false">IF($A229="","",IFERROR(VLOOKUP($A229,PLANI_LLOGARIVE!$A$2:$I$500,2,FALSE()),""))</f>
        <v>Dëmshpërblime të tjera</v>
      </c>
      <c r="C229" s="174" t="str">
        <f aca="false">IF($A229="","",IFERROR(VLOOKUP($A229,PLANI_LLOGARIVE!$A$2:$I$500,4,FALSE()),""))</f>
        <v>7</v>
      </c>
      <c r="D229" s="175" t="n">
        <f aca="false">IF($A229="","",SUMIFS(DITARI!$F$6:$F$550,DITARI!$D$6:$D$550,$A229))</f>
        <v>0</v>
      </c>
      <c r="E229" s="175" t="n">
        <f aca="false">IF($A229="","",SUMIFS(DITARI!$G$6:$G$550,DITARI!$D$6:$D$550,$A229))</f>
        <v>0</v>
      </c>
      <c r="F229" s="175" t="n">
        <f aca="false">IF($A229="","",MAX($D229-$E229,0))</f>
        <v>0</v>
      </c>
      <c r="G229" s="175" t="n">
        <f aca="false">IF($A229="","",MAX($E229-$D229,0))</f>
        <v>0</v>
      </c>
      <c r="H229" s="174" t="str">
        <f aca="false">IF($A229="","",IF($F229&gt;0,"Saldo Debit",IF($G229&gt;0,"Saldo Kredit","Zero")))</f>
        <v>Zero</v>
      </c>
      <c r="I229" s="174" t="str">
        <f aca="false">IF($A229="","",IFERROR(VLOOKUP($A229,PLANI_LLOGARIVE!$A$2:$I$500,9,FALSE()),""))</f>
        <v>Credit</v>
      </c>
      <c r="J229" s="101" t="str">
        <f aca="false">IF(A229="","",IF(OR(H229="Zero",I229="Debit/Credit"),"",IF(OR(AND(H229="Saldo Debit",I229="Debit"),AND(H229="Saldo Kredit",OR(I229="Credit",I229="Kredit"))),"","⚠️ JO NORMALE")))</f>
        <v/>
      </c>
    </row>
    <row r="230" customFormat="false" ht="12.75" hidden="false" customHeight="true" outlineLevel="0" collapsed="false">
      <c r="A230" s="172" t="str">
        <f aca="false">IF(AND(PLANI_LLOGARIVE!$A224&lt;&gt;"",PLANI_LLOGARIVE!$J224=TRUE()),PLANI_LLOGARIVE!$A224&amp;"","")</f>
        <v/>
      </c>
      <c r="B230" s="172" t="str">
        <f aca="false">IF($A230="","",IFERROR(VLOOKUP($A230,PLANI_LLOGARIVE!$A$2:$I$500,2,FALSE()),""))</f>
        <v/>
      </c>
      <c r="C230" s="172" t="str">
        <f aca="false">IF($A230="","",IFERROR(VLOOKUP($A230,PLANI_LLOGARIVE!$A$2:$I$500,4,FALSE()),""))</f>
        <v/>
      </c>
      <c r="D230" s="173" t="str">
        <f aca="false">IF($A230="","",SUMIFS(DITARI!$F$6:$F$550,DITARI!$D$6:$D$550,$A230))</f>
        <v/>
      </c>
      <c r="E230" s="173" t="str">
        <f aca="false">IF($A230="","",SUMIFS(DITARI!$G$6:$G$550,DITARI!$D$6:$D$550,$A230))</f>
        <v/>
      </c>
      <c r="F230" s="173" t="str">
        <f aca="false">IF($A230="","",MAX($D230-$E230,0))</f>
        <v/>
      </c>
      <c r="G230" s="173" t="str">
        <f aca="false">IF($A230="","",MAX($E230-$D230,0))</f>
        <v/>
      </c>
      <c r="H230" s="172" t="str">
        <f aca="false">IF($A230="","",IF($F230&gt;0,"Saldo Debit",IF($G230&gt;0,"Saldo Kredit","Zero")))</f>
        <v/>
      </c>
      <c r="I230" s="172" t="str">
        <f aca="false">IF($A230="","",IFERROR(VLOOKUP($A230,PLANI_LLOGARIVE!$A$2:$I$500,9,FALSE()),""))</f>
        <v/>
      </c>
      <c r="J230" s="101" t="str">
        <f aca="false">IF(A230="","",IF(OR(H230="Zero",I230="Debit/Credit"),"",IF(OR(AND(H230="Saldo Debit",I230="Debit"),AND(H230="Saldo Kredit",OR(I230="Credit",I230="Kredit"))),"","⚠️ JO NORMALE")))</f>
        <v/>
      </c>
    </row>
    <row r="231" customFormat="false" ht="12.75" hidden="false" customHeight="true" outlineLevel="0" collapsed="false">
      <c r="A231" s="174" t="str">
        <f aca="false">IF(AND(PLANI_LLOGARIVE!$A225&lt;&gt;"",PLANI_LLOGARIVE!$J225=TRUE()),PLANI_LLOGARIVE!$A225&amp;"","")</f>
        <v>781</v>
      </c>
      <c r="B231" s="174" t="str">
        <f aca="false">IF($A231="","",IFERROR(VLOOKUP($A231,PLANI_LLOGARIVE!$A$2:$I$500,2,FALSE()),""))</f>
        <v>Rimarrje lidhur me veprimtarinë e shfrytëzimit</v>
      </c>
      <c r="C231" s="174" t="str">
        <f aca="false">IF($A231="","",IFERROR(VLOOKUP($A231,PLANI_LLOGARIVE!$A$2:$I$500,4,FALSE()),""))</f>
        <v>7</v>
      </c>
      <c r="D231" s="175" t="n">
        <f aca="false">IF($A231="","",SUMIFS(DITARI!$F$6:$F$550,DITARI!$D$6:$D$550,$A231))</f>
        <v>0</v>
      </c>
      <c r="E231" s="175" t="n">
        <f aca="false">IF($A231="","",SUMIFS(DITARI!$G$6:$G$550,DITARI!$D$6:$D$550,$A231))</f>
        <v>0</v>
      </c>
      <c r="F231" s="175" t="n">
        <f aca="false">IF($A231="","",MAX($D231-$E231,0))</f>
        <v>0</v>
      </c>
      <c r="G231" s="175" t="n">
        <f aca="false">IF($A231="","",MAX($E231-$D231,0))</f>
        <v>0</v>
      </c>
      <c r="H231" s="174" t="str">
        <f aca="false">IF($A231="","",IF($F231&gt;0,"Saldo Debit",IF($G231&gt;0,"Saldo Kredit","Zero")))</f>
        <v>Zero</v>
      </c>
      <c r="I231" s="174" t="str">
        <f aca="false">IF($A231="","",IFERROR(VLOOKUP($A231,PLANI_LLOGARIVE!$A$2:$I$500,9,FALSE()),""))</f>
        <v>Credit</v>
      </c>
      <c r="J231" s="101" t="str">
        <f aca="false">IF(A231="","",IF(OR(H231="Zero",I231="Debit/Credit"),"",IF(OR(AND(H231="Saldo Debit",I231="Debit"),AND(H231="Saldo Kredit",OR(I231="Credit",I231="Kredit"))),"","⚠️ JO NORMALE")))</f>
        <v/>
      </c>
    </row>
    <row r="232" customFormat="false" ht="12.75" hidden="false" customHeight="true" outlineLevel="0" collapsed="false">
      <c r="A232" s="172" t="str">
        <f aca="false">IF(AND(PLANI_LLOGARIVE!$A226&lt;&gt;"",PLANI_LLOGARIVE!$J226=TRUE()),PLANI_LLOGARIVE!$A226&amp;"","")</f>
        <v>786</v>
      </c>
      <c r="B232" s="172" t="str">
        <f aca="false">IF($A232="","",IFERROR(VLOOKUP($A232,PLANI_LLOGARIVE!$A$2:$I$500,2,FALSE()),""))</f>
        <v>Rimarrje provizionesh për aktivet financiare</v>
      </c>
      <c r="C232" s="172" t="str">
        <f aca="false">IF($A232="","",IFERROR(VLOOKUP($A232,PLANI_LLOGARIVE!$A$2:$I$500,4,FALSE()),""))</f>
        <v>7</v>
      </c>
      <c r="D232" s="173" t="n">
        <f aca="false">IF($A232="","",SUMIFS(DITARI!$F$6:$F$550,DITARI!$D$6:$D$550,$A232))</f>
        <v>0</v>
      </c>
      <c r="E232" s="173" t="n">
        <f aca="false">IF($A232="","",SUMIFS(DITARI!$G$6:$G$550,DITARI!$D$6:$D$550,$A232))</f>
        <v>0</v>
      </c>
      <c r="F232" s="173" t="n">
        <f aca="false">IF($A232="","",MAX($D232-$E232,0))</f>
        <v>0</v>
      </c>
      <c r="G232" s="173" t="n">
        <f aca="false">IF($A232="","",MAX($E232-$D232,0))</f>
        <v>0</v>
      </c>
      <c r="H232" s="172" t="str">
        <f aca="false">IF($A232="","",IF($F232&gt;0,"Saldo Debit",IF($G232&gt;0,"Saldo Kredit","Zero")))</f>
        <v>Zero</v>
      </c>
      <c r="I232" s="172" t="str">
        <f aca="false">IF($A232="","",IFERROR(VLOOKUP($A232,PLANI_LLOGARIVE!$A$2:$I$500,9,FALSE()),""))</f>
        <v>Credit</v>
      </c>
      <c r="J232" s="101" t="str">
        <f aca="false">IF(A232="","",IF(OR(H232="Zero",I232="Debit/Credit"),"",IF(OR(AND(H232="Saldo Debit",I232="Debit"),AND(H232="Saldo Kredit",OR(I232="Credit",I232="Kredit"))),"","⚠️ JO NORMALE")))</f>
        <v/>
      </c>
    </row>
    <row r="233" customFormat="false" ht="12.75" hidden="false" customHeight="true" outlineLevel="0" collapsed="false">
      <c r="A233" s="174" t="str">
        <f aca="false">IF(AND(PLANI_LLOGARIVE!$A227&lt;&gt;"",PLANI_LLOGARIVE!$J227=TRUE()),PLANI_LLOGARIVE!$A227&amp;"","")</f>
        <v/>
      </c>
      <c r="B233" s="174" t="str">
        <f aca="false">IF($A233="","",IFERROR(VLOOKUP($A233,PLANI_LLOGARIVE!$A$2:$I$500,2,FALSE()),""))</f>
        <v/>
      </c>
      <c r="C233" s="174" t="str">
        <f aca="false">IF($A233="","",IFERROR(VLOOKUP($A233,PLANI_LLOGARIVE!$A$2:$I$500,4,FALSE()),""))</f>
        <v/>
      </c>
      <c r="D233" s="175" t="str">
        <f aca="false">IF($A233="","",SUMIFS(DITARI!$F$6:$F$550,DITARI!$D$6:$D$550,$A233))</f>
        <v/>
      </c>
      <c r="E233" s="175" t="str">
        <f aca="false">IF($A233="","",SUMIFS(DITARI!$G$6:$G$550,DITARI!$D$6:$D$550,$A233))</f>
        <v/>
      </c>
      <c r="F233" s="175" t="str">
        <f aca="false">IF($A233="","",MAX($D233-$E233,0))</f>
        <v/>
      </c>
      <c r="G233" s="175" t="str">
        <f aca="false">IF($A233="","",MAX($E233-$D233,0))</f>
        <v/>
      </c>
      <c r="H233" s="174" t="str">
        <f aca="false">IF($A233="","",IF($F233&gt;0,"Saldo Debit",IF($G233&gt;0,"Saldo Kredit","Zero")))</f>
        <v/>
      </c>
      <c r="I233" s="174" t="str">
        <f aca="false">IF($A233="","",IFERROR(VLOOKUP($A233,PLANI_LLOGARIVE!$A$2:$I$500,9,FALSE()),""))</f>
        <v/>
      </c>
      <c r="J233" s="101" t="str">
        <f aca="false">IF(A233="","",IF(OR(H233="Zero",I233="Debit/Credit"),"",IF(OR(AND(H233="Saldo Debit",I233="Debit"),AND(H233="Saldo Kredit",OR(I233="Credit",I233="Kredit"))),"","⚠️ JO NORMALE")))</f>
        <v/>
      </c>
    </row>
    <row r="234" customFormat="false" ht="12.75" hidden="false" customHeight="true" outlineLevel="0" collapsed="false">
      <c r="A234" s="172" t="str">
        <f aca="false">IF(AND(PLANI_LLOGARIVE!$A228&lt;&gt;"",PLANI_LLOGARIVE!$J228=TRUE()),PLANI_LLOGARIVE!$A228&amp;"","")</f>
        <v/>
      </c>
      <c r="B234" s="172" t="str">
        <f aca="false">IF($A234="","",IFERROR(VLOOKUP($A234,PLANI_LLOGARIVE!$A$2:$I$500,2,FALSE()),""))</f>
        <v/>
      </c>
      <c r="C234" s="172" t="str">
        <f aca="false">IF($A234="","",IFERROR(VLOOKUP($A234,PLANI_LLOGARIVE!$A$2:$I$500,4,FALSE()),""))</f>
        <v/>
      </c>
      <c r="D234" s="173" t="str">
        <f aca="false">IF($A234="","",SUMIFS(DITARI!$F$6:$F$550,DITARI!$D$6:$D$550,$A234))</f>
        <v/>
      </c>
      <c r="E234" s="173" t="str">
        <f aca="false">IF($A234="","",SUMIFS(DITARI!$G$6:$G$550,DITARI!$D$6:$D$550,$A234))</f>
        <v/>
      </c>
      <c r="F234" s="173" t="str">
        <f aca="false">IF($A234="","",MAX($D234-$E234,0))</f>
        <v/>
      </c>
      <c r="G234" s="173" t="str">
        <f aca="false">IF($A234="","",MAX($E234-$D234,0))</f>
        <v/>
      </c>
      <c r="H234" s="172" t="str">
        <f aca="false">IF($A234="","",IF($F234&gt;0,"Saldo Debit",IF($G234&gt;0,"Saldo Kredit","Zero")))</f>
        <v/>
      </c>
      <c r="I234" s="172" t="str">
        <f aca="false">IF($A234="","",IFERROR(VLOOKUP($A234,PLANI_LLOGARIVE!$A$2:$I$500,9,FALSE()),""))</f>
        <v/>
      </c>
      <c r="J234" s="101" t="str">
        <f aca="false">IF(A234="","",IF(OR(H234="Zero",I234="Debit/Credit"),"",IF(OR(AND(H234="Saldo Debit",I234="Debit"),AND(H234="Saldo Kredit",OR(I234="Credit",I234="Kredit"))),"","⚠️ JO NORMALE")))</f>
        <v/>
      </c>
    </row>
    <row r="235" customFormat="false" ht="12.75" hidden="false" customHeight="true" outlineLevel="0" collapsed="false">
      <c r="A235" s="174" t="str">
        <f aca="false">IF(AND(PLANI_LLOGARIVE!$A229&lt;&gt;"",PLANI_LLOGARIVE!$J229=TRUE()),PLANI_LLOGARIVE!$A229&amp;"","")</f>
        <v/>
      </c>
      <c r="B235" s="174" t="str">
        <f aca="false">IF($A235="","",IFERROR(VLOOKUP($A235,PLANI_LLOGARIVE!$A$2:$I$500,2,FALSE()),""))</f>
        <v/>
      </c>
      <c r="C235" s="174" t="str">
        <f aca="false">IF($A235="","",IFERROR(VLOOKUP($A235,PLANI_LLOGARIVE!$A$2:$I$500,4,FALSE()),""))</f>
        <v/>
      </c>
      <c r="D235" s="175" t="str">
        <f aca="false">IF($A235="","",SUMIFS(DITARI!$F$6:$F$550,DITARI!$D$6:$D$550,$A235))</f>
        <v/>
      </c>
      <c r="E235" s="175" t="str">
        <f aca="false">IF($A235="","",SUMIFS(DITARI!$G$6:$G$550,DITARI!$D$6:$D$550,$A235))</f>
        <v/>
      </c>
      <c r="F235" s="175" t="str">
        <f aca="false">IF($A235="","",MAX($D235-$E235,0))</f>
        <v/>
      </c>
      <c r="G235" s="175" t="str">
        <f aca="false">IF($A235="","",MAX($E235-$D235,0))</f>
        <v/>
      </c>
      <c r="H235" s="174" t="str">
        <f aca="false">IF($A235="","",IF($F235&gt;0,"Saldo Debit",IF($G235&gt;0,"Saldo Kredit","Zero")))</f>
        <v/>
      </c>
      <c r="I235" s="174" t="str">
        <f aca="false">IF($A235="","",IFERROR(VLOOKUP($A235,PLANI_LLOGARIVE!$A$2:$I$500,9,FALSE()),""))</f>
        <v/>
      </c>
      <c r="J235" s="101" t="str">
        <f aca="false">IF(A235="","",IF(OR(H235="Zero",I235="Debit/Credit"),"",IF(OR(AND(H235="Saldo Debit",I235="Debit"),AND(H235="Saldo Kredit",OR(I235="Credit",I235="Kredit"))),"","⚠️ JO NORMALE")))</f>
        <v/>
      </c>
    </row>
    <row r="236" customFormat="false" ht="12.75" hidden="false" customHeight="true" outlineLevel="0" collapsed="false">
      <c r="A236" s="172" t="str">
        <f aca="false">IF(AND(PLANI_LLOGARIVE!$A230&lt;&gt;"",PLANI_LLOGARIVE!$J230=TRUE()),PLANI_LLOGARIVE!$A230&amp;"","")</f>
        <v/>
      </c>
      <c r="B236" s="172" t="str">
        <f aca="false">IF($A236="","",IFERROR(VLOOKUP($A236,PLANI_LLOGARIVE!$A$2:$I$500,2,FALSE()),""))</f>
        <v/>
      </c>
      <c r="C236" s="172" t="str">
        <f aca="false">IF($A236="","",IFERROR(VLOOKUP($A236,PLANI_LLOGARIVE!$A$2:$I$500,4,FALSE()),""))</f>
        <v/>
      </c>
      <c r="D236" s="173" t="str">
        <f aca="false">IF($A236="","",SUMIFS(DITARI!$F$6:$F$550,DITARI!$D$6:$D$550,$A236))</f>
        <v/>
      </c>
      <c r="E236" s="173" t="str">
        <f aca="false">IF($A236="","",SUMIFS(DITARI!$G$6:$G$550,DITARI!$D$6:$D$550,$A236))</f>
        <v/>
      </c>
      <c r="F236" s="173" t="str">
        <f aca="false">IF($A236="","",MAX($D236-$E236,0))</f>
        <v/>
      </c>
      <c r="G236" s="173" t="str">
        <f aca="false">IF($A236="","",MAX($E236-$D236,0))</f>
        <v/>
      </c>
      <c r="H236" s="172" t="str">
        <f aca="false">IF($A236="","",IF($F236&gt;0,"Saldo Debit",IF($G236&gt;0,"Saldo Kredit","Zero")))</f>
        <v/>
      </c>
      <c r="I236" s="172" t="str">
        <f aca="false">IF($A236="","",IFERROR(VLOOKUP($A236,PLANI_LLOGARIVE!$A$2:$I$500,9,FALSE()),""))</f>
        <v/>
      </c>
      <c r="J236" s="101" t="str">
        <f aca="false">IF(A236="","",IF(OR(H236="Zero",I236="Debit/Credit"),"",IF(OR(AND(H236="Saldo Debit",I236="Debit"),AND(H236="Saldo Kredit",OR(I236="Credit",I236="Kredit"))),"","⚠️ JO NORMALE")))</f>
        <v/>
      </c>
    </row>
    <row r="237" customFormat="false" ht="12.75" hidden="false" customHeight="true" outlineLevel="0" collapsed="false">
      <c r="A237" s="174" t="str">
        <f aca="false">IF(AND(PLANI_LLOGARIVE!$A231&lt;&gt;"",PLANI_LLOGARIVE!$J231=TRUE()),PLANI_LLOGARIVE!$A231&amp;"","")</f>
        <v/>
      </c>
      <c r="B237" s="174" t="str">
        <f aca="false">IF($A237="","",IFERROR(VLOOKUP($A237,PLANI_LLOGARIVE!$A$2:$I$500,2,FALSE()),""))</f>
        <v/>
      </c>
      <c r="C237" s="174" t="str">
        <f aca="false">IF($A237="","",IFERROR(VLOOKUP($A237,PLANI_LLOGARIVE!$A$2:$I$500,4,FALSE()),""))</f>
        <v/>
      </c>
      <c r="D237" s="175" t="str">
        <f aca="false">IF($A237="","",SUMIFS(DITARI!$F$6:$F$550,DITARI!$D$6:$D$550,$A237))</f>
        <v/>
      </c>
      <c r="E237" s="175" t="str">
        <f aca="false">IF($A237="","",SUMIFS(DITARI!$G$6:$G$550,DITARI!$D$6:$D$550,$A237))</f>
        <v/>
      </c>
      <c r="F237" s="175" t="str">
        <f aca="false">IF($A237="","",MAX($D237-$E237,0))</f>
        <v/>
      </c>
      <c r="G237" s="175" t="str">
        <f aca="false">IF($A237="","",MAX($E237-$D237,0))</f>
        <v/>
      </c>
      <c r="H237" s="174" t="str">
        <f aca="false">IF($A237="","",IF($F237&gt;0,"Saldo Debit",IF($G237&gt;0,"Saldo Kredit","Zero")))</f>
        <v/>
      </c>
      <c r="I237" s="174" t="str">
        <f aca="false">IF($A237="","",IFERROR(VLOOKUP($A237,PLANI_LLOGARIVE!$A$2:$I$500,9,FALSE()),""))</f>
        <v/>
      </c>
      <c r="J237" s="101" t="str">
        <f aca="false">IF(A237="","",IF(OR(H237="Zero",I237="Debit/Credit"),"",IF(OR(AND(H237="Saldo Debit",I237="Debit"),AND(H237="Saldo Kredit",OR(I237="Credit",I237="Kredit"))),"","⚠️ JO NORMALE")))</f>
        <v/>
      </c>
    </row>
    <row r="238" customFormat="false" ht="12.75" hidden="false" customHeight="true" outlineLevel="0" collapsed="false">
      <c r="A238" s="172" t="str">
        <f aca="false">IF(AND(PLANI_LLOGARIVE!$A232&lt;&gt;"",PLANI_LLOGARIVE!$J232=TRUE()),PLANI_LLOGARIVE!$A232&amp;"","")</f>
        <v/>
      </c>
      <c r="B238" s="172" t="str">
        <f aca="false">IF($A238="","",IFERROR(VLOOKUP($A238,PLANI_LLOGARIVE!$A$2:$I$500,2,FALSE()),""))</f>
        <v/>
      </c>
      <c r="C238" s="172" t="str">
        <f aca="false">IF($A238="","",IFERROR(VLOOKUP($A238,PLANI_LLOGARIVE!$A$2:$I$500,4,FALSE()),""))</f>
        <v/>
      </c>
      <c r="D238" s="173" t="str">
        <f aca="false">IF($A238="","",SUMIFS(DITARI!$F$6:$F$550,DITARI!$D$6:$D$550,$A238))</f>
        <v/>
      </c>
      <c r="E238" s="173" t="str">
        <f aca="false">IF($A238="","",SUMIFS(DITARI!$G$6:$G$550,DITARI!$D$6:$D$550,$A238))</f>
        <v/>
      </c>
      <c r="F238" s="173" t="str">
        <f aca="false">IF($A238="","",MAX($D238-$E238,0))</f>
        <v/>
      </c>
      <c r="G238" s="173" t="str">
        <f aca="false">IF($A238="","",MAX($E238-$D238,0))</f>
        <v/>
      </c>
      <c r="H238" s="172" t="str">
        <f aca="false">IF($A238="","",IF($F238&gt;0,"Saldo Debit",IF($G238&gt;0,"Saldo Kredit","Zero")))</f>
        <v/>
      </c>
      <c r="I238" s="172" t="str">
        <f aca="false">IF($A238="","",IFERROR(VLOOKUP($A238,PLANI_LLOGARIVE!$A$2:$I$500,9,FALSE()),""))</f>
        <v/>
      </c>
      <c r="J238" s="101" t="str">
        <f aca="false">IF(A238="","",IF(OR(H238="Zero",I238="Debit/Credit"),"",IF(OR(AND(H238="Saldo Debit",I238="Debit"),AND(H238="Saldo Kredit",OR(I238="Credit",I238="Kredit"))),"","⚠️ JO NORMALE")))</f>
        <v/>
      </c>
    </row>
    <row r="239" customFormat="false" ht="12.75" hidden="false" customHeight="true" outlineLevel="0" collapsed="false">
      <c r="A239" s="174" t="str">
        <f aca="false">IF(AND(PLANI_LLOGARIVE!$A233&lt;&gt;"",PLANI_LLOGARIVE!$J233=TRUE()),PLANI_LLOGARIVE!$A233&amp;"","")</f>
        <v/>
      </c>
      <c r="B239" s="174" t="str">
        <f aca="false">IF($A239="","",IFERROR(VLOOKUP($A239,PLANI_LLOGARIVE!$A$2:$I$500,2,FALSE()),""))</f>
        <v/>
      </c>
      <c r="C239" s="174" t="str">
        <f aca="false">IF($A239="","",IFERROR(VLOOKUP($A239,PLANI_LLOGARIVE!$A$2:$I$500,4,FALSE()),""))</f>
        <v/>
      </c>
      <c r="D239" s="175" t="str">
        <f aca="false">IF($A239="","",SUMIFS(DITARI!$F$6:$F$550,DITARI!$D$6:$D$550,$A239))</f>
        <v/>
      </c>
      <c r="E239" s="175" t="str">
        <f aca="false">IF($A239="","",SUMIFS(DITARI!$G$6:$G$550,DITARI!$D$6:$D$550,$A239))</f>
        <v/>
      </c>
      <c r="F239" s="175" t="str">
        <f aca="false">IF($A239="","",MAX($D239-$E239,0))</f>
        <v/>
      </c>
      <c r="G239" s="175" t="str">
        <f aca="false">IF($A239="","",MAX($E239-$D239,0))</f>
        <v/>
      </c>
      <c r="H239" s="174" t="str">
        <f aca="false">IF($A239="","",IF($F239&gt;0,"Saldo Debit",IF($G239&gt;0,"Saldo Kredit","Zero")))</f>
        <v/>
      </c>
      <c r="I239" s="174" t="str">
        <f aca="false">IF($A239="","",IFERROR(VLOOKUP($A239,PLANI_LLOGARIVE!$A$2:$I$500,9,FALSE()),""))</f>
        <v/>
      </c>
      <c r="J239" s="101" t="str">
        <f aca="false">IF(A239="","",IF(OR(H239="Zero",I239="Debit/Credit"),"",IF(OR(AND(H239="Saldo Debit",I239="Debit"),AND(H239="Saldo Kredit",OR(I239="Credit",I239="Kredit"))),"","⚠️ JO NORMALE")))</f>
        <v/>
      </c>
    </row>
    <row r="240" customFormat="false" ht="12.75" hidden="false" customHeight="true" outlineLevel="0" collapsed="false">
      <c r="A240" s="172" t="str">
        <f aca="false">IF(AND(PLANI_LLOGARIVE!$A234&lt;&gt;"",PLANI_LLOGARIVE!$J234=TRUE()),PLANI_LLOGARIVE!$A234&amp;"","")</f>
        <v/>
      </c>
      <c r="B240" s="172" t="str">
        <f aca="false">IF($A240="","",IFERROR(VLOOKUP($A240,PLANI_LLOGARIVE!$A$2:$I$500,2,FALSE()),""))</f>
        <v/>
      </c>
      <c r="C240" s="172" t="str">
        <f aca="false">IF($A240="","",IFERROR(VLOOKUP($A240,PLANI_LLOGARIVE!$A$2:$I$500,4,FALSE()),""))</f>
        <v/>
      </c>
      <c r="D240" s="173" t="str">
        <f aca="false">IF($A240="","",SUMIFS(DITARI!$F$6:$F$550,DITARI!$D$6:$D$550,$A240))</f>
        <v/>
      </c>
      <c r="E240" s="173" t="str">
        <f aca="false">IF($A240="","",SUMIFS(DITARI!$G$6:$G$550,DITARI!$D$6:$D$550,$A240))</f>
        <v/>
      </c>
      <c r="F240" s="173" t="str">
        <f aca="false">IF($A240="","",MAX($D240-$E240,0))</f>
        <v/>
      </c>
      <c r="G240" s="173" t="str">
        <f aca="false">IF($A240="","",MAX($E240-$D240,0))</f>
        <v/>
      </c>
      <c r="H240" s="172" t="str">
        <f aca="false">IF($A240="","",IF($F240&gt;0,"Saldo Debit",IF($G240&gt;0,"Saldo Kredit","Zero")))</f>
        <v/>
      </c>
      <c r="I240" s="172" t="str">
        <f aca="false">IF($A240="","",IFERROR(VLOOKUP($A240,PLANI_LLOGARIVE!$A$2:$I$500,9,FALSE()),""))</f>
        <v/>
      </c>
      <c r="J240" s="101" t="str">
        <f aca="false">IF(A240="","",IF(OR(H240="Zero",I240="Debit/Credit"),"",IF(OR(AND(H240="Saldo Debit",I240="Debit"),AND(H240="Saldo Kredit",OR(I240="Credit",I240="Kredit"))),"","⚠️ JO NORMALE")))</f>
        <v/>
      </c>
    </row>
    <row r="241" customFormat="false" ht="12.75" hidden="false" customHeight="true" outlineLevel="0" collapsed="false">
      <c r="A241" s="174" t="str">
        <f aca="false">IF(AND(PLANI_LLOGARIVE!$A235&lt;&gt;"",PLANI_LLOGARIVE!$J235=TRUE()),PLANI_LLOGARIVE!$A235&amp;"","")</f>
        <v/>
      </c>
      <c r="B241" s="174" t="str">
        <f aca="false">IF($A241="","",IFERROR(VLOOKUP($A241,PLANI_LLOGARIVE!$A$2:$I$500,2,FALSE()),""))</f>
        <v/>
      </c>
      <c r="C241" s="174" t="str">
        <f aca="false">IF($A241="","",IFERROR(VLOOKUP($A241,PLANI_LLOGARIVE!$A$2:$I$500,4,FALSE()),""))</f>
        <v/>
      </c>
      <c r="D241" s="175" t="str">
        <f aca="false">IF($A241="","",SUMIFS(DITARI!$F$6:$F$550,DITARI!$D$6:$D$550,$A241))</f>
        <v/>
      </c>
      <c r="E241" s="175" t="str">
        <f aca="false">IF($A241="","",SUMIFS(DITARI!$G$6:$G$550,DITARI!$D$6:$D$550,$A241))</f>
        <v/>
      </c>
      <c r="F241" s="175" t="str">
        <f aca="false">IF($A241="","",MAX($D241-$E241,0))</f>
        <v/>
      </c>
      <c r="G241" s="175" t="str">
        <f aca="false">IF($A241="","",MAX($E241-$D241,0))</f>
        <v/>
      </c>
      <c r="H241" s="174" t="str">
        <f aca="false">IF($A241="","",IF($F241&gt;0,"Saldo Debit",IF($G241&gt;0,"Saldo Kredit","Zero")))</f>
        <v/>
      </c>
      <c r="I241" s="174" t="str">
        <f aca="false">IF($A241="","",IFERROR(VLOOKUP($A241,PLANI_LLOGARIVE!$A$2:$I$500,9,FALSE()),""))</f>
        <v/>
      </c>
      <c r="J241" s="101" t="str">
        <f aca="false">IF(A241="","",IF(OR(H241="Zero",I241="Debit/Credit"),"",IF(OR(AND(H241="Saldo Debit",I241="Debit"),AND(H241="Saldo Kredit",OR(I241="Credit",I241="Kredit"))),"","⚠️ JO NORMALE")))</f>
        <v/>
      </c>
    </row>
    <row r="242" customFormat="false" ht="12.75" hidden="false" customHeight="true" outlineLevel="0" collapsed="false">
      <c r="A242" s="172" t="str">
        <f aca="false">IF(AND(PLANI_LLOGARIVE!$A236&lt;&gt;"",PLANI_LLOGARIVE!$J236=TRUE()),PLANI_LLOGARIVE!$A236&amp;"","")</f>
        <v/>
      </c>
      <c r="B242" s="172" t="str">
        <f aca="false">IF($A242="","",IFERROR(VLOOKUP($A242,PLANI_LLOGARIVE!$A$2:$I$500,2,FALSE()),""))</f>
        <v/>
      </c>
      <c r="C242" s="172" t="str">
        <f aca="false">IF($A242="","",IFERROR(VLOOKUP($A242,PLANI_LLOGARIVE!$A$2:$I$500,4,FALSE()),""))</f>
        <v/>
      </c>
      <c r="D242" s="173" t="str">
        <f aca="false">IF($A242="","",SUMIFS(DITARI!$F$6:$F$550,DITARI!$D$6:$D$550,$A242))</f>
        <v/>
      </c>
      <c r="E242" s="173" t="str">
        <f aca="false">IF($A242="","",SUMIFS(DITARI!$G$6:$G$550,DITARI!$D$6:$D$550,$A242))</f>
        <v/>
      </c>
      <c r="F242" s="173" t="str">
        <f aca="false">IF($A242="","",MAX($D242-$E242,0))</f>
        <v/>
      </c>
      <c r="G242" s="173" t="str">
        <f aca="false">IF($A242="","",MAX($E242-$D242,0))</f>
        <v/>
      </c>
      <c r="H242" s="172" t="str">
        <f aca="false">IF($A242="","",IF($F242&gt;0,"Saldo Debit",IF($G242&gt;0,"Saldo Kredit","Zero")))</f>
        <v/>
      </c>
      <c r="I242" s="172" t="str">
        <f aca="false">IF($A242="","",IFERROR(VLOOKUP($A242,PLANI_LLOGARIVE!$A$2:$I$500,9,FALSE()),""))</f>
        <v/>
      </c>
      <c r="J242" s="101" t="str">
        <f aca="false">IF(A242="","",IF(OR(H242="Zero",I242="Debit/Credit"),"",IF(OR(AND(H242="Saldo Debit",I242="Debit"),AND(H242="Saldo Kredit",OR(I242="Credit",I242="Kredit"))),"","⚠️ JO NORMALE")))</f>
        <v/>
      </c>
    </row>
    <row r="243" customFormat="false" ht="12.75" hidden="false" customHeight="true" outlineLevel="0" collapsed="false">
      <c r="A243" s="174" t="str">
        <f aca="false">IF(AND(PLANI_LLOGARIVE!$A237&lt;&gt;"",PLANI_LLOGARIVE!$J237=TRUE()),PLANI_LLOGARIVE!$A237&amp;"","")</f>
        <v/>
      </c>
      <c r="B243" s="174" t="str">
        <f aca="false">IF($A243="","",IFERROR(VLOOKUP($A243,PLANI_LLOGARIVE!$A$2:$I$500,2,FALSE()),""))</f>
        <v/>
      </c>
      <c r="C243" s="174" t="str">
        <f aca="false">IF($A243="","",IFERROR(VLOOKUP($A243,PLANI_LLOGARIVE!$A$2:$I$500,4,FALSE()),""))</f>
        <v/>
      </c>
      <c r="D243" s="175" t="str">
        <f aca="false">IF($A243="","",SUMIFS(DITARI!$F$6:$F$550,DITARI!$D$6:$D$550,$A243))</f>
        <v/>
      </c>
      <c r="E243" s="175" t="str">
        <f aca="false">IF($A243="","",SUMIFS(DITARI!$G$6:$G$550,DITARI!$D$6:$D$550,$A243))</f>
        <v/>
      </c>
      <c r="F243" s="175" t="str">
        <f aca="false">IF($A243="","",MAX($D243-$E243,0))</f>
        <v/>
      </c>
      <c r="G243" s="175" t="str">
        <f aca="false">IF($A243="","",MAX($E243-$D243,0))</f>
        <v/>
      </c>
      <c r="H243" s="174" t="str">
        <f aca="false">IF($A243="","",IF($F243&gt;0,"Saldo Debit",IF($G243&gt;0,"Saldo Kredit","Zero")))</f>
        <v/>
      </c>
      <c r="I243" s="174" t="str">
        <f aca="false">IF($A243="","",IFERROR(VLOOKUP($A243,PLANI_LLOGARIVE!$A$2:$I$500,9,FALSE()),""))</f>
        <v/>
      </c>
      <c r="J243" s="101" t="str">
        <f aca="false">IF(A243="","",IF(OR(H243="Zero",I243="Debit/Credit"),"",IF(OR(AND(H243="Saldo Debit",I243="Debit"),AND(H243="Saldo Kredit",OR(I243="Credit",I243="Kredit"))),"","⚠️ JO NORMALE")))</f>
        <v/>
      </c>
    </row>
    <row r="244" customFormat="false" ht="12.75" hidden="false" customHeight="true" outlineLevel="0" collapsed="false">
      <c r="A244" s="172" t="str">
        <f aca="false">IF(AND(PLANI_LLOGARIVE!$A238&lt;&gt;"",PLANI_LLOGARIVE!$J238=TRUE()),PLANI_LLOGARIVE!$A238&amp;"","")</f>
        <v/>
      </c>
      <c r="B244" s="172" t="str">
        <f aca="false">IF($A244="","",IFERROR(VLOOKUP($A244,PLANI_LLOGARIVE!$A$2:$I$500,2,FALSE()),""))</f>
        <v/>
      </c>
      <c r="C244" s="172" t="str">
        <f aca="false">IF($A244="","",IFERROR(VLOOKUP($A244,PLANI_LLOGARIVE!$A$2:$I$500,4,FALSE()),""))</f>
        <v/>
      </c>
      <c r="D244" s="173" t="str">
        <f aca="false">IF($A244="","",SUMIFS(DITARI!$F$6:$F$550,DITARI!$D$6:$D$550,$A244))</f>
        <v/>
      </c>
      <c r="E244" s="173" t="str">
        <f aca="false">IF($A244="","",SUMIFS(DITARI!$G$6:$G$550,DITARI!$D$6:$D$550,$A244))</f>
        <v/>
      </c>
      <c r="F244" s="173" t="str">
        <f aca="false">IF($A244="","",MAX($D244-$E244,0))</f>
        <v/>
      </c>
      <c r="G244" s="173" t="str">
        <f aca="false">IF($A244="","",MAX($E244-$D244,0))</f>
        <v/>
      </c>
      <c r="H244" s="172" t="str">
        <f aca="false">IF($A244="","",IF($F244&gt;0,"Saldo Debit",IF($G244&gt;0,"Saldo Kredit","Zero")))</f>
        <v/>
      </c>
      <c r="I244" s="172" t="str">
        <f aca="false">IF($A244="","",IFERROR(VLOOKUP($A244,PLANI_LLOGARIVE!$A$2:$I$500,9,FALSE()),""))</f>
        <v/>
      </c>
      <c r="J244" s="101" t="str">
        <f aca="false">IF(A244="","",IF(OR(H244="Zero",I244="Debit/Credit"),"",IF(OR(AND(H244="Saldo Debit",I244="Debit"),AND(H244="Saldo Kredit",OR(I244="Credit",I244="Kredit"))),"","⚠️ JO NORMALE")))</f>
        <v/>
      </c>
    </row>
    <row r="245" customFormat="false" ht="12.75" hidden="false" customHeight="true" outlineLevel="0" collapsed="false">
      <c r="A245" s="174" t="str">
        <f aca="false">IF(AND(PLANI_LLOGARIVE!$A239&lt;&gt;"",PLANI_LLOGARIVE!$J239=TRUE()),PLANI_LLOGARIVE!$A239&amp;"","")</f>
        <v/>
      </c>
      <c r="B245" s="174" t="str">
        <f aca="false">IF($A245="","",IFERROR(VLOOKUP($A245,PLANI_LLOGARIVE!$A$2:$I$500,2,FALSE()),""))</f>
        <v/>
      </c>
      <c r="C245" s="174" t="str">
        <f aca="false">IF($A245="","",IFERROR(VLOOKUP($A245,PLANI_LLOGARIVE!$A$2:$I$500,4,FALSE()),""))</f>
        <v/>
      </c>
      <c r="D245" s="175" t="str">
        <f aca="false">IF($A245="","",SUMIFS(DITARI!$F$6:$F$550,DITARI!$D$6:$D$550,$A245))</f>
        <v/>
      </c>
      <c r="E245" s="175" t="str">
        <f aca="false">IF($A245="","",SUMIFS(DITARI!$G$6:$G$550,DITARI!$D$6:$D$550,$A245))</f>
        <v/>
      </c>
      <c r="F245" s="175" t="str">
        <f aca="false">IF($A245="","",MAX($D245-$E245,0))</f>
        <v/>
      </c>
      <c r="G245" s="175" t="str">
        <f aca="false">IF($A245="","",MAX($E245-$D245,0))</f>
        <v/>
      </c>
      <c r="H245" s="174" t="str">
        <f aca="false">IF($A245="","",IF($F245&gt;0,"Saldo Debit",IF($G245&gt;0,"Saldo Kredit","Zero")))</f>
        <v/>
      </c>
      <c r="I245" s="174" t="str">
        <f aca="false">IF($A245="","",IFERROR(VLOOKUP($A245,PLANI_LLOGARIVE!$A$2:$I$500,9,FALSE()),""))</f>
        <v/>
      </c>
      <c r="J245" s="101" t="str">
        <f aca="false">IF(A245="","",IF(OR(H245="Zero",I245="Debit/Credit"),"",IF(OR(AND(H245="Saldo Debit",I245="Debit"),AND(H245="Saldo Kredit",OR(I245="Credit",I245="Kredit"))),"","⚠️ JO NORMALE")))</f>
        <v/>
      </c>
    </row>
    <row r="246" customFormat="false" ht="12.75" hidden="false" customHeight="true" outlineLevel="0" collapsed="false">
      <c r="A246" s="172" t="str">
        <f aca="false">IF(AND(PLANI_LLOGARIVE!$A240&lt;&gt;"",PLANI_LLOGARIVE!$J240=TRUE()),PLANI_LLOGARIVE!$A240&amp;"","")</f>
        <v/>
      </c>
      <c r="B246" s="172" t="str">
        <f aca="false">IF($A246="","",IFERROR(VLOOKUP($A246,PLANI_LLOGARIVE!$A$2:$I$500,2,FALSE()),""))</f>
        <v/>
      </c>
      <c r="C246" s="172" t="str">
        <f aca="false">IF($A246="","",IFERROR(VLOOKUP($A246,PLANI_LLOGARIVE!$A$2:$I$500,4,FALSE()),""))</f>
        <v/>
      </c>
      <c r="D246" s="173" t="str">
        <f aca="false">IF($A246="","",SUMIFS(DITARI!$F$6:$F$550,DITARI!$D$6:$D$550,$A246))</f>
        <v/>
      </c>
      <c r="E246" s="173" t="str">
        <f aca="false">IF($A246="","",SUMIFS(DITARI!$G$6:$G$550,DITARI!$D$6:$D$550,$A246))</f>
        <v/>
      </c>
      <c r="F246" s="173" t="str">
        <f aca="false">IF($A246="","",MAX($D246-$E246,0))</f>
        <v/>
      </c>
      <c r="G246" s="173" t="str">
        <f aca="false">IF($A246="","",MAX($E246-$D246,0))</f>
        <v/>
      </c>
      <c r="H246" s="172" t="str">
        <f aca="false">IF($A246="","",IF($F246&gt;0,"Saldo Debit",IF($G246&gt;0,"Saldo Kredit","Zero")))</f>
        <v/>
      </c>
      <c r="I246" s="172" t="str">
        <f aca="false">IF($A246="","",IFERROR(VLOOKUP($A246,PLANI_LLOGARIVE!$A$2:$I$500,9,FALSE()),""))</f>
        <v/>
      </c>
      <c r="J246" s="101" t="str">
        <f aca="false">IF(A246="","",IF(OR(H246="Zero",I246="Debit/Credit"),"",IF(OR(AND(H246="Saldo Debit",I246="Debit"),AND(H246="Saldo Kredit",OR(I246="Credit",I246="Kredit"))),"","⚠️ JO NORMALE")))</f>
        <v/>
      </c>
    </row>
    <row r="247" customFormat="false" ht="12.75" hidden="false" customHeight="true" outlineLevel="0" collapsed="false">
      <c r="A247" s="174" t="str">
        <f aca="false">IF(AND(PLANI_LLOGARIVE!$A241&lt;&gt;"",PLANI_LLOGARIVE!$J241=TRUE()),PLANI_LLOGARIVE!$A241&amp;"","")</f>
        <v/>
      </c>
      <c r="B247" s="174" t="str">
        <f aca="false">IF($A247="","",IFERROR(VLOOKUP($A247,PLANI_LLOGARIVE!$A$2:$I$500,2,FALSE()),""))</f>
        <v/>
      </c>
      <c r="C247" s="174" t="str">
        <f aca="false">IF($A247="","",IFERROR(VLOOKUP($A247,PLANI_LLOGARIVE!$A$2:$I$500,4,FALSE()),""))</f>
        <v/>
      </c>
      <c r="D247" s="175" t="str">
        <f aca="false">IF($A247="","",SUMIFS(DITARI!$F$6:$F$550,DITARI!$D$6:$D$550,$A247))</f>
        <v/>
      </c>
      <c r="E247" s="175" t="str">
        <f aca="false">IF($A247="","",SUMIFS(DITARI!$G$6:$G$550,DITARI!$D$6:$D$550,$A247))</f>
        <v/>
      </c>
      <c r="F247" s="175" t="str">
        <f aca="false">IF($A247="","",MAX($D247-$E247,0))</f>
        <v/>
      </c>
      <c r="G247" s="175" t="str">
        <f aca="false">IF($A247="","",MAX($E247-$D247,0))</f>
        <v/>
      </c>
      <c r="H247" s="174" t="str">
        <f aca="false">IF($A247="","",IF($F247&gt;0,"Saldo Debit",IF($G247&gt;0,"Saldo Kredit","Zero")))</f>
        <v/>
      </c>
      <c r="I247" s="174" t="str">
        <f aca="false">IF($A247="","",IFERROR(VLOOKUP($A247,PLANI_LLOGARIVE!$A$2:$I$500,9,FALSE()),""))</f>
        <v/>
      </c>
      <c r="J247" s="101" t="str">
        <f aca="false">IF(A247="","",IF(OR(H247="Zero",I247="Debit/Credit"),"",IF(OR(AND(H247="Saldo Debit",I247="Debit"),AND(H247="Saldo Kredit",OR(I247="Credit",I247="Kredit"))),"","⚠️ JO NORMALE")))</f>
        <v/>
      </c>
    </row>
    <row r="248" customFormat="false" ht="12.75" hidden="false" customHeight="true" outlineLevel="0" collapsed="false">
      <c r="A248" s="172" t="str">
        <f aca="false">IF(AND(PLANI_LLOGARIVE!$A242&lt;&gt;"",PLANI_LLOGARIVE!$J242=TRUE()),PLANI_LLOGARIVE!$A242&amp;"","")</f>
        <v/>
      </c>
      <c r="B248" s="172" t="str">
        <f aca="false">IF($A248="","",IFERROR(VLOOKUP($A248,PLANI_LLOGARIVE!$A$2:$I$500,2,FALSE()),""))</f>
        <v/>
      </c>
      <c r="C248" s="172" t="str">
        <f aca="false">IF($A248="","",IFERROR(VLOOKUP($A248,PLANI_LLOGARIVE!$A$2:$I$500,4,FALSE()),""))</f>
        <v/>
      </c>
      <c r="D248" s="173" t="str">
        <f aca="false">IF($A248="","",SUMIFS(DITARI!$F$6:$F$550,DITARI!$D$6:$D$550,$A248))</f>
        <v/>
      </c>
      <c r="E248" s="173" t="str">
        <f aca="false">IF($A248="","",SUMIFS(DITARI!$G$6:$G$550,DITARI!$D$6:$D$550,$A248))</f>
        <v/>
      </c>
      <c r="F248" s="173" t="str">
        <f aca="false">IF($A248="","",MAX($D248-$E248,0))</f>
        <v/>
      </c>
      <c r="G248" s="173" t="str">
        <f aca="false">IF($A248="","",MAX($E248-$D248,0))</f>
        <v/>
      </c>
      <c r="H248" s="172" t="str">
        <f aca="false">IF($A248="","",IF($F248&gt;0,"Saldo Debit",IF($G248&gt;0,"Saldo Kredit","Zero")))</f>
        <v/>
      </c>
      <c r="I248" s="172" t="str">
        <f aca="false">IF($A248="","",IFERROR(VLOOKUP($A248,PLANI_LLOGARIVE!$A$2:$I$500,9,FALSE()),""))</f>
        <v/>
      </c>
      <c r="J248" s="101" t="str">
        <f aca="false">IF(A248="","",IF(OR(H248="Zero",I248="Debit/Credit"),"",IF(OR(AND(H248="Saldo Debit",I248="Debit"),AND(H248="Saldo Kredit",OR(I248="Credit",I248="Kredit"))),"","⚠️ JO NORMALE")))</f>
        <v/>
      </c>
    </row>
    <row r="249" customFormat="false" ht="12.75" hidden="false" customHeight="true" outlineLevel="0" collapsed="false">
      <c r="A249" s="174" t="str">
        <f aca="false">IF(AND(PLANI_LLOGARIVE!$A243&lt;&gt;"",PLANI_LLOGARIVE!$J243=TRUE()),PLANI_LLOGARIVE!$A243&amp;"","")</f>
        <v/>
      </c>
      <c r="B249" s="174" t="str">
        <f aca="false">IF($A249="","",IFERROR(VLOOKUP($A249,PLANI_LLOGARIVE!$A$2:$I$500,2,FALSE()),""))</f>
        <v/>
      </c>
      <c r="C249" s="174" t="str">
        <f aca="false">IF($A249="","",IFERROR(VLOOKUP($A249,PLANI_LLOGARIVE!$A$2:$I$500,4,FALSE()),""))</f>
        <v/>
      </c>
      <c r="D249" s="175" t="str">
        <f aca="false">IF($A249="","",SUMIFS(DITARI!$F$6:$F$550,DITARI!$D$6:$D$550,$A249))</f>
        <v/>
      </c>
      <c r="E249" s="175" t="str">
        <f aca="false">IF($A249="","",SUMIFS(DITARI!$G$6:$G$550,DITARI!$D$6:$D$550,$A249))</f>
        <v/>
      </c>
      <c r="F249" s="175" t="str">
        <f aca="false">IF($A249="","",MAX($D249-$E249,0))</f>
        <v/>
      </c>
      <c r="G249" s="175" t="str">
        <f aca="false">IF($A249="","",MAX($E249-$D249,0))</f>
        <v/>
      </c>
      <c r="H249" s="174" t="str">
        <f aca="false">IF($A249="","",IF($F249&gt;0,"Saldo Debit",IF($G249&gt;0,"Saldo Kredit","Zero")))</f>
        <v/>
      </c>
      <c r="I249" s="174" t="str">
        <f aca="false">IF($A249="","",IFERROR(VLOOKUP($A249,PLANI_LLOGARIVE!$A$2:$I$500,9,FALSE()),""))</f>
        <v/>
      </c>
      <c r="J249" s="101" t="str">
        <f aca="false">IF(A249="","",IF(OR(H249="Zero",I249="Debit/Credit"),"",IF(OR(AND(H249="Saldo Debit",I249="Debit"),AND(H249="Saldo Kredit",OR(I249="Credit",I249="Kredit"))),"","⚠️ JO NORMALE")))</f>
        <v/>
      </c>
    </row>
    <row r="250" customFormat="false" ht="12.75" hidden="false" customHeight="true" outlineLevel="0" collapsed="false">
      <c r="A250" s="172" t="str">
        <f aca="false">IF(AND(PLANI_LLOGARIVE!$A244&lt;&gt;"",PLANI_LLOGARIVE!$J244=TRUE()),PLANI_LLOGARIVE!$A244&amp;"","")</f>
        <v/>
      </c>
      <c r="B250" s="172" t="str">
        <f aca="false">IF($A250="","",IFERROR(VLOOKUP($A250,PLANI_LLOGARIVE!$A$2:$I$500,2,FALSE()),""))</f>
        <v/>
      </c>
      <c r="C250" s="172" t="str">
        <f aca="false">IF($A250="","",IFERROR(VLOOKUP($A250,PLANI_LLOGARIVE!$A$2:$I$500,4,FALSE()),""))</f>
        <v/>
      </c>
      <c r="D250" s="173" t="str">
        <f aca="false">IF($A250="","",SUMIFS(DITARI!$F$6:$F$550,DITARI!$D$6:$D$550,$A250))</f>
        <v/>
      </c>
      <c r="E250" s="173" t="str">
        <f aca="false">IF($A250="","",SUMIFS(DITARI!$G$6:$G$550,DITARI!$D$6:$D$550,$A250))</f>
        <v/>
      </c>
      <c r="F250" s="173" t="str">
        <f aca="false">IF($A250="","",MAX($D250-$E250,0))</f>
        <v/>
      </c>
      <c r="G250" s="173" t="str">
        <f aca="false">IF($A250="","",MAX($E250-$D250,0))</f>
        <v/>
      </c>
      <c r="H250" s="172" t="str">
        <f aca="false">IF($A250="","",IF($F250&gt;0,"Saldo Debit",IF($G250&gt;0,"Saldo Kredit","Zero")))</f>
        <v/>
      </c>
      <c r="I250" s="172" t="str">
        <f aca="false">IF($A250="","",IFERROR(VLOOKUP($A250,PLANI_LLOGARIVE!$A$2:$I$500,9,FALSE()),""))</f>
        <v/>
      </c>
      <c r="J250" s="101" t="str">
        <f aca="false">IF(A250="","",IF(OR(H250="Zero",I250="Debit/Credit"),"",IF(OR(AND(H250="Saldo Debit",I250="Debit"),AND(H250="Saldo Kredit",OR(I250="Credit",I250="Kredit"))),"","⚠️ JO NORMALE")))</f>
        <v/>
      </c>
    </row>
    <row r="251" customFormat="false" ht="12.75" hidden="false" customHeight="true" outlineLevel="0" collapsed="false">
      <c r="A251" s="174" t="str">
        <f aca="false">IF(AND(PLANI_LLOGARIVE!$A245&lt;&gt;"",PLANI_LLOGARIVE!$J245=TRUE()),PLANI_LLOGARIVE!$A245&amp;"","")</f>
        <v/>
      </c>
      <c r="B251" s="174" t="str">
        <f aca="false">IF($A251="","",IFERROR(VLOOKUP($A251,PLANI_LLOGARIVE!$A$2:$I$500,2,FALSE()),""))</f>
        <v/>
      </c>
      <c r="C251" s="174" t="str">
        <f aca="false">IF($A251="","",IFERROR(VLOOKUP($A251,PLANI_LLOGARIVE!$A$2:$I$500,4,FALSE()),""))</f>
        <v/>
      </c>
      <c r="D251" s="175" t="str">
        <f aca="false">IF($A251="","",SUMIFS(DITARI!$F$6:$F$550,DITARI!$D$6:$D$550,$A251))</f>
        <v/>
      </c>
      <c r="E251" s="175" t="str">
        <f aca="false">IF($A251="","",SUMIFS(DITARI!$G$6:$G$550,DITARI!$D$6:$D$550,$A251))</f>
        <v/>
      </c>
      <c r="F251" s="175" t="str">
        <f aca="false">IF($A251="","",MAX($D251-$E251,0))</f>
        <v/>
      </c>
      <c r="G251" s="175" t="str">
        <f aca="false">IF($A251="","",MAX($E251-$D251,0))</f>
        <v/>
      </c>
      <c r="H251" s="174" t="str">
        <f aca="false">IF($A251="","",IF($F251&gt;0,"Saldo Debit",IF($G251&gt;0,"Saldo Kredit","Zero")))</f>
        <v/>
      </c>
      <c r="I251" s="174" t="str">
        <f aca="false">IF($A251="","",IFERROR(VLOOKUP($A251,PLANI_LLOGARIVE!$A$2:$I$500,9,FALSE()),""))</f>
        <v/>
      </c>
      <c r="J251" s="101" t="str">
        <f aca="false">IF(A251="","",IF(OR(H251="Zero",I251="Debit/Credit"),"",IF(OR(AND(H251="Saldo Debit",I251="Debit"),AND(H251="Saldo Kredit",OR(I251="Credit",I251="Kredit"))),"","⚠️ JO NORMALE")))</f>
        <v/>
      </c>
    </row>
    <row r="252" customFormat="false" ht="12.75" hidden="false" customHeight="true" outlineLevel="0" collapsed="false">
      <c r="A252" s="172" t="str">
        <f aca="false">IF(AND(PLANI_LLOGARIVE!$A246&lt;&gt;"",PLANI_LLOGARIVE!$J246=TRUE()),PLANI_LLOGARIVE!$A246&amp;"","")</f>
        <v/>
      </c>
      <c r="B252" s="172" t="str">
        <f aca="false">IF($A252="","",IFERROR(VLOOKUP($A252,PLANI_LLOGARIVE!$A$2:$I$500,2,FALSE()),""))</f>
        <v/>
      </c>
      <c r="C252" s="172" t="str">
        <f aca="false">IF($A252="","",IFERROR(VLOOKUP($A252,PLANI_LLOGARIVE!$A$2:$I$500,4,FALSE()),""))</f>
        <v/>
      </c>
      <c r="D252" s="173" t="str">
        <f aca="false">IF($A252="","",SUMIFS(DITARI!$F$6:$F$550,DITARI!$D$6:$D$550,$A252))</f>
        <v/>
      </c>
      <c r="E252" s="173" t="str">
        <f aca="false">IF($A252="","",SUMIFS(DITARI!$G$6:$G$550,DITARI!$D$6:$D$550,$A252))</f>
        <v/>
      </c>
      <c r="F252" s="173" t="str">
        <f aca="false">IF($A252="","",MAX($D252-$E252,0))</f>
        <v/>
      </c>
      <c r="G252" s="173" t="str">
        <f aca="false">IF($A252="","",MAX($E252-$D252,0))</f>
        <v/>
      </c>
      <c r="H252" s="172" t="str">
        <f aca="false">IF($A252="","",IF($F252&gt;0,"Saldo Debit",IF($G252&gt;0,"Saldo Kredit","Zero")))</f>
        <v/>
      </c>
      <c r="I252" s="172" t="str">
        <f aca="false">IF($A252="","",IFERROR(VLOOKUP($A252,PLANI_LLOGARIVE!$A$2:$I$500,9,FALSE()),""))</f>
        <v/>
      </c>
      <c r="J252" s="101" t="str">
        <f aca="false">IF(A252="","",IF(OR(H252="Zero",I252="Debit/Credit"),"",IF(OR(AND(H252="Saldo Debit",I252="Debit"),AND(H252="Saldo Kredit",OR(I252="Credit",I252="Kredit"))),"","⚠️ JO NORMALE")))</f>
        <v/>
      </c>
    </row>
    <row r="253" customFormat="false" ht="12.75" hidden="false" customHeight="true" outlineLevel="0" collapsed="false">
      <c r="A253" s="174" t="str">
        <f aca="false">IF(AND(PLANI_LLOGARIVE!$A247&lt;&gt;"",PLANI_LLOGARIVE!$J247=TRUE()),PLANI_LLOGARIVE!$A247&amp;"","")</f>
        <v/>
      </c>
      <c r="B253" s="174" t="str">
        <f aca="false">IF($A253="","",IFERROR(VLOOKUP($A253,PLANI_LLOGARIVE!$A$2:$I$500,2,FALSE()),""))</f>
        <v/>
      </c>
      <c r="C253" s="174" t="str">
        <f aca="false">IF($A253="","",IFERROR(VLOOKUP($A253,PLANI_LLOGARIVE!$A$2:$I$500,4,FALSE()),""))</f>
        <v/>
      </c>
      <c r="D253" s="175" t="str">
        <f aca="false">IF($A253="","",SUMIFS(DITARI!$F$6:$F$550,DITARI!$D$6:$D$550,$A253))</f>
        <v/>
      </c>
      <c r="E253" s="175" t="str">
        <f aca="false">IF($A253="","",SUMIFS(DITARI!$G$6:$G$550,DITARI!$D$6:$D$550,$A253))</f>
        <v/>
      </c>
      <c r="F253" s="175" t="str">
        <f aca="false">IF($A253="","",MAX($D253-$E253,0))</f>
        <v/>
      </c>
      <c r="G253" s="175" t="str">
        <f aca="false">IF($A253="","",MAX($E253-$D253,0))</f>
        <v/>
      </c>
      <c r="H253" s="174" t="str">
        <f aca="false">IF($A253="","",IF($F253&gt;0,"Saldo Debit",IF($G253&gt;0,"Saldo Kredit","Zero")))</f>
        <v/>
      </c>
      <c r="I253" s="174" t="str">
        <f aca="false">IF($A253="","",IFERROR(VLOOKUP($A253,PLANI_LLOGARIVE!$A$2:$I$500,9,FALSE()),""))</f>
        <v/>
      </c>
      <c r="J253" s="101" t="str">
        <f aca="false">IF(A253="","",IF(OR(H253="Zero",I253="Debit/Credit"),"",IF(OR(AND(H253="Saldo Debit",I253="Debit"),AND(H253="Saldo Kredit",OR(I253="Credit",I253="Kredit"))),"","⚠️ JO NORMALE")))</f>
        <v/>
      </c>
    </row>
    <row r="254" customFormat="false" ht="12.75" hidden="false" customHeight="true" outlineLevel="0" collapsed="false">
      <c r="A254" s="172" t="str">
        <f aca="false">IF(AND(PLANI_LLOGARIVE!$A248&lt;&gt;"",PLANI_LLOGARIVE!$J248=TRUE()),PLANI_LLOGARIVE!$A248&amp;"","")</f>
        <v/>
      </c>
      <c r="B254" s="172" t="str">
        <f aca="false">IF($A254="","",IFERROR(VLOOKUP($A254,PLANI_LLOGARIVE!$A$2:$I$500,2,FALSE()),""))</f>
        <v/>
      </c>
      <c r="C254" s="172" t="str">
        <f aca="false">IF($A254="","",IFERROR(VLOOKUP($A254,PLANI_LLOGARIVE!$A$2:$I$500,4,FALSE()),""))</f>
        <v/>
      </c>
      <c r="D254" s="173" t="str">
        <f aca="false">IF($A254="","",SUMIFS(DITARI!$F$6:$F$550,DITARI!$D$6:$D$550,$A254))</f>
        <v/>
      </c>
      <c r="E254" s="173" t="str">
        <f aca="false">IF($A254="","",SUMIFS(DITARI!$G$6:$G$550,DITARI!$D$6:$D$550,$A254))</f>
        <v/>
      </c>
      <c r="F254" s="173" t="str">
        <f aca="false">IF($A254="","",MAX($D254-$E254,0))</f>
        <v/>
      </c>
      <c r="G254" s="173" t="str">
        <f aca="false">IF($A254="","",MAX($E254-$D254,0))</f>
        <v/>
      </c>
      <c r="H254" s="172" t="str">
        <f aca="false">IF($A254="","",IF($F254&gt;0,"Saldo Debit",IF($G254&gt;0,"Saldo Kredit","Zero")))</f>
        <v/>
      </c>
      <c r="I254" s="172" t="str">
        <f aca="false">IF($A254="","",IFERROR(VLOOKUP($A254,PLANI_LLOGARIVE!$A$2:$I$500,9,FALSE()),""))</f>
        <v/>
      </c>
      <c r="J254" s="101" t="str">
        <f aca="false">IF(A254="","",IF(OR(H254="Zero",I254="Debit/Credit"),"",IF(OR(AND(H254="Saldo Debit",I254="Debit"),AND(H254="Saldo Kredit",OR(I254="Credit",I254="Kredit"))),"","⚠️ JO NORMALE")))</f>
        <v/>
      </c>
    </row>
    <row r="255" customFormat="false" ht="12.75" hidden="false" customHeight="true" outlineLevel="0" collapsed="false">
      <c r="A255" s="174" t="str">
        <f aca="false">IF(AND(PLANI_LLOGARIVE!$A249&lt;&gt;"",PLANI_LLOGARIVE!$J249=TRUE()),PLANI_LLOGARIVE!$A249&amp;"","")</f>
        <v/>
      </c>
      <c r="B255" s="174" t="str">
        <f aca="false">IF($A255="","",IFERROR(VLOOKUP($A255,PLANI_LLOGARIVE!$A$2:$I$500,2,FALSE()),""))</f>
        <v/>
      </c>
      <c r="C255" s="174" t="str">
        <f aca="false">IF($A255="","",IFERROR(VLOOKUP($A255,PLANI_LLOGARIVE!$A$2:$I$500,4,FALSE()),""))</f>
        <v/>
      </c>
      <c r="D255" s="175" t="str">
        <f aca="false">IF($A255="","",SUMIFS(DITARI!$F$6:$F$550,DITARI!$D$6:$D$550,$A255))</f>
        <v/>
      </c>
      <c r="E255" s="175" t="str">
        <f aca="false">IF($A255="","",SUMIFS(DITARI!$G$6:$G$550,DITARI!$D$6:$D$550,$A255))</f>
        <v/>
      </c>
      <c r="F255" s="175" t="str">
        <f aca="false">IF($A255="","",MAX($D255-$E255,0))</f>
        <v/>
      </c>
      <c r="G255" s="175" t="str">
        <f aca="false">IF($A255="","",MAX($E255-$D255,0))</f>
        <v/>
      </c>
      <c r="H255" s="174" t="str">
        <f aca="false">IF($A255="","",IF($F255&gt;0,"Saldo Debit",IF($G255&gt;0,"Saldo Kredit","Zero")))</f>
        <v/>
      </c>
      <c r="I255" s="174" t="str">
        <f aca="false">IF($A255="","",IFERROR(VLOOKUP($A255,PLANI_LLOGARIVE!$A$2:$I$500,9,FALSE()),""))</f>
        <v/>
      </c>
      <c r="J255" s="101" t="str">
        <f aca="false">IF(A255="","",IF(OR(H255="Zero",I255="Debit/Credit"),"",IF(OR(AND(H255="Saldo Debit",I255="Debit"),AND(H255="Saldo Kredit",OR(I255="Credit",I255="Kredit"))),"","⚠️ JO NORMALE")))</f>
        <v/>
      </c>
    </row>
    <row r="256" customFormat="false" ht="12.75" hidden="false" customHeight="true" outlineLevel="0" collapsed="false">
      <c r="A256" s="172" t="str">
        <f aca="false">IF(AND(PLANI_LLOGARIVE!$A250&lt;&gt;"",PLANI_LLOGARIVE!$J250=TRUE()),PLANI_LLOGARIVE!$A250&amp;"","")</f>
        <v/>
      </c>
      <c r="B256" s="172" t="str">
        <f aca="false">IF($A256="","",IFERROR(VLOOKUP($A256,PLANI_LLOGARIVE!$A$2:$I$500,2,FALSE()),""))</f>
        <v/>
      </c>
      <c r="C256" s="172" t="str">
        <f aca="false">IF($A256="","",IFERROR(VLOOKUP($A256,PLANI_LLOGARIVE!$A$2:$I$500,4,FALSE()),""))</f>
        <v/>
      </c>
      <c r="D256" s="173" t="str">
        <f aca="false">IF($A256="","",SUMIFS(DITARI!$F$6:$F$550,DITARI!$D$6:$D$550,$A256))</f>
        <v/>
      </c>
      <c r="E256" s="173" t="str">
        <f aca="false">IF($A256="","",SUMIFS(DITARI!$G$6:$G$550,DITARI!$D$6:$D$550,$A256))</f>
        <v/>
      </c>
      <c r="F256" s="173" t="str">
        <f aca="false">IF($A256="","",MAX($D256-$E256,0))</f>
        <v/>
      </c>
      <c r="G256" s="173" t="str">
        <f aca="false">IF($A256="","",MAX($E256-$D256,0))</f>
        <v/>
      </c>
      <c r="H256" s="172" t="str">
        <f aca="false">IF($A256="","",IF($F256&gt;0,"Saldo Debit",IF($G256&gt;0,"Saldo Kredit","Zero")))</f>
        <v/>
      </c>
      <c r="I256" s="172" t="str">
        <f aca="false">IF($A256="","",IFERROR(VLOOKUP($A256,PLANI_LLOGARIVE!$A$2:$I$500,9,FALSE()),""))</f>
        <v/>
      </c>
      <c r="J256" s="101" t="str">
        <f aca="false">IF(A256="","",IF(OR(H256="Zero",I256="Debit/Credit"),"",IF(OR(AND(H256="Saldo Debit",I256="Debit"),AND(H256="Saldo Kredit",OR(I256="Credit",I256="Kredit"))),"","⚠️ JO NORMALE")))</f>
        <v/>
      </c>
    </row>
    <row r="257" customFormat="false" ht="12.75" hidden="false" customHeight="true" outlineLevel="0" collapsed="false">
      <c r="A257" s="174" t="str">
        <f aca="false">IF(AND(PLANI_LLOGARIVE!$A251&lt;&gt;"",PLANI_LLOGARIVE!$J251=TRUE()),PLANI_LLOGARIVE!$A251&amp;"","")</f>
        <v/>
      </c>
      <c r="B257" s="174" t="str">
        <f aca="false">IF($A257="","",IFERROR(VLOOKUP($A257,PLANI_LLOGARIVE!$A$2:$I$500,2,FALSE()),""))</f>
        <v/>
      </c>
      <c r="C257" s="174" t="str">
        <f aca="false">IF($A257="","",IFERROR(VLOOKUP($A257,PLANI_LLOGARIVE!$A$2:$I$500,4,FALSE()),""))</f>
        <v/>
      </c>
      <c r="D257" s="175" t="str">
        <f aca="false">IF($A257="","",SUMIFS(DITARI!$F$6:$F$550,DITARI!$D$6:$D$550,$A257))</f>
        <v/>
      </c>
      <c r="E257" s="175" t="str">
        <f aca="false">IF($A257="","",SUMIFS(DITARI!$G$6:$G$550,DITARI!$D$6:$D$550,$A257))</f>
        <v/>
      </c>
      <c r="F257" s="175" t="str">
        <f aca="false">IF($A257="","",MAX($D257-$E257,0))</f>
        <v/>
      </c>
      <c r="G257" s="175" t="str">
        <f aca="false">IF($A257="","",MAX($E257-$D257,0))</f>
        <v/>
      </c>
      <c r="H257" s="174" t="str">
        <f aca="false">IF($A257="","",IF($F257&gt;0,"Saldo Debit",IF($G257&gt;0,"Saldo Kredit","Zero")))</f>
        <v/>
      </c>
      <c r="I257" s="174" t="str">
        <f aca="false">IF($A257="","",IFERROR(VLOOKUP($A257,PLANI_LLOGARIVE!$A$2:$I$500,9,FALSE()),""))</f>
        <v/>
      </c>
      <c r="J257" s="101" t="str">
        <f aca="false">IF(A257="","",IF(OR(H257="Zero",I257="Debit/Credit"),"",IF(OR(AND(H257="Saldo Debit",I257="Debit"),AND(H257="Saldo Kredit",OR(I257="Credit",I257="Kredit"))),"","⚠️ JO NORMALE")))</f>
        <v/>
      </c>
    </row>
    <row r="258" customFormat="false" ht="12.75" hidden="false" customHeight="true" outlineLevel="0" collapsed="false">
      <c r="A258" s="172" t="str">
        <f aca="false">IF(AND(PLANI_LLOGARIVE!$A252&lt;&gt;"",PLANI_LLOGARIVE!$J252=TRUE()),PLANI_LLOGARIVE!$A252&amp;"","")</f>
        <v/>
      </c>
      <c r="B258" s="172" t="str">
        <f aca="false">IF($A258="","",IFERROR(VLOOKUP($A258,PLANI_LLOGARIVE!$A$2:$I$500,2,FALSE()),""))</f>
        <v/>
      </c>
      <c r="C258" s="172" t="str">
        <f aca="false">IF($A258="","",IFERROR(VLOOKUP($A258,PLANI_LLOGARIVE!$A$2:$I$500,4,FALSE()),""))</f>
        <v/>
      </c>
      <c r="D258" s="173" t="str">
        <f aca="false">IF($A258="","",SUMIFS(DITARI!$F$6:$F$550,DITARI!$D$6:$D$550,$A258))</f>
        <v/>
      </c>
      <c r="E258" s="173" t="str">
        <f aca="false">IF($A258="","",SUMIFS(DITARI!$G$6:$G$550,DITARI!$D$6:$D$550,$A258))</f>
        <v/>
      </c>
      <c r="F258" s="173" t="str">
        <f aca="false">IF($A258="","",MAX($D258-$E258,0))</f>
        <v/>
      </c>
      <c r="G258" s="173" t="str">
        <f aca="false">IF($A258="","",MAX($E258-$D258,0))</f>
        <v/>
      </c>
      <c r="H258" s="172" t="str">
        <f aca="false">IF($A258="","",IF($F258&gt;0,"Saldo Debit",IF($G258&gt;0,"Saldo Kredit","Zero")))</f>
        <v/>
      </c>
      <c r="I258" s="172" t="str">
        <f aca="false">IF($A258="","",IFERROR(VLOOKUP($A258,PLANI_LLOGARIVE!$A$2:$I$500,9,FALSE()),""))</f>
        <v/>
      </c>
      <c r="J258" s="101" t="str">
        <f aca="false">IF(A258="","",IF(OR(H258="Zero",I258="Debit/Credit"),"",IF(OR(AND(H258="Saldo Debit",I258="Debit"),AND(H258="Saldo Kredit",OR(I258="Credit",I258="Kredit"))),"","⚠️ JO NORMALE")))</f>
        <v/>
      </c>
    </row>
    <row r="259" customFormat="false" ht="12.75" hidden="false" customHeight="true" outlineLevel="0" collapsed="false">
      <c r="A259" s="174" t="str">
        <f aca="false">IF(AND(PLANI_LLOGARIVE!$A253&lt;&gt;"",PLANI_LLOGARIVE!$J253=TRUE()),PLANI_LLOGARIVE!$A253&amp;"","")</f>
        <v/>
      </c>
      <c r="B259" s="174" t="str">
        <f aca="false">IF($A259="","",IFERROR(VLOOKUP($A259,PLANI_LLOGARIVE!$A$2:$I$500,2,FALSE()),""))</f>
        <v/>
      </c>
      <c r="C259" s="174" t="str">
        <f aca="false">IF($A259="","",IFERROR(VLOOKUP($A259,PLANI_LLOGARIVE!$A$2:$I$500,4,FALSE()),""))</f>
        <v/>
      </c>
      <c r="D259" s="175" t="str">
        <f aca="false">IF($A259="","",SUMIFS(DITARI!$F$6:$F$550,DITARI!$D$6:$D$550,$A259))</f>
        <v/>
      </c>
      <c r="E259" s="175" t="str">
        <f aca="false">IF($A259="","",SUMIFS(DITARI!$G$6:$G$550,DITARI!$D$6:$D$550,$A259))</f>
        <v/>
      </c>
      <c r="F259" s="175" t="str">
        <f aca="false">IF($A259="","",MAX($D259-$E259,0))</f>
        <v/>
      </c>
      <c r="G259" s="175" t="str">
        <f aca="false">IF($A259="","",MAX($E259-$D259,0))</f>
        <v/>
      </c>
      <c r="H259" s="174" t="str">
        <f aca="false">IF($A259="","",IF($F259&gt;0,"Saldo Debit",IF($G259&gt;0,"Saldo Kredit","Zero")))</f>
        <v/>
      </c>
      <c r="I259" s="174" t="str">
        <f aca="false">IF($A259="","",IFERROR(VLOOKUP($A259,PLANI_LLOGARIVE!$A$2:$I$500,9,FALSE()),""))</f>
        <v/>
      </c>
      <c r="J259" s="101" t="str">
        <f aca="false">IF(A259="","",IF(OR(H259="Zero",I259="Debit/Credit"),"",IF(OR(AND(H259="Saldo Debit",I259="Debit"),AND(H259="Saldo Kredit",OR(I259="Credit",I259="Kredit"))),"","⚠️ JO NORMALE")))</f>
        <v/>
      </c>
    </row>
    <row r="260" customFormat="false" ht="12.75" hidden="false" customHeight="true" outlineLevel="0" collapsed="false">
      <c r="A260" s="172" t="str">
        <f aca="false">IF(AND(PLANI_LLOGARIVE!$A254&lt;&gt;"",PLANI_LLOGARIVE!$J254=TRUE()),PLANI_LLOGARIVE!$A254&amp;"","")</f>
        <v/>
      </c>
      <c r="B260" s="172" t="str">
        <f aca="false">IF($A260="","",IFERROR(VLOOKUP($A260,PLANI_LLOGARIVE!$A$2:$I$500,2,FALSE()),""))</f>
        <v/>
      </c>
      <c r="C260" s="172" t="str">
        <f aca="false">IF($A260="","",IFERROR(VLOOKUP($A260,PLANI_LLOGARIVE!$A$2:$I$500,4,FALSE()),""))</f>
        <v/>
      </c>
      <c r="D260" s="173" t="str">
        <f aca="false">IF($A260="","",SUMIFS(DITARI!$F$6:$F$550,DITARI!$D$6:$D$550,$A260))</f>
        <v/>
      </c>
      <c r="E260" s="173" t="str">
        <f aca="false">IF($A260="","",SUMIFS(DITARI!$G$6:$G$550,DITARI!$D$6:$D$550,$A260))</f>
        <v/>
      </c>
      <c r="F260" s="173" t="str">
        <f aca="false">IF($A260="","",MAX($D260-$E260,0))</f>
        <v/>
      </c>
      <c r="G260" s="173" t="str">
        <f aca="false">IF($A260="","",MAX($E260-$D260,0))</f>
        <v/>
      </c>
      <c r="H260" s="172" t="str">
        <f aca="false">IF($A260="","",IF($F260&gt;0,"Saldo Debit",IF($G260&gt;0,"Saldo Kredit","Zero")))</f>
        <v/>
      </c>
      <c r="I260" s="172" t="str">
        <f aca="false">IF($A260="","",IFERROR(VLOOKUP($A260,PLANI_LLOGARIVE!$A$2:$I$500,9,FALSE()),""))</f>
        <v/>
      </c>
      <c r="J260" s="101" t="str">
        <f aca="false">IF(A260="","",IF(OR(H260="Zero",I260="Debit/Credit"),"",IF(OR(AND(H260="Saldo Debit",I260="Debit"),AND(H260="Saldo Kredit",OR(I260="Credit",I260="Kredit"))),"","⚠️ JO NORMALE")))</f>
        <v/>
      </c>
    </row>
    <row r="261" customFormat="false" ht="12.75" hidden="false" customHeight="true" outlineLevel="0" collapsed="false">
      <c r="A261" s="174" t="str">
        <f aca="false">IF(AND(PLANI_LLOGARIVE!$A255&lt;&gt;"",PLANI_LLOGARIVE!$J255=TRUE()),PLANI_LLOGARIVE!$A255&amp;"","")</f>
        <v/>
      </c>
      <c r="B261" s="174" t="str">
        <f aca="false">IF($A261="","",IFERROR(VLOOKUP($A261,PLANI_LLOGARIVE!$A$2:$I$500,2,FALSE()),""))</f>
        <v/>
      </c>
      <c r="C261" s="174" t="str">
        <f aca="false">IF($A261="","",IFERROR(VLOOKUP($A261,PLANI_LLOGARIVE!$A$2:$I$500,4,FALSE()),""))</f>
        <v/>
      </c>
      <c r="D261" s="175" t="str">
        <f aca="false">IF($A261="","",SUMIFS(DITARI!$F$6:$F$550,DITARI!$D$6:$D$550,$A261))</f>
        <v/>
      </c>
      <c r="E261" s="175" t="str">
        <f aca="false">IF($A261="","",SUMIFS(DITARI!$G$6:$G$550,DITARI!$D$6:$D$550,$A261))</f>
        <v/>
      </c>
      <c r="F261" s="175" t="str">
        <f aca="false">IF($A261="","",MAX($D261-$E261,0))</f>
        <v/>
      </c>
      <c r="G261" s="175" t="str">
        <f aca="false">IF($A261="","",MAX($E261-$D261,0))</f>
        <v/>
      </c>
      <c r="H261" s="174" t="str">
        <f aca="false">IF($A261="","",IF($F261&gt;0,"Saldo Debit",IF($G261&gt;0,"Saldo Kredit","Zero")))</f>
        <v/>
      </c>
      <c r="I261" s="174" t="str">
        <f aca="false">IF($A261="","",IFERROR(VLOOKUP($A261,PLANI_LLOGARIVE!$A$2:$I$500,9,FALSE()),""))</f>
        <v/>
      </c>
      <c r="J261" s="101" t="str">
        <f aca="false">IF(A261="","",IF(OR(H261="Zero",I261="Debit/Credit"),"",IF(OR(AND(H261="Saldo Debit",I261="Debit"),AND(H261="Saldo Kredit",OR(I261="Credit",I261="Kredit"))),"","⚠️ JO NORMALE")))</f>
        <v/>
      </c>
    </row>
    <row r="262" customFormat="false" ht="12.75" hidden="false" customHeight="true" outlineLevel="0" collapsed="false">
      <c r="A262" s="172" t="str">
        <f aca="false">IF(AND(PLANI_LLOGARIVE!$A256&lt;&gt;"",PLANI_LLOGARIVE!$J256=TRUE()),PLANI_LLOGARIVE!$A256&amp;"","")</f>
        <v/>
      </c>
      <c r="B262" s="172" t="str">
        <f aca="false">IF($A262="","",IFERROR(VLOOKUP($A262,PLANI_LLOGARIVE!$A$2:$I$500,2,FALSE()),""))</f>
        <v/>
      </c>
      <c r="C262" s="172" t="str">
        <f aca="false">IF($A262="","",IFERROR(VLOOKUP($A262,PLANI_LLOGARIVE!$A$2:$I$500,4,FALSE()),""))</f>
        <v/>
      </c>
      <c r="D262" s="173" t="str">
        <f aca="false">IF($A262="","",SUMIFS(DITARI!$F$6:$F$550,DITARI!$D$6:$D$550,$A262))</f>
        <v/>
      </c>
      <c r="E262" s="173" t="str">
        <f aca="false">IF($A262="","",SUMIFS(DITARI!$G$6:$G$550,DITARI!$D$6:$D$550,$A262))</f>
        <v/>
      </c>
      <c r="F262" s="173" t="str">
        <f aca="false">IF($A262="","",MAX($D262-$E262,0))</f>
        <v/>
      </c>
      <c r="G262" s="173" t="str">
        <f aca="false">IF($A262="","",MAX($E262-$D262,0))</f>
        <v/>
      </c>
      <c r="H262" s="172" t="str">
        <f aca="false">IF($A262="","",IF($F262&gt;0,"Saldo Debit",IF($G262&gt;0,"Saldo Kredit","Zero")))</f>
        <v/>
      </c>
      <c r="I262" s="172" t="str">
        <f aca="false">IF($A262="","",IFERROR(VLOOKUP($A262,PLANI_LLOGARIVE!$A$2:$I$500,9,FALSE()),""))</f>
        <v/>
      </c>
      <c r="J262" s="101" t="str">
        <f aca="false">IF(A262="","",IF(OR(H262="Zero",I262="Debit/Credit"),"",IF(OR(AND(H262="Saldo Debit",I262="Debit"),AND(H262="Saldo Kredit",OR(I262="Credit",I262="Kredit"))),"","⚠️ JO NORMALE")))</f>
        <v/>
      </c>
    </row>
    <row r="263" customFormat="false" ht="12.75" hidden="false" customHeight="true" outlineLevel="0" collapsed="false">
      <c r="A263" s="174" t="str">
        <f aca="false">IF(AND(PLANI_LLOGARIVE!$A257&lt;&gt;"",PLANI_LLOGARIVE!$J257=TRUE()),PLANI_LLOGARIVE!$A257&amp;"","")</f>
        <v/>
      </c>
      <c r="B263" s="174" t="str">
        <f aca="false">IF($A263="","",IFERROR(VLOOKUP($A263,PLANI_LLOGARIVE!$A$2:$I$500,2,FALSE()),""))</f>
        <v/>
      </c>
      <c r="C263" s="174" t="str">
        <f aca="false">IF($A263="","",IFERROR(VLOOKUP($A263,PLANI_LLOGARIVE!$A$2:$I$500,4,FALSE()),""))</f>
        <v/>
      </c>
      <c r="D263" s="175" t="str">
        <f aca="false">IF($A263="","",SUMIFS(DITARI!$F$6:$F$550,DITARI!$D$6:$D$550,$A263))</f>
        <v/>
      </c>
      <c r="E263" s="175" t="str">
        <f aca="false">IF($A263="","",SUMIFS(DITARI!$G$6:$G$550,DITARI!$D$6:$D$550,$A263))</f>
        <v/>
      </c>
      <c r="F263" s="175" t="str">
        <f aca="false">IF($A263="","",MAX($D263-$E263,0))</f>
        <v/>
      </c>
      <c r="G263" s="175" t="str">
        <f aca="false">IF($A263="","",MAX($E263-$D263,0))</f>
        <v/>
      </c>
      <c r="H263" s="174" t="str">
        <f aca="false">IF($A263="","",IF($F263&gt;0,"Saldo Debit",IF($G263&gt;0,"Saldo Kredit","Zero")))</f>
        <v/>
      </c>
      <c r="I263" s="174" t="str">
        <f aca="false">IF($A263="","",IFERROR(VLOOKUP($A263,PLANI_LLOGARIVE!$A$2:$I$500,9,FALSE()),""))</f>
        <v/>
      </c>
      <c r="J263" s="101" t="str">
        <f aca="false">IF(A263="","",IF(OR(H263="Zero",I263="Debit/Credit"),"",IF(OR(AND(H263="Saldo Debit",I263="Debit"),AND(H263="Saldo Kredit",OR(I263="Credit",I263="Kredit"))),"","⚠️ JO NORMALE")))</f>
        <v/>
      </c>
    </row>
    <row r="264" customFormat="false" ht="12.75" hidden="false" customHeight="true" outlineLevel="0" collapsed="false">
      <c r="A264" s="172" t="str">
        <f aca="false">IF(AND(PLANI_LLOGARIVE!$A258&lt;&gt;"",PLANI_LLOGARIVE!$J258=TRUE()),PLANI_LLOGARIVE!$A258&amp;"","")</f>
        <v/>
      </c>
      <c r="B264" s="172" t="str">
        <f aca="false">IF($A264="","",IFERROR(VLOOKUP($A264,PLANI_LLOGARIVE!$A$2:$I$500,2,FALSE()),""))</f>
        <v/>
      </c>
      <c r="C264" s="172" t="str">
        <f aca="false">IF($A264="","",IFERROR(VLOOKUP($A264,PLANI_LLOGARIVE!$A$2:$I$500,4,FALSE()),""))</f>
        <v/>
      </c>
      <c r="D264" s="173" t="str">
        <f aca="false">IF($A264="","",SUMIFS(DITARI!$F$6:$F$550,DITARI!$D$6:$D$550,$A264))</f>
        <v/>
      </c>
      <c r="E264" s="173" t="str">
        <f aca="false">IF($A264="","",SUMIFS(DITARI!$G$6:$G$550,DITARI!$D$6:$D$550,$A264))</f>
        <v/>
      </c>
      <c r="F264" s="173" t="str">
        <f aca="false">IF($A264="","",MAX($D264-$E264,0))</f>
        <v/>
      </c>
      <c r="G264" s="173" t="str">
        <f aca="false">IF($A264="","",MAX($E264-$D264,0))</f>
        <v/>
      </c>
      <c r="H264" s="172" t="str">
        <f aca="false">IF($A264="","",IF($F264&gt;0,"Saldo Debit",IF($G264&gt;0,"Saldo Kredit","Zero")))</f>
        <v/>
      </c>
      <c r="I264" s="172" t="str">
        <f aca="false">IF($A264="","",IFERROR(VLOOKUP($A264,PLANI_LLOGARIVE!$A$2:$I$500,9,FALSE()),""))</f>
        <v/>
      </c>
      <c r="J264" s="101" t="str">
        <f aca="false">IF(A264="","",IF(OR(H264="Zero",I264="Debit/Credit"),"",IF(OR(AND(H264="Saldo Debit",I264="Debit"),AND(H264="Saldo Kredit",OR(I264="Credit",I264="Kredit"))),"","⚠️ JO NORMALE")))</f>
        <v/>
      </c>
    </row>
    <row r="265" customFormat="false" ht="12.75" hidden="false" customHeight="true" outlineLevel="0" collapsed="false">
      <c r="A265" s="174" t="str">
        <f aca="false">IF(AND(PLANI_LLOGARIVE!$A259&lt;&gt;"",PLANI_LLOGARIVE!$J259=TRUE()),PLANI_LLOGARIVE!$A259&amp;"","")</f>
        <v/>
      </c>
      <c r="B265" s="174" t="str">
        <f aca="false">IF($A265="","",IFERROR(VLOOKUP($A265,PLANI_LLOGARIVE!$A$2:$I$500,2,FALSE()),""))</f>
        <v/>
      </c>
      <c r="C265" s="174" t="str">
        <f aca="false">IF($A265="","",IFERROR(VLOOKUP($A265,PLANI_LLOGARIVE!$A$2:$I$500,4,FALSE()),""))</f>
        <v/>
      </c>
      <c r="D265" s="175" t="str">
        <f aca="false">IF($A265="","",SUMIFS(DITARI!$F$6:$F$550,DITARI!$D$6:$D$550,$A265))</f>
        <v/>
      </c>
      <c r="E265" s="175" t="str">
        <f aca="false">IF($A265="","",SUMIFS(DITARI!$G$6:$G$550,DITARI!$D$6:$D$550,$A265))</f>
        <v/>
      </c>
      <c r="F265" s="175" t="str">
        <f aca="false">IF($A265="","",MAX($D265-$E265,0))</f>
        <v/>
      </c>
      <c r="G265" s="175" t="str">
        <f aca="false">IF($A265="","",MAX($E265-$D265,0))</f>
        <v/>
      </c>
      <c r="H265" s="174" t="str">
        <f aca="false">IF($A265="","",IF($F265&gt;0,"Saldo Debit",IF($G265&gt;0,"Saldo Kredit","Zero")))</f>
        <v/>
      </c>
      <c r="I265" s="174" t="str">
        <f aca="false">IF($A265="","",IFERROR(VLOOKUP($A265,PLANI_LLOGARIVE!$A$2:$I$500,9,FALSE()),""))</f>
        <v/>
      </c>
      <c r="J265" s="101" t="str">
        <f aca="false">IF(A265="","",IF(OR(H265="Zero",I265="Debit/Credit"),"",IF(OR(AND(H265="Saldo Debit",I265="Debit"),AND(H265="Saldo Kredit",OR(I265="Credit",I265="Kredit"))),"","⚠️ JO NORMALE")))</f>
        <v/>
      </c>
    </row>
    <row r="266" customFormat="false" ht="12.75" hidden="false" customHeight="true" outlineLevel="0" collapsed="false">
      <c r="A266" s="172" t="str">
        <f aca="false">IF(AND(PLANI_LLOGARIVE!$A260&lt;&gt;"",PLANI_LLOGARIVE!$J260=TRUE()),PLANI_LLOGARIVE!$A260&amp;"","")</f>
        <v/>
      </c>
      <c r="B266" s="172" t="str">
        <f aca="false">IF($A266="","",IFERROR(VLOOKUP($A266,PLANI_LLOGARIVE!$A$2:$I$500,2,FALSE()),""))</f>
        <v/>
      </c>
      <c r="C266" s="172" t="str">
        <f aca="false">IF($A266="","",IFERROR(VLOOKUP($A266,PLANI_LLOGARIVE!$A$2:$I$500,4,FALSE()),""))</f>
        <v/>
      </c>
      <c r="D266" s="173" t="str">
        <f aca="false">IF($A266="","",SUMIFS(DITARI!$F$6:$F$550,DITARI!$D$6:$D$550,$A266))</f>
        <v/>
      </c>
      <c r="E266" s="173" t="str">
        <f aca="false">IF($A266="","",SUMIFS(DITARI!$G$6:$G$550,DITARI!$D$6:$D$550,$A266))</f>
        <v/>
      </c>
      <c r="F266" s="173" t="str">
        <f aca="false">IF($A266="","",MAX($D266-$E266,0))</f>
        <v/>
      </c>
      <c r="G266" s="173" t="str">
        <f aca="false">IF($A266="","",MAX($E266-$D266,0))</f>
        <v/>
      </c>
      <c r="H266" s="172" t="str">
        <f aca="false">IF($A266="","",IF($F266&gt;0,"Saldo Debit",IF($G266&gt;0,"Saldo Kredit","Zero")))</f>
        <v/>
      </c>
      <c r="I266" s="172" t="str">
        <f aca="false">IF($A266="","",IFERROR(VLOOKUP($A266,PLANI_LLOGARIVE!$A$2:$I$500,9,FALSE()),""))</f>
        <v/>
      </c>
      <c r="J266" s="101" t="str">
        <f aca="false">IF(A266="","",IF(OR(H266="Zero",I266="Debit/Credit"),"",IF(OR(AND(H266="Saldo Debit",I266="Debit"),AND(H266="Saldo Kredit",OR(I266="Credit",I266="Kredit"))),"","⚠️ JO NORMALE")))</f>
        <v/>
      </c>
    </row>
    <row r="267" customFormat="false" ht="12.75" hidden="false" customHeight="true" outlineLevel="0" collapsed="false">
      <c r="A267" s="174" t="str">
        <f aca="false">IF(AND(PLANI_LLOGARIVE!$A261&lt;&gt;"",PLANI_LLOGARIVE!$J261=TRUE()),PLANI_LLOGARIVE!$A261&amp;"","")</f>
        <v/>
      </c>
      <c r="B267" s="174" t="str">
        <f aca="false">IF($A267="","",IFERROR(VLOOKUP($A267,PLANI_LLOGARIVE!$A$2:$I$500,2,FALSE()),""))</f>
        <v/>
      </c>
      <c r="C267" s="174" t="str">
        <f aca="false">IF($A267="","",IFERROR(VLOOKUP($A267,PLANI_LLOGARIVE!$A$2:$I$500,4,FALSE()),""))</f>
        <v/>
      </c>
      <c r="D267" s="175" t="str">
        <f aca="false">IF($A267="","",SUMIFS(DITARI!$F$6:$F$550,DITARI!$D$6:$D$550,$A267))</f>
        <v/>
      </c>
      <c r="E267" s="175" t="str">
        <f aca="false">IF($A267="","",SUMIFS(DITARI!$G$6:$G$550,DITARI!$D$6:$D$550,$A267))</f>
        <v/>
      </c>
      <c r="F267" s="175" t="str">
        <f aca="false">IF($A267="","",MAX($D267-$E267,0))</f>
        <v/>
      </c>
      <c r="G267" s="175" t="str">
        <f aca="false">IF($A267="","",MAX($E267-$D267,0))</f>
        <v/>
      </c>
      <c r="H267" s="174" t="str">
        <f aca="false">IF($A267="","",IF($F267&gt;0,"Saldo Debit",IF($G267&gt;0,"Saldo Kredit","Zero")))</f>
        <v/>
      </c>
      <c r="I267" s="174" t="str">
        <f aca="false">IF($A267="","",IFERROR(VLOOKUP($A267,PLANI_LLOGARIVE!$A$2:$I$500,9,FALSE()),""))</f>
        <v/>
      </c>
      <c r="J267" s="101" t="str">
        <f aca="false">IF(A267="","",IF(OR(H267="Zero",I267="Debit/Credit"),"",IF(OR(AND(H267="Saldo Debit",I267="Debit"),AND(H267="Saldo Kredit",OR(I267="Credit",I267="Kredit"))),"","⚠️ JO NORMALE")))</f>
        <v/>
      </c>
    </row>
    <row r="268" customFormat="false" ht="12.75" hidden="false" customHeight="true" outlineLevel="0" collapsed="false">
      <c r="A268" s="172" t="str">
        <f aca="false">IF(AND(PLANI_LLOGARIVE!$A262&lt;&gt;"",PLANI_LLOGARIVE!$J262=TRUE()),PLANI_LLOGARIVE!$A262&amp;"","")</f>
        <v/>
      </c>
      <c r="B268" s="172" t="str">
        <f aca="false">IF($A268="","",IFERROR(VLOOKUP($A268,PLANI_LLOGARIVE!$A$2:$I$500,2,FALSE()),""))</f>
        <v/>
      </c>
      <c r="C268" s="172" t="str">
        <f aca="false">IF($A268="","",IFERROR(VLOOKUP($A268,PLANI_LLOGARIVE!$A$2:$I$500,4,FALSE()),""))</f>
        <v/>
      </c>
      <c r="D268" s="173" t="str">
        <f aca="false">IF($A268="","",SUMIFS(DITARI!$F$6:$F$550,DITARI!$D$6:$D$550,$A268))</f>
        <v/>
      </c>
      <c r="E268" s="173" t="str">
        <f aca="false">IF($A268="","",SUMIFS(DITARI!$G$6:$G$550,DITARI!$D$6:$D$550,$A268))</f>
        <v/>
      </c>
      <c r="F268" s="173" t="str">
        <f aca="false">IF($A268="","",MAX($D268-$E268,0))</f>
        <v/>
      </c>
      <c r="G268" s="173" t="str">
        <f aca="false">IF($A268="","",MAX($E268-$D268,0))</f>
        <v/>
      </c>
      <c r="H268" s="172" t="str">
        <f aca="false">IF($A268="","",IF($F268&gt;0,"Saldo Debit",IF($G268&gt;0,"Saldo Kredit","Zero")))</f>
        <v/>
      </c>
      <c r="I268" s="172" t="str">
        <f aca="false">IF($A268="","",IFERROR(VLOOKUP($A268,PLANI_LLOGARIVE!$A$2:$I$500,9,FALSE()),""))</f>
        <v/>
      </c>
      <c r="J268" s="101" t="str">
        <f aca="false">IF(A268="","",IF(OR(H268="Zero",I268="Debit/Credit"),"",IF(OR(AND(H268="Saldo Debit",I268="Debit"),AND(H268="Saldo Kredit",OR(I268="Credit",I268="Kredit"))),"","⚠️ JO NORMALE")))</f>
        <v/>
      </c>
    </row>
    <row r="269" customFormat="false" ht="12.75" hidden="false" customHeight="true" outlineLevel="0" collapsed="false">
      <c r="A269" s="174" t="str">
        <f aca="false">IF(AND(PLANI_LLOGARIVE!$A263&lt;&gt;"",PLANI_LLOGARIVE!$J263=TRUE()),PLANI_LLOGARIVE!$A263&amp;"","")</f>
        <v/>
      </c>
      <c r="B269" s="174" t="str">
        <f aca="false">IF($A269="","",IFERROR(VLOOKUP($A269,PLANI_LLOGARIVE!$A$2:$I$500,2,FALSE()),""))</f>
        <v/>
      </c>
      <c r="C269" s="174" t="str">
        <f aca="false">IF($A269="","",IFERROR(VLOOKUP($A269,PLANI_LLOGARIVE!$A$2:$I$500,4,FALSE()),""))</f>
        <v/>
      </c>
      <c r="D269" s="175" t="str">
        <f aca="false">IF($A269="","",SUMIFS(DITARI!$F$6:$F$550,DITARI!$D$6:$D$550,$A269))</f>
        <v/>
      </c>
      <c r="E269" s="175" t="str">
        <f aca="false">IF($A269="","",SUMIFS(DITARI!$G$6:$G$550,DITARI!$D$6:$D$550,$A269))</f>
        <v/>
      </c>
      <c r="F269" s="175" t="str">
        <f aca="false">IF($A269="","",MAX($D269-$E269,0))</f>
        <v/>
      </c>
      <c r="G269" s="175" t="str">
        <f aca="false">IF($A269="","",MAX($E269-$D269,0))</f>
        <v/>
      </c>
      <c r="H269" s="174" t="str">
        <f aca="false">IF($A269="","",IF($F269&gt;0,"Saldo Debit",IF($G269&gt;0,"Saldo Kredit","Zero")))</f>
        <v/>
      </c>
      <c r="I269" s="174" t="str">
        <f aca="false">IF($A269="","",IFERROR(VLOOKUP($A269,PLANI_LLOGARIVE!$A$2:$I$500,9,FALSE()),""))</f>
        <v/>
      </c>
      <c r="J269" s="101" t="str">
        <f aca="false">IF(A269="","",IF(OR(H269="Zero",I269="Debit/Credit"),"",IF(OR(AND(H269="Saldo Debit",I269="Debit"),AND(H269="Saldo Kredit",OR(I269="Credit",I269="Kredit"))),"","⚠️ JO NORMALE")))</f>
        <v/>
      </c>
    </row>
    <row r="270" customFormat="false" ht="12.75" hidden="false" customHeight="true" outlineLevel="0" collapsed="false">
      <c r="A270" s="172" t="str">
        <f aca="false">IF(AND(PLANI_LLOGARIVE!$A264&lt;&gt;"",PLANI_LLOGARIVE!$J264=TRUE()),PLANI_LLOGARIVE!$A264&amp;"","")</f>
        <v/>
      </c>
      <c r="B270" s="172" t="str">
        <f aca="false">IF($A270="","",IFERROR(VLOOKUP($A270,PLANI_LLOGARIVE!$A$2:$I$500,2,FALSE()),""))</f>
        <v/>
      </c>
      <c r="C270" s="172" t="str">
        <f aca="false">IF($A270="","",IFERROR(VLOOKUP($A270,PLANI_LLOGARIVE!$A$2:$I$500,4,FALSE()),""))</f>
        <v/>
      </c>
      <c r="D270" s="173" t="str">
        <f aca="false">IF($A270="","",SUMIFS(DITARI!$F$6:$F$550,DITARI!$D$6:$D$550,$A270))</f>
        <v/>
      </c>
      <c r="E270" s="173" t="str">
        <f aca="false">IF($A270="","",SUMIFS(DITARI!$G$6:$G$550,DITARI!$D$6:$D$550,$A270))</f>
        <v/>
      </c>
      <c r="F270" s="173" t="str">
        <f aca="false">IF($A270="","",MAX($D270-$E270,0))</f>
        <v/>
      </c>
      <c r="G270" s="173" t="str">
        <f aca="false">IF($A270="","",MAX($E270-$D270,0))</f>
        <v/>
      </c>
      <c r="H270" s="172" t="str">
        <f aca="false">IF($A270="","",IF($F270&gt;0,"Saldo Debit",IF($G270&gt;0,"Saldo Kredit","Zero")))</f>
        <v/>
      </c>
      <c r="I270" s="172" t="str">
        <f aca="false">IF($A270="","",IFERROR(VLOOKUP($A270,PLANI_LLOGARIVE!$A$2:$I$500,9,FALSE()),""))</f>
        <v/>
      </c>
      <c r="J270" s="101" t="str">
        <f aca="false">IF(A270="","",IF(OR(H270="Zero",I270="Debit/Credit"),"",IF(OR(AND(H270="Saldo Debit",I270="Debit"),AND(H270="Saldo Kredit",OR(I270="Credit",I270="Kredit"))),"","⚠️ JO NORMALE")))</f>
        <v/>
      </c>
    </row>
    <row r="271" customFormat="false" ht="12.75" hidden="false" customHeight="true" outlineLevel="0" collapsed="false">
      <c r="A271" s="174" t="str">
        <f aca="false">IF(AND(PLANI_LLOGARIVE!$A265&lt;&gt;"",PLANI_LLOGARIVE!$J265=TRUE()),PLANI_LLOGARIVE!$A265&amp;"","")</f>
        <v/>
      </c>
      <c r="B271" s="174" t="str">
        <f aca="false">IF($A271="","",IFERROR(VLOOKUP($A271,PLANI_LLOGARIVE!$A$2:$I$500,2,FALSE()),""))</f>
        <v/>
      </c>
      <c r="C271" s="174" t="str">
        <f aca="false">IF($A271="","",IFERROR(VLOOKUP($A271,PLANI_LLOGARIVE!$A$2:$I$500,4,FALSE()),""))</f>
        <v/>
      </c>
      <c r="D271" s="175" t="str">
        <f aca="false">IF($A271="","",SUMIFS(DITARI!$F$6:$F$550,DITARI!$D$6:$D$550,$A271))</f>
        <v/>
      </c>
      <c r="E271" s="175" t="str">
        <f aca="false">IF($A271="","",SUMIFS(DITARI!$G$6:$G$550,DITARI!$D$6:$D$550,$A271))</f>
        <v/>
      </c>
      <c r="F271" s="175" t="str">
        <f aca="false">IF($A271="","",MAX($D271-$E271,0))</f>
        <v/>
      </c>
      <c r="G271" s="175" t="str">
        <f aca="false">IF($A271="","",MAX($E271-$D271,0))</f>
        <v/>
      </c>
      <c r="H271" s="174" t="str">
        <f aca="false">IF($A271="","",IF($F271&gt;0,"Saldo Debit",IF($G271&gt;0,"Saldo Kredit","Zero")))</f>
        <v/>
      </c>
      <c r="I271" s="174" t="str">
        <f aca="false">IF($A271="","",IFERROR(VLOOKUP($A271,PLANI_LLOGARIVE!$A$2:$I$500,9,FALSE()),""))</f>
        <v/>
      </c>
      <c r="J271" s="101" t="str">
        <f aca="false">IF(A271="","",IF(OR(H271="Zero",I271="Debit/Credit"),"",IF(OR(AND(H271="Saldo Debit",I271="Debit"),AND(H271="Saldo Kredit",OR(I271="Credit",I271="Kredit"))),"","⚠️ JO NORMALE")))</f>
        <v/>
      </c>
    </row>
    <row r="272" customFormat="false" ht="12.75" hidden="false" customHeight="true" outlineLevel="0" collapsed="false">
      <c r="A272" s="172" t="str">
        <f aca="false">IF(AND(PLANI_LLOGARIVE!$A266&lt;&gt;"",PLANI_LLOGARIVE!$J266=TRUE()),PLANI_LLOGARIVE!$A266&amp;"","")</f>
        <v/>
      </c>
      <c r="B272" s="172" t="str">
        <f aca="false">IF($A272="","",IFERROR(VLOOKUP($A272,PLANI_LLOGARIVE!$A$2:$I$500,2,FALSE()),""))</f>
        <v/>
      </c>
      <c r="C272" s="172" t="str">
        <f aca="false">IF($A272="","",IFERROR(VLOOKUP($A272,PLANI_LLOGARIVE!$A$2:$I$500,4,FALSE()),""))</f>
        <v/>
      </c>
      <c r="D272" s="173" t="str">
        <f aca="false">IF($A272="","",SUMIFS(DITARI!$F$6:$F$550,DITARI!$D$6:$D$550,$A272))</f>
        <v/>
      </c>
      <c r="E272" s="173" t="str">
        <f aca="false">IF($A272="","",SUMIFS(DITARI!$G$6:$G$550,DITARI!$D$6:$D$550,$A272))</f>
        <v/>
      </c>
      <c r="F272" s="173" t="str">
        <f aca="false">IF($A272="","",MAX($D272-$E272,0))</f>
        <v/>
      </c>
      <c r="G272" s="173" t="str">
        <f aca="false">IF($A272="","",MAX($E272-$D272,0))</f>
        <v/>
      </c>
      <c r="H272" s="172" t="str">
        <f aca="false">IF($A272="","",IF($F272&gt;0,"Saldo Debit",IF($G272&gt;0,"Saldo Kredit","Zero")))</f>
        <v/>
      </c>
      <c r="I272" s="172" t="str">
        <f aca="false">IF($A272="","",IFERROR(VLOOKUP($A272,PLANI_LLOGARIVE!$A$2:$I$500,9,FALSE()),""))</f>
        <v/>
      </c>
      <c r="J272" s="101" t="str">
        <f aca="false">IF(A272="","",IF(OR(H272="Zero",I272="Debit/Credit"),"",IF(OR(AND(H272="Saldo Debit",I272="Debit"),AND(H272="Saldo Kredit",OR(I272="Credit",I272="Kredit"))),"","⚠️ JO NORMALE")))</f>
        <v/>
      </c>
    </row>
    <row r="273" customFormat="false" ht="12.75" hidden="false" customHeight="true" outlineLevel="0" collapsed="false">
      <c r="A273" s="174" t="str">
        <f aca="false">IF(AND(PLANI_LLOGARIVE!$A267&lt;&gt;"",PLANI_LLOGARIVE!$J267=TRUE()),PLANI_LLOGARIVE!$A267&amp;"","")</f>
        <v/>
      </c>
      <c r="B273" s="174" t="str">
        <f aca="false">IF($A273="","",IFERROR(VLOOKUP($A273,PLANI_LLOGARIVE!$A$2:$I$500,2,FALSE()),""))</f>
        <v/>
      </c>
      <c r="C273" s="174" t="str">
        <f aca="false">IF($A273="","",IFERROR(VLOOKUP($A273,PLANI_LLOGARIVE!$A$2:$I$500,4,FALSE()),""))</f>
        <v/>
      </c>
      <c r="D273" s="175" t="str">
        <f aca="false">IF($A273="","",SUMIFS(DITARI!$F$6:$F$550,DITARI!$D$6:$D$550,$A273))</f>
        <v/>
      </c>
      <c r="E273" s="175" t="str">
        <f aca="false">IF($A273="","",SUMIFS(DITARI!$G$6:$G$550,DITARI!$D$6:$D$550,$A273))</f>
        <v/>
      </c>
      <c r="F273" s="175" t="str">
        <f aca="false">IF($A273="","",MAX($D273-$E273,0))</f>
        <v/>
      </c>
      <c r="G273" s="175" t="str">
        <f aca="false">IF($A273="","",MAX($E273-$D273,0))</f>
        <v/>
      </c>
      <c r="H273" s="174" t="str">
        <f aca="false">IF($A273="","",IF($F273&gt;0,"Saldo Debit",IF($G273&gt;0,"Saldo Kredit","Zero")))</f>
        <v/>
      </c>
      <c r="I273" s="174" t="str">
        <f aca="false">IF($A273="","",IFERROR(VLOOKUP($A273,PLANI_LLOGARIVE!$A$2:$I$500,9,FALSE()),""))</f>
        <v/>
      </c>
      <c r="J273" s="101" t="str">
        <f aca="false">IF(A273="","",IF(OR(H273="Zero",I273="Debit/Credit"),"",IF(OR(AND(H273="Saldo Debit",I273="Debit"),AND(H273="Saldo Kredit",OR(I273="Credit",I273="Kredit"))),"","⚠️ JO NORMALE")))</f>
        <v/>
      </c>
    </row>
    <row r="274" customFormat="false" ht="12.75" hidden="false" customHeight="true" outlineLevel="0" collapsed="false">
      <c r="A274" s="172" t="str">
        <f aca="false">IF(AND(PLANI_LLOGARIVE!$A268&lt;&gt;"",PLANI_LLOGARIVE!$J268=TRUE()),PLANI_LLOGARIVE!$A268&amp;"","")</f>
        <v/>
      </c>
      <c r="B274" s="172" t="str">
        <f aca="false">IF($A274="","",IFERROR(VLOOKUP($A274,PLANI_LLOGARIVE!$A$2:$I$500,2,FALSE()),""))</f>
        <v/>
      </c>
      <c r="C274" s="172" t="str">
        <f aca="false">IF($A274="","",IFERROR(VLOOKUP($A274,PLANI_LLOGARIVE!$A$2:$I$500,4,FALSE()),""))</f>
        <v/>
      </c>
      <c r="D274" s="173" t="str">
        <f aca="false">IF($A274="","",SUMIFS(DITARI!$F$6:$F$550,DITARI!$D$6:$D$550,$A274))</f>
        <v/>
      </c>
      <c r="E274" s="173" t="str">
        <f aca="false">IF($A274="","",SUMIFS(DITARI!$G$6:$G$550,DITARI!$D$6:$D$550,$A274))</f>
        <v/>
      </c>
      <c r="F274" s="173" t="str">
        <f aca="false">IF($A274="","",MAX($D274-$E274,0))</f>
        <v/>
      </c>
      <c r="G274" s="173" t="str">
        <f aca="false">IF($A274="","",MAX($E274-$D274,0))</f>
        <v/>
      </c>
      <c r="H274" s="172" t="str">
        <f aca="false">IF($A274="","",IF($F274&gt;0,"Saldo Debit",IF($G274&gt;0,"Saldo Kredit","Zero")))</f>
        <v/>
      </c>
      <c r="I274" s="172" t="str">
        <f aca="false">IF($A274="","",IFERROR(VLOOKUP($A274,PLANI_LLOGARIVE!$A$2:$I$500,9,FALSE()),""))</f>
        <v/>
      </c>
      <c r="J274" s="101" t="str">
        <f aca="false">IF(A274="","",IF(OR(H274="Zero",I274="Debit/Credit"),"",IF(OR(AND(H274="Saldo Debit",I274="Debit"),AND(H274="Saldo Kredit",OR(I274="Credit",I274="Kredit"))),"","⚠️ JO NORMALE")))</f>
        <v/>
      </c>
    </row>
    <row r="275" customFormat="false" ht="12.75" hidden="false" customHeight="true" outlineLevel="0" collapsed="false">
      <c r="A275" s="174" t="str">
        <f aca="false">IF(AND(PLANI_LLOGARIVE!$A269&lt;&gt;"",PLANI_LLOGARIVE!$J269=TRUE()),PLANI_LLOGARIVE!$A269&amp;"","")</f>
        <v/>
      </c>
      <c r="B275" s="174" t="str">
        <f aca="false">IF($A275="","",IFERROR(VLOOKUP($A275,PLANI_LLOGARIVE!$A$2:$I$500,2,FALSE()),""))</f>
        <v/>
      </c>
      <c r="C275" s="174" t="str">
        <f aca="false">IF($A275="","",IFERROR(VLOOKUP($A275,PLANI_LLOGARIVE!$A$2:$I$500,4,FALSE()),""))</f>
        <v/>
      </c>
      <c r="D275" s="175" t="str">
        <f aca="false">IF($A275="","",SUMIFS(DITARI!$F$6:$F$550,DITARI!$D$6:$D$550,$A275))</f>
        <v/>
      </c>
      <c r="E275" s="175" t="str">
        <f aca="false">IF($A275="","",SUMIFS(DITARI!$G$6:$G$550,DITARI!$D$6:$D$550,$A275))</f>
        <v/>
      </c>
      <c r="F275" s="175" t="str">
        <f aca="false">IF($A275="","",MAX($D275-$E275,0))</f>
        <v/>
      </c>
      <c r="G275" s="175" t="str">
        <f aca="false">IF($A275="","",MAX($E275-$D275,0))</f>
        <v/>
      </c>
      <c r="H275" s="174" t="str">
        <f aca="false">IF($A275="","",IF($F275&gt;0,"Saldo Debit",IF($G275&gt;0,"Saldo Kredit","Zero")))</f>
        <v/>
      </c>
      <c r="I275" s="174" t="str">
        <f aca="false">IF($A275="","",IFERROR(VLOOKUP($A275,PLANI_LLOGARIVE!$A$2:$I$500,9,FALSE()),""))</f>
        <v/>
      </c>
      <c r="J275" s="101" t="str">
        <f aca="false">IF(A275="","",IF(OR(H275="Zero",I275="Debit/Credit"),"",IF(OR(AND(H275="Saldo Debit",I275="Debit"),AND(H275="Saldo Kredit",OR(I275="Credit",I275="Kredit"))),"","⚠️ JO NORMALE")))</f>
        <v/>
      </c>
    </row>
    <row r="276" customFormat="false" ht="12.75" hidden="false" customHeight="true" outlineLevel="0" collapsed="false">
      <c r="A276" s="172" t="str">
        <f aca="false">IF(AND(PLANI_LLOGARIVE!$A270&lt;&gt;"",PLANI_LLOGARIVE!$J270=TRUE()),PLANI_LLOGARIVE!$A270&amp;"","")</f>
        <v/>
      </c>
      <c r="B276" s="172" t="str">
        <f aca="false">IF($A276="","",IFERROR(VLOOKUP($A276,PLANI_LLOGARIVE!$A$2:$I$500,2,FALSE()),""))</f>
        <v/>
      </c>
      <c r="C276" s="172" t="str">
        <f aca="false">IF($A276="","",IFERROR(VLOOKUP($A276,PLANI_LLOGARIVE!$A$2:$I$500,4,FALSE()),""))</f>
        <v/>
      </c>
      <c r="D276" s="173" t="str">
        <f aca="false">IF($A276="","",SUMIFS(DITARI!$F$6:$F$550,DITARI!$D$6:$D$550,$A276))</f>
        <v/>
      </c>
      <c r="E276" s="173" t="str">
        <f aca="false">IF($A276="","",SUMIFS(DITARI!$G$6:$G$550,DITARI!$D$6:$D$550,$A276))</f>
        <v/>
      </c>
      <c r="F276" s="173" t="str">
        <f aca="false">IF($A276="","",MAX($D276-$E276,0))</f>
        <v/>
      </c>
      <c r="G276" s="173" t="str">
        <f aca="false">IF($A276="","",MAX($E276-$D276,0))</f>
        <v/>
      </c>
      <c r="H276" s="172" t="str">
        <f aca="false">IF($A276="","",IF($F276&gt;0,"Saldo Debit",IF($G276&gt;0,"Saldo Kredit","Zero")))</f>
        <v/>
      </c>
      <c r="I276" s="172" t="str">
        <f aca="false">IF($A276="","",IFERROR(VLOOKUP($A276,PLANI_LLOGARIVE!$A$2:$I$500,9,FALSE()),""))</f>
        <v/>
      </c>
      <c r="J276" s="101" t="str">
        <f aca="false">IF(A276="","",IF(OR(H276="Zero",I276="Debit/Credit"),"",IF(OR(AND(H276="Saldo Debit",I276="Debit"),AND(H276="Saldo Kredit",OR(I276="Credit",I276="Kredit"))),"","⚠️ JO NORMALE")))</f>
        <v/>
      </c>
    </row>
    <row r="277" customFormat="false" ht="12.75" hidden="false" customHeight="true" outlineLevel="0" collapsed="false">
      <c r="A277" s="174" t="str">
        <f aca="false">IF(AND(PLANI_LLOGARIVE!$A271&lt;&gt;"",PLANI_LLOGARIVE!$J271=TRUE()),PLANI_LLOGARIVE!$A271&amp;"","")</f>
        <v/>
      </c>
      <c r="B277" s="174" t="str">
        <f aca="false">IF($A277="","",IFERROR(VLOOKUP($A277,PLANI_LLOGARIVE!$A$2:$I$500,2,FALSE()),""))</f>
        <v/>
      </c>
      <c r="C277" s="174" t="str">
        <f aca="false">IF($A277="","",IFERROR(VLOOKUP($A277,PLANI_LLOGARIVE!$A$2:$I$500,4,FALSE()),""))</f>
        <v/>
      </c>
      <c r="D277" s="175" t="str">
        <f aca="false">IF($A277="","",SUMIFS(DITARI!$F$6:$F$550,DITARI!$D$6:$D$550,$A277))</f>
        <v/>
      </c>
      <c r="E277" s="175" t="str">
        <f aca="false">IF($A277="","",SUMIFS(DITARI!$G$6:$G$550,DITARI!$D$6:$D$550,$A277))</f>
        <v/>
      </c>
      <c r="F277" s="175" t="str">
        <f aca="false">IF($A277="","",MAX($D277-$E277,0))</f>
        <v/>
      </c>
      <c r="G277" s="175" t="str">
        <f aca="false">IF($A277="","",MAX($E277-$D277,0))</f>
        <v/>
      </c>
      <c r="H277" s="174" t="str">
        <f aca="false">IF($A277="","",IF($F277&gt;0,"Saldo Debit",IF($G277&gt;0,"Saldo Kredit","Zero")))</f>
        <v/>
      </c>
      <c r="I277" s="174" t="str">
        <f aca="false">IF($A277="","",IFERROR(VLOOKUP($A277,PLANI_LLOGARIVE!$A$2:$I$500,9,FALSE()),""))</f>
        <v/>
      </c>
      <c r="J277" s="101" t="str">
        <f aca="false">IF(A277="","",IF(OR(H277="Zero",I277="Debit/Credit"),"",IF(OR(AND(H277="Saldo Debit",I277="Debit"),AND(H277="Saldo Kredit",OR(I277="Credit",I277="Kredit"))),"","⚠️ JO NORMALE")))</f>
        <v/>
      </c>
    </row>
    <row r="278" customFormat="false" ht="12.75" hidden="false" customHeight="true" outlineLevel="0" collapsed="false">
      <c r="A278" s="172" t="str">
        <f aca="false">IF(AND(PLANI_LLOGARIVE!$A272&lt;&gt;"",PLANI_LLOGARIVE!$J272=TRUE()),PLANI_LLOGARIVE!$A272&amp;"","")</f>
        <v/>
      </c>
      <c r="B278" s="172" t="str">
        <f aca="false">IF($A278="","",IFERROR(VLOOKUP($A278,PLANI_LLOGARIVE!$A$2:$I$500,2,FALSE()),""))</f>
        <v/>
      </c>
      <c r="C278" s="172" t="str">
        <f aca="false">IF($A278="","",IFERROR(VLOOKUP($A278,PLANI_LLOGARIVE!$A$2:$I$500,4,FALSE()),""))</f>
        <v/>
      </c>
      <c r="D278" s="173" t="str">
        <f aca="false">IF($A278="","",SUMIFS(DITARI!$F$6:$F$550,DITARI!$D$6:$D$550,$A278))</f>
        <v/>
      </c>
      <c r="E278" s="173" t="str">
        <f aca="false">IF($A278="","",SUMIFS(DITARI!$G$6:$G$550,DITARI!$D$6:$D$550,$A278))</f>
        <v/>
      </c>
      <c r="F278" s="173" t="str">
        <f aca="false">IF($A278="","",MAX($D278-$E278,0))</f>
        <v/>
      </c>
      <c r="G278" s="173" t="str">
        <f aca="false">IF($A278="","",MAX($E278-$D278,0))</f>
        <v/>
      </c>
      <c r="H278" s="172" t="str">
        <f aca="false">IF($A278="","",IF($F278&gt;0,"Saldo Debit",IF($G278&gt;0,"Saldo Kredit","Zero")))</f>
        <v/>
      </c>
      <c r="I278" s="172" t="str">
        <f aca="false">IF($A278="","",IFERROR(VLOOKUP($A278,PLANI_LLOGARIVE!$A$2:$I$500,9,FALSE()),""))</f>
        <v/>
      </c>
      <c r="J278" s="101" t="str">
        <f aca="false">IF(A278="","",IF(OR(H278="Zero",I278="Debit/Credit"),"",IF(OR(AND(H278="Saldo Debit",I278="Debit"),AND(H278="Saldo Kredit",OR(I278="Credit",I278="Kredit"))),"","⚠️ JO NORMALE")))</f>
        <v/>
      </c>
    </row>
    <row r="279" customFormat="false" ht="12.75" hidden="false" customHeight="true" outlineLevel="0" collapsed="false">
      <c r="A279" s="174" t="str">
        <f aca="false">IF(AND(PLANI_LLOGARIVE!$A273&lt;&gt;"",PLANI_LLOGARIVE!$J273=TRUE()),PLANI_LLOGARIVE!$A273&amp;"","")</f>
        <v/>
      </c>
      <c r="B279" s="174" t="str">
        <f aca="false">IF($A279="","",IFERROR(VLOOKUP($A279,PLANI_LLOGARIVE!$A$2:$I$500,2,FALSE()),""))</f>
        <v/>
      </c>
      <c r="C279" s="174" t="str">
        <f aca="false">IF($A279="","",IFERROR(VLOOKUP($A279,PLANI_LLOGARIVE!$A$2:$I$500,4,FALSE()),""))</f>
        <v/>
      </c>
      <c r="D279" s="175" t="str">
        <f aca="false">IF($A279="","",SUMIFS(DITARI!$F$6:$F$550,DITARI!$D$6:$D$550,$A279))</f>
        <v/>
      </c>
      <c r="E279" s="175" t="str">
        <f aca="false">IF($A279="","",SUMIFS(DITARI!$G$6:$G$550,DITARI!$D$6:$D$550,$A279))</f>
        <v/>
      </c>
      <c r="F279" s="175" t="str">
        <f aca="false">IF($A279="","",MAX($D279-$E279,0))</f>
        <v/>
      </c>
      <c r="G279" s="175" t="str">
        <f aca="false">IF($A279="","",MAX($E279-$D279,0))</f>
        <v/>
      </c>
      <c r="H279" s="174" t="str">
        <f aca="false">IF($A279="","",IF($F279&gt;0,"Saldo Debit",IF($G279&gt;0,"Saldo Kredit","Zero")))</f>
        <v/>
      </c>
      <c r="I279" s="174" t="str">
        <f aca="false">IF($A279="","",IFERROR(VLOOKUP($A279,PLANI_LLOGARIVE!$A$2:$I$500,9,FALSE()),""))</f>
        <v/>
      </c>
      <c r="J279" s="101" t="str">
        <f aca="false">IF(A279="","",IF(OR(H279="Zero",I279="Debit/Credit"),"",IF(OR(AND(H279="Saldo Debit",I279="Debit"),AND(H279="Saldo Kredit",OR(I279="Credit",I279="Kredit"))),"","⚠️ JO NORMALE")))</f>
        <v/>
      </c>
    </row>
    <row r="280" customFormat="false" ht="12.75" hidden="false" customHeight="true" outlineLevel="0" collapsed="false">
      <c r="A280" s="172" t="str">
        <f aca="false">IF(AND(PLANI_LLOGARIVE!$A274&lt;&gt;"",PLANI_LLOGARIVE!$J274=TRUE()),PLANI_LLOGARIVE!$A274&amp;"","")</f>
        <v/>
      </c>
      <c r="B280" s="172" t="str">
        <f aca="false">IF($A280="","",IFERROR(VLOOKUP($A280,PLANI_LLOGARIVE!$A$2:$I$500,2,FALSE()),""))</f>
        <v/>
      </c>
      <c r="C280" s="172" t="str">
        <f aca="false">IF($A280="","",IFERROR(VLOOKUP($A280,PLANI_LLOGARIVE!$A$2:$I$500,4,FALSE()),""))</f>
        <v/>
      </c>
      <c r="D280" s="173" t="str">
        <f aca="false">IF($A280="","",SUMIFS(DITARI!$F$6:$F$550,DITARI!$D$6:$D$550,$A280))</f>
        <v/>
      </c>
      <c r="E280" s="173" t="str">
        <f aca="false">IF($A280="","",SUMIFS(DITARI!$G$6:$G$550,DITARI!$D$6:$D$550,$A280))</f>
        <v/>
      </c>
      <c r="F280" s="173" t="str">
        <f aca="false">IF($A280="","",MAX($D280-$E280,0))</f>
        <v/>
      </c>
      <c r="G280" s="173" t="str">
        <f aca="false">IF($A280="","",MAX($E280-$D280,0))</f>
        <v/>
      </c>
      <c r="H280" s="172" t="str">
        <f aca="false">IF($A280="","",IF($F280&gt;0,"Saldo Debit",IF($G280&gt;0,"Saldo Kredit","Zero")))</f>
        <v/>
      </c>
      <c r="I280" s="172" t="str">
        <f aca="false">IF($A280="","",IFERROR(VLOOKUP($A280,PLANI_LLOGARIVE!$A$2:$I$500,9,FALSE()),""))</f>
        <v/>
      </c>
      <c r="J280" s="101" t="str">
        <f aca="false">IF(A280="","",IF(OR(H280="Zero",I280="Debit/Credit"),"",IF(OR(AND(H280="Saldo Debit",I280="Debit"),AND(H280="Saldo Kredit",OR(I280="Credit",I280="Kredit"))),"","⚠️ JO NORMALE")))</f>
        <v/>
      </c>
    </row>
    <row r="281" customFormat="false" ht="12.75" hidden="false" customHeight="true" outlineLevel="0" collapsed="false">
      <c r="A281" s="174" t="str">
        <f aca="false">IF(AND(PLANI_LLOGARIVE!$A275&lt;&gt;"",PLANI_LLOGARIVE!$J275=TRUE()),PLANI_LLOGARIVE!$A275&amp;"","")</f>
        <v/>
      </c>
      <c r="B281" s="174" t="str">
        <f aca="false">IF($A281="","",IFERROR(VLOOKUP($A281,PLANI_LLOGARIVE!$A$2:$I$500,2,FALSE()),""))</f>
        <v/>
      </c>
      <c r="C281" s="174" t="str">
        <f aca="false">IF($A281="","",IFERROR(VLOOKUP($A281,PLANI_LLOGARIVE!$A$2:$I$500,4,FALSE()),""))</f>
        <v/>
      </c>
      <c r="D281" s="175" t="str">
        <f aca="false">IF($A281="","",SUMIFS(DITARI!$F$6:$F$550,DITARI!$D$6:$D$550,$A281))</f>
        <v/>
      </c>
      <c r="E281" s="175" t="str">
        <f aca="false">IF($A281="","",SUMIFS(DITARI!$G$6:$G$550,DITARI!$D$6:$D$550,$A281))</f>
        <v/>
      </c>
      <c r="F281" s="175" t="str">
        <f aca="false">IF($A281="","",MAX($D281-$E281,0))</f>
        <v/>
      </c>
      <c r="G281" s="175" t="str">
        <f aca="false">IF($A281="","",MAX($E281-$D281,0))</f>
        <v/>
      </c>
      <c r="H281" s="174" t="str">
        <f aca="false">IF($A281="","",IF($F281&gt;0,"Saldo Debit",IF($G281&gt;0,"Saldo Kredit","Zero")))</f>
        <v/>
      </c>
      <c r="I281" s="174" t="str">
        <f aca="false">IF($A281="","",IFERROR(VLOOKUP($A281,PLANI_LLOGARIVE!$A$2:$I$500,9,FALSE()),""))</f>
        <v/>
      </c>
      <c r="J281" s="101" t="str">
        <f aca="false">IF(A281="","",IF(OR(H281="Zero",I281="Debit/Credit"),"",IF(OR(AND(H281="Saldo Debit",I281="Debit"),AND(H281="Saldo Kredit",OR(I281="Credit",I281="Kredit"))),"","⚠️ JO NORMALE")))</f>
        <v/>
      </c>
    </row>
    <row r="282" customFormat="false" ht="12.75" hidden="false" customHeight="true" outlineLevel="0" collapsed="false">
      <c r="A282" s="172" t="str">
        <f aca="false">IF(AND(PLANI_LLOGARIVE!$A276&lt;&gt;"",PLANI_LLOGARIVE!$J276=TRUE()),PLANI_LLOGARIVE!$A276&amp;"","")</f>
        <v/>
      </c>
      <c r="B282" s="172" t="str">
        <f aca="false">IF($A282="","",IFERROR(VLOOKUP($A282,PLANI_LLOGARIVE!$A$2:$I$500,2,FALSE()),""))</f>
        <v/>
      </c>
      <c r="C282" s="172" t="str">
        <f aca="false">IF($A282="","",IFERROR(VLOOKUP($A282,PLANI_LLOGARIVE!$A$2:$I$500,4,FALSE()),""))</f>
        <v/>
      </c>
      <c r="D282" s="173" t="str">
        <f aca="false">IF($A282="","",SUMIFS(DITARI!$F$6:$F$550,DITARI!$D$6:$D$550,$A282))</f>
        <v/>
      </c>
      <c r="E282" s="173" t="str">
        <f aca="false">IF($A282="","",SUMIFS(DITARI!$G$6:$G$550,DITARI!$D$6:$D$550,$A282))</f>
        <v/>
      </c>
      <c r="F282" s="173" t="str">
        <f aca="false">IF($A282="","",MAX($D282-$E282,0))</f>
        <v/>
      </c>
      <c r="G282" s="173" t="str">
        <f aca="false">IF($A282="","",MAX($E282-$D282,0))</f>
        <v/>
      </c>
      <c r="H282" s="172" t="str">
        <f aca="false">IF($A282="","",IF($F282&gt;0,"Saldo Debit",IF($G282&gt;0,"Saldo Kredit","Zero")))</f>
        <v/>
      </c>
      <c r="I282" s="172" t="str">
        <f aca="false">IF($A282="","",IFERROR(VLOOKUP($A282,PLANI_LLOGARIVE!$A$2:$I$500,9,FALSE()),""))</f>
        <v/>
      </c>
      <c r="J282" s="101" t="str">
        <f aca="false">IF(A282="","",IF(OR(H282="Zero",I282="Debit/Credit"),"",IF(OR(AND(H282="Saldo Debit",I282="Debit"),AND(H282="Saldo Kredit",OR(I282="Credit",I282="Kredit"))),"","⚠️ JO NORMALE")))</f>
        <v/>
      </c>
    </row>
    <row r="283" customFormat="false" ht="12.75" hidden="false" customHeight="true" outlineLevel="0" collapsed="false">
      <c r="A283" s="174" t="str">
        <f aca="false">IF(AND(PLANI_LLOGARIVE!$A277&lt;&gt;"",PLANI_LLOGARIVE!$J277=TRUE()),PLANI_LLOGARIVE!$A277&amp;"","")</f>
        <v/>
      </c>
      <c r="B283" s="174" t="str">
        <f aca="false">IF($A283="","",IFERROR(VLOOKUP($A283,PLANI_LLOGARIVE!$A$2:$I$500,2,FALSE()),""))</f>
        <v/>
      </c>
      <c r="C283" s="174" t="str">
        <f aca="false">IF($A283="","",IFERROR(VLOOKUP($A283,PLANI_LLOGARIVE!$A$2:$I$500,4,FALSE()),""))</f>
        <v/>
      </c>
      <c r="D283" s="175" t="str">
        <f aca="false">IF($A283="","",SUMIFS(DITARI!$F$6:$F$550,DITARI!$D$6:$D$550,$A283))</f>
        <v/>
      </c>
      <c r="E283" s="175" t="str">
        <f aca="false">IF($A283="","",SUMIFS(DITARI!$G$6:$G$550,DITARI!$D$6:$D$550,$A283))</f>
        <v/>
      </c>
      <c r="F283" s="175" t="str">
        <f aca="false">IF($A283="","",MAX($D283-$E283,0))</f>
        <v/>
      </c>
      <c r="G283" s="175" t="str">
        <f aca="false">IF($A283="","",MAX($E283-$D283,0))</f>
        <v/>
      </c>
      <c r="H283" s="174" t="str">
        <f aca="false">IF($A283="","",IF($F283&gt;0,"Saldo Debit",IF($G283&gt;0,"Saldo Kredit","Zero")))</f>
        <v/>
      </c>
      <c r="I283" s="174" t="str">
        <f aca="false">IF($A283="","",IFERROR(VLOOKUP($A283,PLANI_LLOGARIVE!$A$2:$I$500,9,FALSE()),""))</f>
        <v/>
      </c>
      <c r="J283" s="101" t="str">
        <f aca="false">IF(A283="","",IF(OR(H283="Zero",I283="Debit/Credit"),"",IF(OR(AND(H283="Saldo Debit",I283="Debit"),AND(H283="Saldo Kredit",OR(I283="Credit",I283="Kredit"))),"","⚠️ JO NORMALE")))</f>
        <v/>
      </c>
    </row>
    <row r="284" customFormat="false" ht="12.75" hidden="false" customHeight="true" outlineLevel="0" collapsed="false">
      <c r="A284" s="172" t="str">
        <f aca="false">IF(AND(PLANI_LLOGARIVE!$A278&lt;&gt;"",PLANI_LLOGARIVE!$J278=TRUE()),PLANI_LLOGARIVE!$A278&amp;"","")</f>
        <v/>
      </c>
      <c r="B284" s="172" t="str">
        <f aca="false">IF($A284="","",IFERROR(VLOOKUP($A284,PLANI_LLOGARIVE!$A$2:$I$500,2,FALSE()),""))</f>
        <v/>
      </c>
      <c r="C284" s="172" t="str">
        <f aca="false">IF($A284="","",IFERROR(VLOOKUP($A284,PLANI_LLOGARIVE!$A$2:$I$500,4,FALSE()),""))</f>
        <v/>
      </c>
      <c r="D284" s="173" t="str">
        <f aca="false">IF($A284="","",SUMIFS(DITARI!$F$6:$F$550,DITARI!$D$6:$D$550,$A284))</f>
        <v/>
      </c>
      <c r="E284" s="173" t="str">
        <f aca="false">IF($A284="","",SUMIFS(DITARI!$G$6:$G$550,DITARI!$D$6:$D$550,$A284))</f>
        <v/>
      </c>
      <c r="F284" s="173" t="str">
        <f aca="false">IF($A284="","",MAX($D284-$E284,0))</f>
        <v/>
      </c>
      <c r="G284" s="173" t="str">
        <f aca="false">IF($A284="","",MAX($E284-$D284,0))</f>
        <v/>
      </c>
      <c r="H284" s="172" t="str">
        <f aca="false">IF($A284="","",IF($F284&gt;0,"Saldo Debit",IF($G284&gt;0,"Saldo Kredit","Zero")))</f>
        <v/>
      </c>
      <c r="I284" s="172" t="str">
        <f aca="false">IF($A284="","",IFERROR(VLOOKUP($A284,PLANI_LLOGARIVE!$A$2:$I$500,9,FALSE()),""))</f>
        <v/>
      </c>
      <c r="J284" s="101" t="str">
        <f aca="false">IF(A284="","",IF(OR(H284="Zero",I284="Debit/Credit"),"",IF(OR(AND(H284="Saldo Debit",I284="Debit"),AND(H284="Saldo Kredit",OR(I284="Credit",I284="Kredit"))),"","⚠️ JO NORMALE")))</f>
        <v/>
      </c>
    </row>
    <row r="285" customFormat="false" ht="12.75" hidden="false" customHeight="true" outlineLevel="0" collapsed="false">
      <c r="A285" s="174" t="str">
        <f aca="false">IF(AND(PLANI_LLOGARIVE!$A279&lt;&gt;"",PLANI_LLOGARIVE!$J279=TRUE()),PLANI_LLOGARIVE!$A279&amp;"","")</f>
        <v/>
      </c>
      <c r="B285" s="174" t="str">
        <f aca="false">IF($A285="","",IFERROR(VLOOKUP($A285,PLANI_LLOGARIVE!$A$2:$I$500,2,FALSE()),""))</f>
        <v/>
      </c>
      <c r="C285" s="174" t="str">
        <f aca="false">IF($A285="","",IFERROR(VLOOKUP($A285,PLANI_LLOGARIVE!$A$2:$I$500,4,FALSE()),""))</f>
        <v/>
      </c>
      <c r="D285" s="175" t="str">
        <f aca="false">IF($A285="","",SUMIFS(DITARI!$F$6:$F$550,DITARI!$D$6:$D$550,$A285))</f>
        <v/>
      </c>
      <c r="E285" s="175" t="str">
        <f aca="false">IF($A285="","",SUMIFS(DITARI!$G$6:$G$550,DITARI!$D$6:$D$550,$A285))</f>
        <v/>
      </c>
      <c r="F285" s="175" t="str">
        <f aca="false">IF($A285="","",MAX($D285-$E285,0))</f>
        <v/>
      </c>
      <c r="G285" s="175" t="str">
        <f aca="false">IF($A285="","",MAX($E285-$D285,0))</f>
        <v/>
      </c>
      <c r="H285" s="174" t="str">
        <f aca="false">IF($A285="","",IF($F285&gt;0,"Saldo Debit",IF($G285&gt;0,"Saldo Kredit","Zero")))</f>
        <v/>
      </c>
      <c r="I285" s="174" t="str">
        <f aca="false">IF($A285="","",IFERROR(VLOOKUP($A285,PLANI_LLOGARIVE!$A$2:$I$500,9,FALSE()),""))</f>
        <v/>
      </c>
      <c r="J285" s="101" t="str">
        <f aca="false">IF(A285="","",IF(OR(H285="Zero",I285="Debit/Credit"),"",IF(OR(AND(H285="Saldo Debit",I285="Debit"),AND(H285="Saldo Kredit",OR(I285="Credit",I285="Kredit"))),"","⚠️ JO NORMALE")))</f>
        <v/>
      </c>
    </row>
    <row r="286" customFormat="false" ht="12.75" hidden="false" customHeight="true" outlineLevel="0" collapsed="false">
      <c r="A286" s="172" t="str">
        <f aca="false">IF(AND(PLANI_LLOGARIVE!$A280&lt;&gt;"",PLANI_LLOGARIVE!$J280=TRUE()),PLANI_LLOGARIVE!$A280&amp;"","")</f>
        <v/>
      </c>
      <c r="B286" s="172" t="str">
        <f aca="false">IF($A286="","",IFERROR(VLOOKUP($A286,PLANI_LLOGARIVE!$A$2:$I$500,2,FALSE()),""))</f>
        <v/>
      </c>
      <c r="C286" s="172" t="str">
        <f aca="false">IF($A286="","",IFERROR(VLOOKUP($A286,PLANI_LLOGARIVE!$A$2:$I$500,4,FALSE()),""))</f>
        <v/>
      </c>
      <c r="D286" s="173" t="str">
        <f aca="false">IF($A286="","",SUMIFS(DITARI!$F$6:$F$550,DITARI!$D$6:$D$550,$A286))</f>
        <v/>
      </c>
      <c r="E286" s="173" t="str">
        <f aca="false">IF($A286="","",SUMIFS(DITARI!$G$6:$G$550,DITARI!$D$6:$D$550,$A286))</f>
        <v/>
      </c>
      <c r="F286" s="173" t="str">
        <f aca="false">IF($A286="","",MAX($D286-$E286,0))</f>
        <v/>
      </c>
      <c r="G286" s="173" t="str">
        <f aca="false">IF($A286="","",MAX($E286-$D286,0))</f>
        <v/>
      </c>
      <c r="H286" s="172" t="str">
        <f aca="false">IF($A286="","",IF($F286&gt;0,"Saldo Debit",IF($G286&gt;0,"Saldo Kredit","Zero")))</f>
        <v/>
      </c>
      <c r="I286" s="172" t="str">
        <f aca="false">IF($A286="","",IFERROR(VLOOKUP($A286,PLANI_LLOGARIVE!$A$2:$I$500,9,FALSE()),""))</f>
        <v/>
      </c>
      <c r="J286" s="101" t="str">
        <f aca="false">IF(A286="","",IF(OR(H286="Zero",I286="Debit/Credit"),"",IF(OR(AND(H286="Saldo Debit",I286="Debit"),AND(H286="Saldo Kredit",OR(I286="Credit",I286="Kredit"))),"","⚠️ JO NORMALE")))</f>
        <v/>
      </c>
    </row>
    <row r="287" customFormat="false" ht="12.75" hidden="false" customHeight="true" outlineLevel="0" collapsed="false">
      <c r="A287" s="174" t="str">
        <f aca="false">IF(AND(PLANI_LLOGARIVE!$A281&lt;&gt;"",PLANI_LLOGARIVE!$J281=TRUE()),PLANI_LLOGARIVE!$A281&amp;"","")</f>
        <v/>
      </c>
      <c r="B287" s="174" t="str">
        <f aca="false">IF($A287="","",IFERROR(VLOOKUP($A287,PLANI_LLOGARIVE!$A$2:$I$500,2,FALSE()),""))</f>
        <v/>
      </c>
      <c r="C287" s="174" t="str">
        <f aca="false">IF($A287="","",IFERROR(VLOOKUP($A287,PLANI_LLOGARIVE!$A$2:$I$500,4,FALSE()),""))</f>
        <v/>
      </c>
      <c r="D287" s="175" t="str">
        <f aca="false">IF($A287="","",SUMIFS(DITARI!$F$6:$F$550,DITARI!$D$6:$D$550,$A287))</f>
        <v/>
      </c>
      <c r="E287" s="175" t="str">
        <f aca="false">IF($A287="","",SUMIFS(DITARI!$G$6:$G$550,DITARI!$D$6:$D$550,$A287))</f>
        <v/>
      </c>
      <c r="F287" s="175" t="str">
        <f aca="false">IF($A287="","",MAX($D287-$E287,0))</f>
        <v/>
      </c>
      <c r="G287" s="175" t="str">
        <f aca="false">IF($A287="","",MAX($E287-$D287,0))</f>
        <v/>
      </c>
      <c r="H287" s="174" t="str">
        <f aca="false">IF($A287="","",IF($F287&gt;0,"Saldo Debit",IF($G287&gt;0,"Saldo Kredit","Zero")))</f>
        <v/>
      </c>
      <c r="I287" s="174" t="str">
        <f aca="false">IF($A287="","",IFERROR(VLOOKUP($A287,PLANI_LLOGARIVE!$A$2:$I$500,9,FALSE()),""))</f>
        <v/>
      </c>
      <c r="J287" s="101" t="str">
        <f aca="false">IF(A287="","",IF(OR(H287="Zero",I287="Debit/Credit"),"",IF(OR(AND(H287="Saldo Debit",I287="Debit"),AND(H287="Saldo Kredit",OR(I287="Credit",I287="Kredit"))),"","⚠️ JO NORMALE")))</f>
        <v/>
      </c>
    </row>
    <row r="288" customFormat="false" ht="12.75" hidden="false" customHeight="true" outlineLevel="0" collapsed="false">
      <c r="A288" s="172" t="str">
        <f aca="false">IF(AND(PLANI_LLOGARIVE!$A282&lt;&gt;"",PLANI_LLOGARIVE!$J282=TRUE()),PLANI_LLOGARIVE!$A282&amp;"","")</f>
        <v/>
      </c>
      <c r="B288" s="172" t="str">
        <f aca="false">IF($A288="","",IFERROR(VLOOKUP($A288,PLANI_LLOGARIVE!$A$2:$I$500,2,FALSE()),""))</f>
        <v/>
      </c>
      <c r="C288" s="172" t="str">
        <f aca="false">IF($A288="","",IFERROR(VLOOKUP($A288,PLANI_LLOGARIVE!$A$2:$I$500,4,FALSE()),""))</f>
        <v/>
      </c>
      <c r="D288" s="173" t="str">
        <f aca="false">IF($A288="","",SUMIFS(DITARI!$F$6:$F$550,DITARI!$D$6:$D$550,$A288))</f>
        <v/>
      </c>
      <c r="E288" s="173" t="str">
        <f aca="false">IF($A288="","",SUMIFS(DITARI!$G$6:$G$550,DITARI!$D$6:$D$550,$A288))</f>
        <v/>
      </c>
      <c r="F288" s="173" t="str">
        <f aca="false">IF($A288="","",MAX($D288-$E288,0))</f>
        <v/>
      </c>
      <c r="G288" s="173" t="str">
        <f aca="false">IF($A288="","",MAX($E288-$D288,0))</f>
        <v/>
      </c>
      <c r="H288" s="172" t="str">
        <f aca="false">IF($A288="","",IF($F288&gt;0,"Saldo Debit",IF($G288&gt;0,"Saldo Kredit","Zero")))</f>
        <v/>
      </c>
      <c r="I288" s="172" t="str">
        <f aca="false">IF($A288="","",IFERROR(VLOOKUP($A288,PLANI_LLOGARIVE!$A$2:$I$500,9,FALSE()),""))</f>
        <v/>
      </c>
      <c r="J288" s="101" t="str">
        <f aca="false">IF(A288="","",IF(OR(H288="Zero",I288="Debit/Credit"),"",IF(OR(AND(H288="Saldo Debit",I288="Debit"),AND(H288="Saldo Kredit",OR(I288="Credit",I288="Kredit"))),"","⚠️ JO NORMALE")))</f>
        <v/>
      </c>
    </row>
    <row r="289" customFormat="false" ht="12.75" hidden="false" customHeight="true" outlineLevel="0" collapsed="false">
      <c r="A289" s="174" t="str">
        <f aca="false">IF(AND(PLANI_LLOGARIVE!$A283&lt;&gt;"",PLANI_LLOGARIVE!$J283=TRUE()),PLANI_LLOGARIVE!$A283&amp;"","")</f>
        <v/>
      </c>
      <c r="B289" s="174" t="str">
        <f aca="false">IF($A289="","",IFERROR(VLOOKUP($A289,PLANI_LLOGARIVE!$A$2:$I$500,2,FALSE()),""))</f>
        <v/>
      </c>
      <c r="C289" s="174" t="str">
        <f aca="false">IF($A289="","",IFERROR(VLOOKUP($A289,PLANI_LLOGARIVE!$A$2:$I$500,4,FALSE()),""))</f>
        <v/>
      </c>
      <c r="D289" s="175" t="str">
        <f aca="false">IF($A289="","",SUMIFS(DITARI!$F$6:$F$550,DITARI!$D$6:$D$550,$A289))</f>
        <v/>
      </c>
      <c r="E289" s="175" t="str">
        <f aca="false">IF($A289="","",SUMIFS(DITARI!$G$6:$G$550,DITARI!$D$6:$D$550,$A289))</f>
        <v/>
      </c>
      <c r="F289" s="175" t="str">
        <f aca="false">IF($A289="","",MAX($D289-$E289,0))</f>
        <v/>
      </c>
      <c r="G289" s="175" t="str">
        <f aca="false">IF($A289="","",MAX($E289-$D289,0))</f>
        <v/>
      </c>
      <c r="H289" s="174" t="str">
        <f aca="false">IF($A289="","",IF($F289&gt;0,"Saldo Debit",IF($G289&gt;0,"Saldo Kredit","Zero")))</f>
        <v/>
      </c>
      <c r="I289" s="174" t="str">
        <f aca="false">IF($A289="","",IFERROR(VLOOKUP($A289,PLANI_LLOGARIVE!$A$2:$I$500,9,FALSE()),""))</f>
        <v/>
      </c>
      <c r="J289" s="101" t="str">
        <f aca="false">IF(A289="","",IF(OR(H289="Zero",I289="Debit/Credit"),"",IF(OR(AND(H289="Saldo Debit",I289="Debit"),AND(H289="Saldo Kredit",OR(I289="Credit",I289="Kredit"))),"","⚠️ JO NORMALE")))</f>
        <v/>
      </c>
    </row>
    <row r="290" customFormat="false" ht="12.75" hidden="false" customHeight="true" outlineLevel="0" collapsed="false">
      <c r="A290" s="172" t="str">
        <f aca="false">IF(AND(PLANI_LLOGARIVE!$A284&lt;&gt;"",PLANI_LLOGARIVE!$J284=TRUE()),PLANI_LLOGARIVE!$A284&amp;"","")</f>
        <v/>
      </c>
      <c r="B290" s="172" t="str">
        <f aca="false">IF($A290="","",IFERROR(VLOOKUP($A290,PLANI_LLOGARIVE!$A$2:$I$500,2,FALSE()),""))</f>
        <v/>
      </c>
      <c r="C290" s="172" t="str">
        <f aca="false">IF($A290="","",IFERROR(VLOOKUP($A290,PLANI_LLOGARIVE!$A$2:$I$500,4,FALSE()),""))</f>
        <v/>
      </c>
      <c r="D290" s="173" t="str">
        <f aca="false">IF($A290="","",SUMIFS(DITARI!$F$6:$F$550,DITARI!$D$6:$D$550,$A290))</f>
        <v/>
      </c>
      <c r="E290" s="173" t="str">
        <f aca="false">IF($A290="","",SUMIFS(DITARI!$G$6:$G$550,DITARI!$D$6:$D$550,$A290))</f>
        <v/>
      </c>
      <c r="F290" s="173" t="str">
        <f aca="false">IF($A290="","",MAX($D290-$E290,0))</f>
        <v/>
      </c>
      <c r="G290" s="173" t="str">
        <f aca="false">IF($A290="","",MAX($E290-$D290,0))</f>
        <v/>
      </c>
      <c r="H290" s="172" t="str">
        <f aca="false">IF($A290="","",IF($F290&gt;0,"Saldo Debit",IF($G290&gt;0,"Saldo Kredit","Zero")))</f>
        <v/>
      </c>
      <c r="I290" s="172" t="str">
        <f aca="false">IF($A290="","",IFERROR(VLOOKUP($A290,PLANI_LLOGARIVE!$A$2:$I$500,9,FALSE()),""))</f>
        <v/>
      </c>
      <c r="J290" s="101" t="str">
        <f aca="false">IF(A290="","",IF(OR(H290="Zero",I290="Debit/Credit"),"",IF(OR(AND(H290="Saldo Debit",I290="Debit"),AND(H290="Saldo Kredit",OR(I290="Credit",I290="Kredit"))),"","⚠️ JO NORMALE")))</f>
        <v/>
      </c>
    </row>
    <row r="291" customFormat="false" ht="12.75" hidden="false" customHeight="true" outlineLevel="0" collapsed="false">
      <c r="A291" s="174" t="str">
        <f aca="false">IF(AND(PLANI_LLOGARIVE!$A285&lt;&gt;"",PLANI_LLOGARIVE!$J285=TRUE()),PLANI_LLOGARIVE!$A285&amp;"","")</f>
        <v/>
      </c>
      <c r="B291" s="174" t="str">
        <f aca="false">IF($A291="","",IFERROR(VLOOKUP($A291,PLANI_LLOGARIVE!$A$2:$I$500,2,FALSE()),""))</f>
        <v/>
      </c>
      <c r="C291" s="174" t="str">
        <f aca="false">IF($A291="","",IFERROR(VLOOKUP($A291,PLANI_LLOGARIVE!$A$2:$I$500,4,FALSE()),""))</f>
        <v/>
      </c>
      <c r="D291" s="175" t="str">
        <f aca="false">IF($A291="","",SUMIFS(DITARI!$F$6:$F$550,DITARI!$D$6:$D$550,$A291))</f>
        <v/>
      </c>
      <c r="E291" s="175" t="str">
        <f aca="false">IF($A291="","",SUMIFS(DITARI!$G$6:$G$550,DITARI!$D$6:$D$550,$A291))</f>
        <v/>
      </c>
      <c r="F291" s="175" t="str">
        <f aca="false">IF($A291="","",MAX($D291-$E291,0))</f>
        <v/>
      </c>
      <c r="G291" s="175" t="str">
        <f aca="false">IF($A291="","",MAX($E291-$D291,0))</f>
        <v/>
      </c>
      <c r="H291" s="174" t="str">
        <f aca="false">IF($A291="","",IF($F291&gt;0,"Saldo Debit",IF($G291&gt;0,"Saldo Kredit","Zero")))</f>
        <v/>
      </c>
      <c r="I291" s="174" t="str">
        <f aca="false">IF($A291="","",IFERROR(VLOOKUP($A291,PLANI_LLOGARIVE!$A$2:$I$500,9,FALSE()),""))</f>
        <v/>
      </c>
      <c r="J291" s="101" t="str">
        <f aca="false">IF(A291="","",IF(OR(H291="Zero",I291="Debit/Credit"),"",IF(OR(AND(H291="Saldo Debit",I291="Debit"),AND(H291="Saldo Kredit",OR(I291="Credit",I291="Kredit"))),"","⚠️ JO NORMALE")))</f>
        <v/>
      </c>
    </row>
    <row r="292" customFormat="false" ht="12.75" hidden="false" customHeight="true" outlineLevel="0" collapsed="false">
      <c r="A292" s="172" t="str">
        <f aca="false">IF(AND(PLANI_LLOGARIVE!$A286&lt;&gt;"",PLANI_LLOGARIVE!$J286=TRUE()),PLANI_LLOGARIVE!$A286&amp;"","")</f>
        <v/>
      </c>
      <c r="B292" s="172" t="str">
        <f aca="false">IF($A292="","",IFERROR(VLOOKUP($A292,PLANI_LLOGARIVE!$A$2:$I$500,2,FALSE()),""))</f>
        <v/>
      </c>
      <c r="C292" s="172" t="str">
        <f aca="false">IF($A292="","",IFERROR(VLOOKUP($A292,PLANI_LLOGARIVE!$A$2:$I$500,4,FALSE()),""))</f>
        <v/>
      </c>
      <c r="D292" s="173" t="str">
        <f aca="false">IF($A292="","",SUMIFS(DITARI!$F$6:$F$550,DITARI!$D$6:$D$550,$A292))</f>
        <v/>
      </c>
      <c r="E292" s="173" t="str">
        <f aca="false">IF($A292="","",SUMIFS(DITARI!$G$6:$G$550,DITARI!$D$6:$D$550,$A292))</f>
        <v/>
      </c>
      <c r="F292" s="173" t="str">
        <f aca="false">IF($A292="","",MAX($D292-$E292,0))</f>
        <v/>
      </c>
      <c r="G292" s="173" t="str">
        <f aca="false">IF($A292="","",MAX($E292-$D292,0))</f>
        <v/>
      </c>
      <c r="H292" s="172" t="str">
        <f aca="false">IF($A292="","",IF($F292&gt;0,"Saldo Debit",IF($G292&gt;0,"Saldo Kredit","Zero")))</f>
        <v/>
      </c>
      <c r="I292" s="172" t="str">
        <f aca="false">IF($A292="","",IFERROR(VLOOKUP($A292,PLANI_LLOGARIVE!$A$2:$I$500,9,FALSE()),""))</f>
        <v/>
      </c>
      <c r="J292" s="101" t="str">
        <f aca="false">IF(A292="","",IF(OR(H292="Zero",I292="Debit/Credit"),"",IF(OR(AND(H292="Saldo Debit",I292="Debit"),AND(H292="Saldo Kredit",OR(I292="Credit",I292="Kredit"))),"","⚠️ JO NORMALE")))</f>
        <v/>
      </c>
    </row>
    <row r="293" customFormat="false" ht="12.75" hidden="false" customHeight="true" outlineLevel="0" collapsed="false">
      <c r="A293" s="174" t="str">
        <f aca="false">IF(AND(PLANI_LLOGARIVE!$A287&lt;&gt;"",PLANI_LLOGARIVE!$J287=TRUE()),PLANI_LLOGARIVE!$A287&amp;"","")</f>
        <v/>
      </c>
      <c r="B293" s="174" t="str">
        <f aca="false">IF($A293="","",IFERROR(VLOOKUP($A293,PLANI_LLOGARIVE!$A$2:$I$500,2,FALSE()),""))</f>
        <v/>
      </c>
      <c r="C293" s="174" t="str">
        <f aca="false">IF($A293="","",IFERROR(VLOOKUP($A293,PLANI_LLOGARIVE!$A$2:$I$500,4,FALSE()),""))</f>
        <v/>
      </c>
      <c r="D293" s="175" t="str">
        <f aca="false">IF($A293="","",SUMIFS(DITARI!$F$6:$F$550,DITARI!$D$6:$D$550,$A293))</f>
        <v/>
      </c>
      <c r="E293" s="175" t="str">
        <f aca="false">IF($A293="","",SUMIFS(DITARI!$G$6:$G$550,DITARI!$D$6:$D$550,$A293))</f>
        <v/>
      </c>
      <c r="F293" s="175" t="str">
        <f aca="false">IF($A293="","",MAX($D293-$E293,0))</f>
        <v/>
      </c>
      <c r="G293" s="175" t="str">
        <f aca="false">IF($A293="","",MAX($E293-$D293,0))</f>
        <v/>
      </c>
      <c r="H293" s="174" t="str">
        <f aca="false">IF($A293="","",IF($F293&gt;0,"Saldo Debit",IF($G293&gt;0,"Saldo Kredit","Zero")))</f>
        <v/>
      </c>
      <c r="I293" s="174" t="str">
        <f aca="false">IF($A293="","",IFERROR(VLOOKUP($A293,PLANI_LLOGARIVE!$A$2:$I$500,9,FALSE()),""))</f>
        <v/>
      </c>
      <c r="J293" s="101" t="str">
        <f aca="false">IF(A293="","",IF(OR(H293="Zero",I293="Debit/Credit"),"",IF(OR(AND(H293="Saldo Debit",I293="Debit"),AND(H293="Saldo Kredit",OR(I293="Credit",I293="Kredit"))),"","⚠️ JO NORMALE")))</f>
        <v/>
      </c>
    </row>
    <row r="294" customFormat="false" ht="12.75" hidden="false" customHeight="true" outlineLevel="0" collapsed="false">
      <c r="A294" s="172" t="str">
        <f aca="false">IF(AND(PLANI_LLOGARIVE!$A288&lt;&gt;"",PLANI_LLOGARIVE!$J288=TRUE()),PLANI_LLOGARIVE!$A288&amp;"","")</f>
        <v/>
      </c>
      <c r="B294" s="172" t="str">
        <f aca="false">IF($A294="","",IFERROR(VLOOKUP($A294,PLANI_LLOGARIVE!$A$2:$I$500,2,FALSE()),""))</f>
        <v/>
      </c>
      <c r="C294" s="172" t="str">
        <f aca="false">IF($A294="","",IFERROR(VLOOKUP($A294,PLANI_LLOGARIVE!$A$2:$I$500,4,FALSE()),""))</f>
        <v/>
      </c>
      <c r="D294" s="173" t="str">
        <f aca="false">IF($A294="","",SUMIFS(DITARI!$F$6:$F$550,DITARI!$D$6:$D$550,$A294))</f>
        <v/>
      </c>
      <c r="E294" s="173" t="str">
        <f aca="false">IF($A294="","",SUMIFS(DITARI!$G$6:$G$550,DITARI!$D$6:$D$550,$A294))</f>
        <v/>
      </c>
      <c r="F294" s="173" t="str">
        <f aca="false">IF($A294="","",MAX($D294-$E294,0))</f>
        <v/>
      </c>
      <c r="G294" s="173" t="str">
        <f aca="false">IF($A294="","",MAX($E294-$D294,0))</f>
        <v/>
      </c>
      <c r="H294" s="172" t="str">
        <f aca="false">IF($A294="","",IF($F294&gt;0,"Saldo Debit",IF($G294&gt;0,"Saldo Kredit","Zero")))</f>
        <v/>
      </c>
      <c r="I294" s="172" t="str">
        <f aca="false">IF($A294="","",IFERROR(VLOOKUP($A294,PLANI_LLOGARIVE!$A$2:$I$500,9,FALSE()),""))</f>
        <v/>
      </c>
      <c r="J294" s="101" t="str">
        <f aca="false">IF(A294="","",IF(OR(H294="Zero",I294="Debit/Credit"),"",IF(OR(AND(H294="Saldo Debit",I294="Debit"),AND(H294="Saldo Kredit",OR(I294="Credit",I294="Kredit"))),"","⚠️ JO NORMALE")))</f>
        <v/>
      </c>
    </row>
    <row r="295" customFormat="false" ht="12.75" hidden="false" customHeight="true" outlineLevel="0" collapsed="false">
      <c r="A295" s="174" t="str">
        <f aca="false">IF(AND(PLANI_LLOGARIVE!$A289&lt;&gt;"",PLANI_LLOGARIVE!$J289=TRUE()),PLANI_LLOGARIVE!$A289&amp;"","")</f>
        <v/>
      </c>
      <c r="B295" s="174" t="str">
        <f aca="false">IF($A295="","",IFERROR(VLOOKUP($A295,PLANI_LLOGARIVE!$A$2:$I$500,2,FALSE()),""))</f>
        <v/>
      </c>
      <c r="C295" s="174" t="str">
        <f aca="false">IF($A295="","",IFERROR(VLOOKUP($A295,PLANI_LLOGARIVE!$A$2:$I$500,4,FALSE()),""))</f>
        <v/>
      </c>
      <c r="D295" s="175" t="str">
        <f aca="false">IF($A295="","",SUMIFS(DITARI!$F$6:$F$550,DITARI!$D$6:$D$550,$A295))</f>
        <v/>
      </c>
      <c r="E295" s="175" t="str">
        <f aca="false">IF($A295="","",SUMIFS(DITARI!$G$6:$G$550,DITARI!$D$6:$D$550,$A295))</f>
        <v/>
      </c>
      <c r="F295" s="175" t="str">
        <f aca="false">IF($A295="","",MAX($D295-$E295,0))</f>
        <v/>
      </c>
      <c r="G295" s="175" t="str">
        <f aca="false">IF($A295="","",MAX($E295-$D295,0))</f>
        <v/>
      </c>
      <c r="H295" s="174" t="str">
        <f aca="false">IF($A295="","",IF($F295&gt;0,"Saldo Debit",IF($G295&gt;0,"Saldo Kredit","Zero")))</f>
        <v/>
      </c>
      <c r="I295" s="174" t="str">
        <f aca="false">IF($A295="","",IFERROR(VLOOKUP($A295,PLANI_LLOGARIVE!$A$2:$I$500,9,FALSE()),""))</f>
        <v/>
      </c>
      <c r="J295" s="101" t="str">
        <f aca="false">IF(A295="","",IF(OR(H295="Zero",I295="Debit/Credit"),"",IF(OR(AND(H295="Saldo Debit",I295="Debit"),AND(H295="Saldo Kredit",OR(I295="Credit",I295="Kredit"))),"","⚠️ JO NORMALE")))</f>
        <v/>
      </c>
    </row>
    <row r="296" customFormat="false" ht="12.75" hidden="false" customHeight="true" outlineLevel="0" collapsed="false">
      <c r="A296" s="172" t="str">
        <f aca="false">IF(AND(PLANI_LLOGARIVE!$A290&lt;&gt;"",PLANI_LLOGARIVE!$J290=TRUE()),PLANI_LLOGARIVE!$A290&amp;"","")</f>
        <v/>
      </c>
      <c r="B296" s="172" t="str">
        <f aca="false">IF($A296="","",IFERROR(VLOOKUP($A296,PLANI_LLOGARIVE!$A$2:$I$500,2,FALSE()),""))</f>
        <v/>
      </c>
      <c r="C296" s="172" t="str">
        <f aca="false">IF($A296="","",IFERROR(VLOOKUP($A296,PLANI_LLOGARIVE!$A$2:$I$500,4,FALSE()),""))</f>
        <v/>
      </c>
      <c r="D296" s="173" t="str">
        <f aca="false">IF($A296="","",SUMIFS(DITARI!$F$6:$F$550,DITARI!$D$6:$D$550,$A296))</f>
        <v/>
      </c>
      <c r="E296" s="173" t="str">
        <f aca="false">IF($A296="","",SUMIFS(DITARI!$G$6:$G$550,DITARI!$D$6:$D$550,$A296))</f>
        <v/>
      </c>
      <c r="F296" s="173" t="str">
        <f aca="false">IF($A296="","",MAX($D296-$E296,0))</f>
        <v/>
      </c>
      <c r="G296" s="173" t="str">
        <f aca="false">IF($A296="","",MAX($E296-$D296,0))</f>
        <v/>
      </c>
      <c r="H296" s="172" t="str">
        <f aca="false">IF($A296="","",IF($F296&gt;0,"Saldo Debit",IF($G296&gt;0,"Saldo Kredit","Zero")))</f>
        <v/>
      </c>
      <c r="I296" s="172" t="str">
        <f aca="false">IF($A296="","",IFERROR(VLOOKUP($A296,PLANI_LLOGARIVE!$A$2:$I$500,9,FALSE()),""))</f>
        <v/>
      </c>
      <c r="J296" s="101" t="str">
        <f aca="false">IF(A296="","",IF(OR(H296="Zero",I296="Debit/Credit"),"",IF(OR(AND(H296="Saldo Debit",I296="Debit"),AND(H296="Saldo Kredit",OR(I296="Credit",I296="Kredit"))),"","⚠️ JO NORMALE")))</f>
        <v/>
      </c>
    </row>
    <row r="297" customFormat="false" ht="12.75" hidden="false" customHeight="true" outlineLevel="0" collapsed="false">
      <c r="A297" s="174" t="str">
        <f aca="false">IF(AND(PLANI_LLOGARIVE!$A291&lt;&gt;"",PLANI_LLOGARIVE!$J291=TRUE()),PLANI_LLOGARIVE!$A291&amp;"","")</f>
        <v/>
      </c>
      <c r="B297" s="174" t="str">
        <f aca="false">IF($A297="","",IFERROR(VLOOKUP($A297,PLANI_LLOGARIVE!$A$2:$I$500,2,FALSE()),""))</f>
        <v/>
      </c>
      <c r="C297" s="174" t="str">
        <f aca="false">IF($A297="","",IFERROR(VLOOKUP($A297,PLANI_LLOGARIVE!$A$2:$I$500,4,FALSE()),""))</f>
        <v/>
      </c>
      <c r="D297" s="175" t="str">
        <f aca="false">IF($A297="","",SUMIFS(DITARI!$F$6:$F$550,DITARI!$D$6:$D$550,$A297))</f>
        <v/>
      </c>
      <c r="E297" s="175" t="str">
        <f aca="false">IF($A297="","",SUMIFS(DITARI!$G$6:$G$550,DITARI!$D$6:$D$550,$A297))</f>
        <v/>
      </c>
      <c r="F297" s="175" t="str">
        <f aca="false">IF($A297="","",MAX($D297-$E297,0))</f>
        <v/>
      </c>
      <c r="G297" s="175" t="str">
        <f aca="false">IF($A297="","",MAX($E297-$D297,0))</f>
        <v/>
      </c>
      <c r="H297" s="174" t="str">
        <f aca="false">IF($A297="","",IF($F297&gt;0,"Saldo Debit",IF($G297&gt;0,"Saldo Kredit","Zero")))</f>
        <v/>
      </c>
      <c r="I297" s="174" t="str">
        <f aca="false">IF($A297="","",IFERROR(VLOOKUP($A297,PLANI_LLOGARIVE!$A$2:$I$500,9,FALSE()),""))</f>
        <v/>
      </c>
      <c r="J297" s="101" t="str">
        <f aca="false">IF(A297="","",IF(OR(H297="Zero",I297="Debit/Credit"),"",IF(OR(AND(H297="Saldo Debit",I297="Debit"),AND(H297="Saldo Kredit",OR(I297="Credit",I297="Kredit"))),"","⚠️ JO NORMALE")))</f>
        <v/>
      </c>
    </row>
    <row r="298" customFormat="false" ht="12.75" hidden="false" customHeight="true" outlineLevel="0" collapsed="false">
      <c r="A298" s="172" t="str">
        <f aca="false">IF(AND(PLANI_LLOGARIVE!$A292&lt;&gt;"",PLANI_LLOGARIVE!$J292=TRUE()),PLANI_LLOGARIVE!$A292&amp;"","")</f>
        <v/>
      </c>
      <c r="B298" s="172" t="str">
        <f aca="false">IF($A298="","",IFERROR(VLOOKUP($A298,PLANI_LLOGARIVE!$A$2:$I$500,2,FALSE()),""))</f>
        <v/>
      </c>
      <c r="C298" s="172" t="str">
        <f aca="false">IF($A298="","",IFERROR(VLOOKUP($A298,PLANI_LLOGARIVE!$A$2:$I$500,4,FALSE()),""))</f>
        <v/>
      </c>
      <c r="D298" s="173" t="str">
        <f aca="false">IF($A298="","",SUMIFS(DITARI!$F$6:$F$550,DITARI!$D$6:$D$550,$A298))</f>
        <v/>
      </c>
      <c r="E298" s="173" t="str">
        <f aca="false">IF($A298="","",SUMIFS(DITARI!$G$6:$G$550,DITARI!$D$6:$D$550,$A298))</f>
        <v/>
      </c>
      <c r="F298" s="173" t="str">
        <f aca="false">IF($A298="","",MAX($D298-$E298,0))</f>
        <v/>
      </c>
      <c r="G298" s="173" t="str">
        <f aca="false">IF($A298="","",MAX($E298-$D298,0))</f>
        <v/>
      </c>
      <c r="H298" s="172" t="str">
        <f aca="false">IF($A298="","",IF($F298&gt;0,"Saldo Debit",IF($G298&gt;0,"Saldo Kredit","Zero")))</f>
        <v/>
      </c>
      <c r="I298" s="172" t="str">
        <f aca="false">IF($A298="","",IFERROR(VLOOKUP($A298,PLANI_LLOGARIVE!$A$2:$I$500,9,FALSE()),""))</f>
        <v/>
      </c>
      <c r="J298" s="101" t="str">
        <f aca="false">IF(A298="","",IF(OR(H298="Zero",I298="Debit/Credit"),"",IF(OR(AND(H298="Saldo Debit",I298="Debit"),AND(H298="Saldo Kredit",OR(I298="Credit",I298="Kredit"))),"","⚠️ JO NORMALE")))</f>
        <v/>
      </c>
    </row>
    <row r="299" customFormat="false" ht="12.75" hidden="false" customHeight="true" outlineLevel="0" collapsed="false">
      <c r="A299" s="174" t="str">
        <f aca="false">IF(AND(PLANI_LLOGARIVE!$A293&lt;&gt;"",PLANI_LLOGARIVE!$J293=TRUE()),PLANI_LLOGARIVE!$A293&amp;"","")</f>
        <v/>
      </c>
      <c r="B299" s="174" t="str">
        <f aca="false">IF($A299="","",IFERROR(VLOOKUP($A299,PLANI_LLOGARIVE!$A$2:$I$500,2,FALSE()),""))</f>
        <v/>
      </c>
      <c r="C299" s="174" t="str">
        <f aca="false">IF($A299="","",IFERROR(VLOOKUP($A299,PLANI_LLOGARIVE!$A$2:$I$500,4,FALSE()),""))</f>
        <v/>
      </c>
      <c r="D299" s="175" t="str">
        <f aca="false">IF($A299="","",SUMIFS(DITARI!$F$6:$F$550,DITARI!$D$6:$D$550,$A299))</f>
        <v/>
      </c>
      <c r="E299" s="175" t="str">
        <f aca="false">IF($A299="","",SUMIFS(DITARI!$G$6:$G$550,DITARI!$D$6:$D$550,$A299))</f>
        <v/>
      </c>
      <c r="F299" s="175" t="str">
        <f aca="false">IF($A299="","",MAX($D299-$E299,0))</f>
        <v/>
      </c>
      <c r="G299" s="175" t="str">
        <f aca="false">IF($A299="","",MAX($E299-$D299,0))</f>
        <v/>
      </c>
      <c r="H299" s="174" t="str">
        <f aca="false">IF($A299="","",IF($F299&gt;0,"Saldo Debit",IF($G299&gt;0,"Saldo Kredit","Zero")))</f>
        <v/>
      </c>
      <c r="I299" s="174" t="str">
        <f aca="false">IF($A299="","",IFERROR(VLOOKUP($A299,PLANI_LLOGARIVE!$A$2:$I$500,9,FALSE()),""))</f>
        <v/>
      </c>
      <c r="J299" s="101" t="str">
        <f aca="false">IF(A299="","",IF(OR(H299="Zero",I299="Debit/Credit"),"",IF(OR(AND(H299="Saldo Debit",I299="Debit"),AND(H299="Saldo Kredit",OR(I299="Credit",I299="Kredit"))),"","⚠️ JO NORMALE")))</f>
        <v/>
      </c>
    </row>
    <row r="300" customFormat="false" ht="12.75" hidden="false" customHeight="true" outlineLevel="0" collapsed="false">
      <c r="A300" s="172" t="str">
        <f aca="false">IF(AND(PLANI_LLOGARIVE!$A294&lt;&gt;"",PLANI_LLOGARIVE!$J294=TRUE()),PLANI_LLOGARIVE!$A294&amp;"","")</f>
        <v/>
      </c>
      <c r="B300" s="172" t="str">
        <f aca="false">IF($A300="","",IFERROR(VLOOKUP($A300,PLANI_LLOGARIVE!$A$2:$I$500,2,FALSE()),""))</f>
        <v/>
      </c>
      <c r="C300" s="172" t="str">
        <f aca="false">IF($A300="","",IFERROR(VLOOKUP($A300,PLANI_LLOGARIVE!$A$2:$I$500,4,FALSE()),""))</f>
        <v/>
      </c>
      <c r="D300" s="173" t="str">
        <f aca="false">IF($A300="","",SUMIFS(DITARI!$F$6:$F$550,DITARI!$D$6:$D$550,$A300))</f>
        <v/>
      </c>
      <c r="E300" s="173" t="str">
        <f aca="false">IF($A300="","",SUMIFS(DITARI!$G$6:$G$550,DITARI!$D$6:$D$550,$A300))</f>
        <v/>
      </c>
      <c r="F300" s="173" t="str">
        <f aca="false">IF($A300="","",MAX($D300-$E300,0))</f>
        <v/>
      </c>
      <c r="G300" s="173" t="str">
        <f aca="false">IF($A300="","",MAX($E300-$D300,0))</f>
        <v/>
      </c>
      <c r="H300" s="172" t="str">
        <f aca="false">IF($A300="","",IF($F300&gt;0,"Saldo Debit",IF($G300&gt;0,"Saldo Kredit","Zero")))</f>
        <v/>
      </c>
      <c r="I300" s="172" t="str">
        <f aca="false">IF($A300="","",IFERROR(VLOOKUP($A300,PLANI_LLOGARIVE!$A$2:$I$500,9,FALSE()),""))</f>
        <v/>
      </c>
      <c r="J300" s="101" t="str">
        <f aca="false">IF(A300="","",IF(OR(H300="Zero",I300="Debit/Credit"),"",IF(OR(AND(H300="Saldo Debit",I300="Debit"),AND(H300="Saldo Kredit",OR(I300="Credit",I300="Kredit"))),"","⚠️ JO NORMALE")))</f>
        <v/>
      </c>
    </row>
    <row r="301" customFormat="false" ht="12.75" hidden="false" customHeight="true" outlineLevel="0" collapsed="false">
      <c r="A301" s="174" t="str">
        <f aca="false">IF(AND(PLANI_LLOGARIVE!$A295&lt;&gt;"",PLANI_LLOGARIVE!$J295=TRUE()),PLANI_LLOGARIVE!$A295&amp;"","")</f>
        <v/>
      </c>
      <c r="B301" s="174" t="str">
        <f aca="false">IF($A301="","",IFERROR(VLOOKUP($A301,PLANI_LLOGARIVE!$A$2:$I$500,2,FALSE()),""))</f>
        <v/>
      </c>
      <c r="C301" s="174" t="str">
        <f aca="false">IF($A301="","",IFERROR(VLOOKUP($A301,PLANI_LLOGARIVE!$A$2:$I$500,4,FALSE()),""))</f>
        <v/>
      </c>
      <c r="D301" s="175" t="str">
        <f aca="false">IF($A301="","",SUMIFS(DITARI!$F$6:$F$550,DITARI!$D$6:$D$550,$A301))</f>
        <v/>
      </c>
      <c r="E301" s="175" t="str">
        <f aca="false">IF($A301="","",SUMIFS(DITARI!$G$6:$G$550,DITARI!$D$6:$D$550,$A301))</f>
        <v/>
      </c>
      <c r="F301" s="175" t="str">
        <f aca="false">IF($A301="","",MAX($D301-$E301,0))</f>
        <v/>
      </c>
      <c r="G301" s="175" t="str">
        <f aca="false">IF($A301="","",MAX($E301-$D301,0))</f>
        <v/>
      </c>
      <c r="H301" s="174" t="str">
        <f aca="false">IF($A301="","",IF($F301&gt;0,"Saldo Debit",IF($G301&gt;0,"Saldo Kredit","Zero")))</f>
        <v/>
      </c>
      <c r="I301" s="174" t="str">
        <f aca="false">IF($A301="","",IFERROR(VLOOKUP($A301,PLANI_LLOGARIVE!$A$2:$I$500,9,FALSE()),""))</f>
        <v/>
      </c>
      <c r="J301" s="101" t="str">
        <f aca="false">IF(A301="","",IF(OR(H301="Zero",I301="Debit/Credit"),"",IF(OR(AND(H301="Saldo Debit",I301="Debit"),AND(H301="Saldo Kredit",OR(I301="Credit",I301="Kredit"))),"","⚠️ JO NORMALE")))</f>
        <v/>
      </c>
    </row>
    <row r="302" customFormat="false" ht="12.75" hidden="false" customHeight="true" outlineLevel="0" collapsed="false">
      <c r="A302" s="172" t="str">
        <f aca="false">IF(AND(PLANI_LLOGARIVE!$A296&lt;&gt;"",PLANI_LLOGARIVE!$J296=TRUE()),PLANI_LLOGARIVE!$A296&amp;"","")</f>
        <v/>
      </c>
      <c r="B302" s="172" t="str">
        <f aca="false">IF($A302="","",IFERROR(VLOOKUP($A302,PLANI_LLOGARIVE!$A$2:$I$500,2,FALSE()),""))</f>
        <v/>
      </c>
      <c r="C302" s="172" t="str">
        <f aca="false">IF($A302="","",IFERROR(VLOOKUP($A302,PLANI_LLOGARIVE!$A$2:$I$500,4,FALSE()),""))</f>
        <v/>
      </c>
      <c r="D302" s="173" t="str">
        <f aca="false">IF($A302="","",SUMIFS(DITARI!$F$6:$F$550,DITARI!$D$6:$D$550,$A302))</f>
        <v/>
      </c>
      <c r="E302" s="173" t="str">
        <f aca="false">IF($A302="","",SUMIFS(DITARI!$G$6:$G$550,DITARI!$D$6:$D$550,$A302))</f>
        <v/>
      </c>
      <c r="F302" s="173" t="str">
        <f aca="false">IF($A302="","",MAX($D302-$E302,0))</f>
        <v/>
      </c>
      <c r="G302" s="173" t="str">
        <f aca="false">IF($A302="","",MAX($E302-$D302,0))</f>
        <v/>
      </c>
      <c r="H302" s="172" t="str">
        <f aca="false">IF($A302="","",IF($F302&gt;0,"Saldo Debit",IF($G302&gt;0,"Saldo Kredit","Zero")))</f>
        <v/>
      </c>
      <c r="I302" s="172" t="str">
        <f aca="false">IF($A302="","",IFERROR(VLOOKUP($A302,PLANI_LLOGARIVE!$A$2:$I$500,9,FALSE()),""))</f>
        <v/>
      </c>
      <c r="J302" s="101" t="str">
        <f aca="false">IF(A302="","",IF(OR(H302="Zero",I302="Debit/Credit"),"",IF(OR(AND(H302="Saldo Debit",I302="Debit"),AND(H302="Saldo Kredit",OR(I302="Credit",I302="Kredit"))),"","⚠️ JO NORMALE")))</f>
        <v/>
      </c>
    </row>
    <row r="303" customFormat="false" ht="12.75" hidden="false" customHeight="true" outlineLevel="0" collapsed="false">
      <c r="A303" s="174" t="str">
        <f aca="false">IF(AND(PLANI_LLOGARIVE!$A297&lt;&gt;"",PLANI_LLOGARIVE!$J297=TRUE()),PLANI_LLOGARIVE!$A297&amp;"","")</f>
        <v/>
      </c>
      <c r="B303" s="174" t="str">
        <f aca="false">IF($A303="","",IFERROR(VLOOKUP($A303,PLANI_LLOGARIVE!$A$2:$I$500,2,FALSE()),""))</f>
        <v/>
      </c>
      <c r="C303" s="174" t="str">
        <f aca="false">IF($A303="","",IFERROR(VLOOKUP($A303,PLANI_LLOGARIVE!$A$2:$I$500,4,FALSE()),""))</f>
        <v/>
      </c>
      <c r="D303" s="175" t="str">
        <f aca="false">IF($A303="","",SUMIFS(DITARI!$F$6:$F$550,DITARI!$D$6:$D$550,$A303))</f>
        <v/>
      </c>
      <c r="E303" s="175" t="str">
        <f aca="false">IF($A303="","",SUMIFS(DITARI!$G$6:$G$550,DITARI!$D$6:$D$550,$A303))</f>
        <v/>
      </c>
      <c r="F303" s="175" t="str">
        <f aca="false">IF($A303="","",MAX($D303-$E303,0))</f>
        <v/>
      </c>
      <c r="G303" s="175" t="str">
        <f aca="false">IF($A303="","",MAX($E303-$D303,0))</f>
        <v/>
      </c>
      <c r="H303" s="174" t="str">
        <f aca="false">IF($A303="","",IF($F303&gt;0,"Saldo Debit",IF($G303&gt;0,"Saldo Kredit","Zero")))</f>
        <v/>
      </c>
      <c r="I303" s="174" t="str">
        <f aca="false">IF($A303="","",IFERROR(VLOOKUP($A303,PLANI_LLOGARIVE!$A$2:$I$500,9,FALSE()),""))</f>
        <v/>
      </c>
      <c r="J303" s="101" t="str">
        <f aca="false">IF(A303="","",IF(OR(H303="Zero",I303="Debit/Credit"),"",IF(OR(AND(H303="Saldo Debit",I303="Debit"),AND(H303="Saldo Kredit",OR(I303="Credit",I303="Kredit"))),"","⚠️ JO NORMALE")))</f>
        <v/>
      </c>
    </row>
    <row r="304" customFormat="false" ht="12.75" hidden="false" customHeight="true" outlineLevel="0" collapsed="false">
      <c r="A304" s="172" t="str">
        <f aca="false">IF(AND(PLANI_LLOGARIVE!$A298&lt;&gt;"",PLANI_LLOGARIVE!$J298=TRUE()),PLANI_LLOGARIVE!$A298&amp;"","")</f>
        <v/>
      </c>
      <c r="B304" s="172" t="str">
        <f aca="false">IF($A304="","",IFERROR(VLOOKUP($A304,PLANI_LLOGARIVE!$A$2:$I$500,2,FALSE()),""))</f>
        <v/>
      </c>
      <c r="C304" s="172" t="str">
        <f aca="false">IF($A304="","",IFERROR(VLOOKUP($A304,PLANI_LLOGARIVE!$A$2:$I$500,4,FALSE()),""))</f>
        <v/>
      </c>
      <c r="D304" s="173" t="str">
        <f aca="false">IF($A304="","",SUMIFS(DITARI!$F$6:$F$550,DITARI!$D$6:$D$550,$A304))</f>
        <v/>
      </c>
      <c r="E304" s="173" t="str">
        <f aca="false">IF($A304="","",SUMIFS(DITARI!$G$6:$G$550,DITARI!$D$6:$D$550,$A304))</f>
        <v/>
      </c>
      <c r="F304" s="173" t="str">
        <f aca="false">IF($A304="","",MAX($D304-$E304,0))</f>
        <v/>
      </c>
      <c r="G304" s="173" t="str">
        <f aca="false">IF($A304="","",MAX($E304-$D304,0))</f>
        <v/>
      </c>
      <c r="H304" s="172" t="str">
        <f aca="false">IF($A304="","",IF($F304&gt;0,"Saldo Debit",IF($G304&gt;0,"Saldo Kredit","Zero")))</f>
        <v/>
      </c>
      <c r="I304" s="172" t="str">
        <f aca="false">IF($A304="","",IFERROR(VLOOKUP($A304,PLANI_LLOGARIVE!$A$2:$I$500,9,FALSE()),""))</f>
        <v/>
      </c>
      <c r="J304" s="101" t="str">
        <f aca="false">IF(A304="","",IF(OR(H304="Zero",I304="Debit/Credit"),"",IF(OR(AND(H304="Saldo Debit",I304="Debit"),AND(H304="Saldo Kredit",OR(I304="Credit",I304="Kredit"))),"","⚠️ JO NORMALE")))</f>
        <v/>
      </c>
    </row>
    <row r="305" customFormat="false" ht="12.75" hidden="false" customHeight="true" outlineLevel="0" collapsed="false">
      <c r="A305" s="174" t="str">
        <f aca="false">IF(AND(PLANI_LLOGARIVE!$A299&lt;&gt;"",PLANI_LLOGARIVE!$J299=TRUE()),PLANI_LLOGARIVE!$A299&amp;"","")</f>
        <v/>
      </c>
      <c r="B305" s="174" t="str">
        <f aca="false">IF($A305="","",IFERROR(VLOOKUP($A305,PLANI_LLOGARIVE!$A$2:$I$500,2,FALSE()),""))</f>
        <v/>
      </c>
      <c r="C305" s="174" t="str">
        <f aca="false">IF($A305="","",IFERROR(VLOOKUP($A305,PLANI_LLOGARIVE!$A$2:$I$500,4,FALSE()),""))</f>
        <v/>
      </c>
      <c r="D305" s="175" t="str">
        <f aca="false">IF($A305="","",SUMIFS(DITARI!$F$6:$F$550,DITARI!$D$6:$D$550,$A305))</f>
        <v/>
      </c>
      <c r="E305" s="175" t="str">
        <f aca="false">IF($A305="","",SUMIFS(DITARI!$G$6:$G$550,DITARI!$D$6:$D$550,$A305))</f>
        <v/>
      </c>
      <c r="F305" s="175" t="str">
        <f aca="false">IF($A305="","",MAX($D305-$E305,0))</f>
        <v/>
      </c>
      <c r="G305" s="175" t="str">
        <f aca="false">IF($A305="","",MAX($E305-$D305,0))</f>
        <v/>
      </c>
      <c r="H305" s="174" t="str">
        <f aca="false">IF($A305="","",IF($F305&gt;0,"Saldo Debit",IF($G305&gt;0,"Saldo Kredit","Zero")))</f>
        <v/>
      </c>
      <c r="I305" s="174" t="str">
        <f aca="false">IF($A305="","",IFERROR(VLOOKUP($A305,PLANI_LLOGARIVE!$A$2:$I$500,9,FALSE()),""))</f>
        <v/>
      </c>
      <c r="J305" s="101" t="str">
        <f aca="false">IF(A305="","",IF(OR(H305="Zero",I305="Debit/Credit"),"",IF(OR(AND(H305="Saldo Debit",I305="Debit"),AND(H305="Saldo Kredit",OR(I305="Credit",I305="Kredit"))),"","⚠️ JO NORMALE")))</f>
        <v/>
      </c>
    </row>
    <row r="306" customFormat="false" ht="12.75" hidden="false" customHeight="true" outlineLevel="0" collapsed="false">
      <c r="A306" s="172" t="str">
        <f aca="false">IF(AND(PLANI_LLOGARIVE!$A300&lt;&gt;"",PLANI_LLOGARIVE!$J300=TRUE()),PLANI_LLOGARIVE!$A300&amp;"","")</f>
        <v/>
      </c>
      <c r="B306" s="172" t="str">
        <f aca="false">IF($A306="","",IFERROR(VLOOKUP($A306,PLANI_LLOGARIVE!$A$2:$I$500,2,FALSE()),""))</f>
        <v/>
      </c>
      <c r="C306" s="172" t="str">
        <f aca="false">IF($A306="","",IFERROR(VLOOKUP($A306,PLANI_LLOGARIVE!$A$2:$I$500,4,FALSE()),""))</f>
        <v/>
      </c>
      <c r="D306" s="173" t="str">
        <f aca="false">IF($A306="","",SUMIFS(DITARI!$F$6:$F$550,DITARI!$D$6:$D$550,$A306))</f>
        <v/>
      </c>
      <c r="E306" s="173" t="str">
        <f aca="false">IF($A306="","",SUMIFS(DITARI!$G$6:$G$550,DITARI!$D$6:$D$550,$A306))</f>
        <v/>
      </c>
      <c r="F306" s="173" t="str">
        <f aca="false">IF($A306="","",MAX($D306-$E306,0))</f>
        <v/>
      </c>
      <c r="G306" s="173" t="str">
        <f aca="false">IF($A306="","",MAX($E306-$D306,0))</f>
        <v/>
      </c>
      <c r="H306" s="172" t="str">
        <f aca="false">IF($A306="","",IF($F306&gt;0,"Saldo Debit",IF($G306&gt;0,"Saldo Kredit","Zero")))</f>
        <v/>
      </c>
      <c r="I306" s="172" t="str">
        <f aca="false">IF($A306="","",IFERROR(VLOOKUP($A306,PLANI_LLOGARIVE!$A$2:$I$500,9,FALSE()),""))</f>
        <v/>
      </c>
      <c r="J306" s="101" t="str">
        <f aca="false">IF(A306="","",IF(OR(H306="Zero",I306="Debit/Credit"),"",IF(OR(AND(H306="Saldo Debit",I306="Debit"),AND(H306="Saldo Kredit",OR(I306="Credit",I306="Kredit"))),"","⚠️ JO NORMALE")))</f>
        <v/>
      </c>
    </row>
    <row r="307" customFormat="false" ht="12.75" hidden="false" customHeight="true" outlineLevel="0" collapsed="false">
      <c r="A307" s="174" t="str">
        <f aca="false">IF(AND(PLANI_LLOGARIVE!$A301&lt;&gt;"",PLANI_LLOGARIVE!$J301=TRUE()),PLANI_LLOGARIVE!$A301&amp;"","")</f>
        <v/>
      </c>
      <c r="B307" s="174" t="str">
        <f aca="false">IF($A307="","",IFERROR(VLOOKUP($A307,PLANI_LLOGARIVE!$A$2:$I$500,2,FALSE()),""))</f>
        <v/>
      </c>
      <c r="C307" s="174" t="str">
        <f aca="false">IF($A307="","",IFERROR(VLOOKUP($A307,PLANI_LLOGARIVE!$A$2:$I$500,4,FALSE()),""))</f>
        <v/>
      </c>
      <c r="D307" s="175" t="str">
        <f aca="false">IF($A307="","",SUMIFS(DITARI!$F$6:$F$550,DITARI!$D$6:$D$550,$A307))</f>
        <v/>
      </c>
      <c r="E307" s="175" t="str">
        <f aca="false">IF($A307="","",SUMIFS(DITARI!$G$6:$G$550,DITARI!$D$6:$D$550,$A307))</f>
        <v/>
      </c>
      <c r="F307" s="175" t="str">
        <f aca="false">IF($A307="","",MAX($D307-$E307,0))</f>
        <v/>
      </c>
      <c r="G307" s="175" t="str">
        <f aca="false">IF($A307="","",MAX($E307-$D307,0))</f>
        <v/>
      </c>
      <c r="H307" s="174" t="str">
        <f aca="false">IF($A307="","",IF($F307&gt;0,"Saldo Debit",IF($G307&gt;0,"Saldo Kredit","Zero")))</f>
        <v/>
      </c>
      <c r="I307" s="174" t="str">
        <f aca="false">IF($A307="","",IFERROR(VLOOKUP($A307,PLANI_LLOGARIVE!$A$2:$I$500,9,FALSE()),""))</f>
        <v/>
      </c>
      <c r="J307" s="101" t="str">
        <f aca="false">IF(A307="","",IF(OR(H307="Zero",I307="Debit/Credit"),"",IF(OR(AND(H307="Saldo Debit",I307="Debit"),AND(H307="Saldo Kredit",OR(I307="Credit",I307="Kredit"))),"","⚠️ JO NORMALE")))</f>
        <v/>
      </c>
    </row>
    <row r="308" customFormat="false" ht="12.75" hidden="false" customHeight="true" outlineLevel="0" collapsed="false">
      <c r="A308" s="172" t="str">
        <f aca="false">IF(AND(PLANI_LLOGARIVE!$A302&lt;&gt;"",PLANI_LLOGARIVE!$J302=TRUE()),PLANI_LLOGARIVE!$A302&amp;"","")</f>
        <v/>
      </c>
      <c r="B308" s="172" t="str">
        <f aca="false">IF($A308="","",IFERROR(VLOOKUP($A308,PLANI_LLOGARIVE!$A$2:$I$500,2,FALSE()),""))</f>
        <v/>
      </c>
      <c r="C308" s="172" t="str">
        <f aca="false">IF($A308="","",IFERROR(VLOOKUP($A308,PLANI_LLOGARIVE!$A$2:$I$500,4,FALSE()),""))</f>
        <v/>
      </c>
      <c r="D308" s="173" t="str">
        <f aca="false">IF($A308="","",SUMIFS(DITARI!$F$6:$F$550,DITARI!$D$6:$D$550,$A308))</f>
        <v/>
      </c>
      <c r="E308" s="173" t="str">
        <f aca="false">IF($A308="","",SUMIFS(DITARI!$G$6:$G$550,DITARI!$D$6:$D$550,$A308))</f>
        <v/>
      </c>
      <c r="F308" s="173" t="str">
        <f aca="false">IF($A308="","",MAX($D308-$E308,0))</f>
        <v/>
      </c>
      <c r="G308" s="173" t="str">
        <f aca="false">IF($A308="","",MAX($E308-$D308,0))</f>
        <v/>
      </c>
      <c r="H308" s="172" t="str">
        <f aca="false">IF($A308="","",IF($F308&gt;0,"Saldo Debit",IF($G308&gt;0,"Saldo Kredit","Zero")))</f>
        <v/>
      </c>
      <c r="I308" s="172" t="str">
        <f aca="false">IF($A308="","",IFERROR(VLOOKUP($A308,PLANI_LLOGARIVE!$A$2:$I$500,9,FALSE()),""))</f>
        <v/>
      </c>
      <c r="J308" s="101" t="str">
        <f aca="false">IF(A308="","",IF(OR(H308="Zero",I308="Debit/Credit"),"",IF(OR(AND(H308="Saldo Debit",I308="Debit"),AND(H308="Saldo Kredit",OR(I308="Credit",I308="Kredit"))),"","⚠️ JO NORMALE")))</f>
        <v/>
      </c>
    </row>
    <row r="309" customFormat="false" ht="12.75" hidden="false" customHeight="true" outlineLevel="0" collapsed="false">
      <c r="A309" s="174" t="str">
        <f aca="false">IF(AND(PLANI_LLOGARIVE!$A303&lt;&gt;"",PLANI_LLOGARIVE!$J303=TRUE()),PLANI_LLOGARIVE!$A303&amp;"","")</f>
        <v/>
      </c>
      <c r="B309" s="174" t="str">
        <f aca="false">IF($A309="","",IFERROR(VLOOKUP($A309,PLANI_LLOGARIVE!$A$2:$I$500,2,FALSE()),""))</f>
        <v/>
      </c>
      <c r="C309" s="174" t="str">
        <f aca="false">IF($A309="","",IFERROR(VLOOKUP($A309,PLANI_LLOGARIVE!$A$2:$I$500,4,FALSE()),""))</f>
        <v/>
      </c>
      <c r="D309" s="175" t="str">
        <f aca="false">IF($A309="","",SUMIFS(DITARI!$F$6:$F$550,DITARI!$D$6:$D$550,$A309))</f>
        <v/>
      </c>
      <c r="E309" s="175" t="str">
        <f aca="false">IF($A309="","",SUMIFS(DITARI!$G$6:$G$550,DITARI!$D$6:$D$550,$A309))</f>
        <v/>
      </c>
      <c r="F309" s="175" t="str">
        <f aca="false">IF($A309="","",MAX($D309-$E309,0))</f>
        <v/>
      </c>
      <c r="G309" s="175" t="str">
        <f aca="false">IF($A309="","",MAX($E309-$D309,0))</f>
        <v/>
      </c>
      <c r="H309" s="174" t="str">
        <f aca="false">IF($A309="","",IF($F309&gt;0,"Saldo Debit",IF($G309&gt;0,"Saldo Kredit","Zero")))</f>
        <v/>
      </c>
      <c r="I309" s="174" t="str">
        <f aca="false">IF($A309="","",IFERROR(VLOOKUP($A309,PLANI_LLOGARIVE!$A$2:$I$500,9,FALSE()),""))</f>
        <v/>
      </c>
      <c r="J309" s="101" t="str">
        <f aca="false">IF(A309="","",IF(OR(H309="Zero",I309="Debit/Credit"),"",IF(OR(AND(H309="Saldo Debit",I309="Debit"),AND(H309="Saldo Kredit",OR(I309="Credit",I309="Kredit"))),"","⚠️ JO NORMALE")))</f>
        <v/>
      </c>
    </row>
    <row r="310" customFormat="false" ht="12.75" hidden="false" customHeight="true" outlineLevel="0" collapsed="false">
      <c r="A310" s="172" t="str">
        <f aca="false">IF(AND(PLANI_LLOGARIVE!$A304&lt;&gt;"",PLANI_LLOGARIVE!$J304=TRUE()),PLANI_LLOGARIVE!$A304&amp;"","")</f>
        <v/>
      </c>
      <c r="B310" s="172" t="str">
        <f aca="false">IF($A310="","",IFERROR(VLOOKUP($A310,PLANI_LLOGARIVE!$A$2:$I$500,2,FALSE()),""))</f>
        <v/>
      </c>
      <c r="C310" s="172" t="str">
        <f aca="false">IF($A310="","",IFERROR(VLOOKUP($A310,PLANI_LLOGARIVE!$A$2:$I$500,4,FALSE()),""))</f>
        <v/>
      </c>
      <c r="D310" s="173" t="str">
        <f aca="false">IF($A310="","",SUMIFS(DITARI!$F$6:$F$550,DITARI!$D$6:$D$550,$A310))</f>
        <v/>
      </c>
      <c r="E310" s="173" t="str">
        <f aca="false">IF($A310="","",SUMIFS(DITARI!$G$6:$G$550,DITARI!$D$6:$D$550,$A310))</f>
        <v/>
      </c>
      <c r="F310" s="173" t="str">
        <f aca="false">IF($A310="","",MAX($D310-$E310,0))</f>
        <v/>
      </c>
      <c r="G310" s="173" t="str">
        <f aca="false">IF($A310="","",MAX($E310-$D310,0))</f>
        <v/>
      </c>
      <c r="H310" s="172" t="str">
        <f aca="false">IF($A310="","",IF($F310&gt;0,"Saldo Debit",IF($G310&gt;0,"Saldo Kredit","Zero")))</f>
        <v/>
      </c>
      <c r="I310" s="172" t="str">
        <f aca="false">IF($A310="","",IFERROR(VLOOKUP($A310,PLANI_LLOGARIVE!$A$2:$I$500,9,FALSE()),""))</f>
        <v/>
      </c>
      <c r="J310" s="101" t="str">
        <f aca="false">IF(A310="","",IF(OR(H310="Zero",I310="Debit/Credit"),"",IF(OR(AND(H310="Saldo Debit",I310="Debit"),AND(H310="Saldo Kredit",OR(I310="Credit",I310="Kredit"))),"","⚠️ JO NORMALE")))</f>
        <v/>
      </c>
    </row>
    <row r="311" customFormat="false" ht="12.75" hidden="false" customHeight="true" outlineLevel="0" collapsed="false">
      <c r="A311" s="174" t="str">
        <f aca="false">IF(AND(PLANI_LLOGARIVE!$A305&lt;&gt;"",PLANI_LLOGARIVE!$J305=TRUE()),PLANI_LLOGARIVE!$A305&amp;"","")</f>
        <v/>
      </c>
      <c r="B311" s="174" t="str">
        <f aca="false">IF($A311="","",IFERROR(VLOOKUP($A311,PLANI_LLOGARIVE!$A$2:$I$500,2,FALSE()),""))</f>
        <v/>
      </c>
      <c r="C311" s="174" t="str">
        <f aca="false">IF($A311="","",IFERROR(VLOOKUP($A311,PLANI_LLOGARIVE!$A$2:$I$500,4,FALSE()),""))</f>
        <v/>
      </c>
      <c r="D311" s="175" t="str">
        <f aca="false">IF($A311="","",SUMIFS(DITARI!$F$6:$F$550,DITARI!$D$6:$D$550,$A311))</f>
        <v/>
      </c>
      <c r="E311" s="175" t="str">
        <f aca="false">IF($A311="","",SUMIFS(DITARI!$G$6:$G$550,DITARI!$D$6:$D$550,$A311))</f>
        <v/>
      </c>
      <c r="F311" s="175" t="str">
        <f aca="false">IF($A311="","",MAX($D311-$E311,0))</f>
        <v/>
      </c>
      <c r="G311" s="175" t="str">
        <f aca="false">IF($A311="","",MAX($E311-$D311,0))</f>
        <v/>
      </c>
      <c r="H311" s="174" t="str">
        <f aca="false">IF($A311="","",IF($F311&gt;0,"Saldo Debit",IF($G311&gt;0,"Saldo Kredit","Zero")))</f>
        <v/>
      </c>
      <c r="I311" s="174" t="str">
        <f aca="false">IF($A311="","",IFERROR(VLOOKUP($A311,PLANI_LLOGARIVE!$A$2:$I$500,9,FALSE()),""))</f>
        <v/>
      </c>
      <c r="J311" s="101" t="str">
        <f aca="false">IF(A311="","",IF(OR(H311="Zero",I311="Debit/Credit"),"",IF(OR(AND(H311="Saldo Debit",I311="Debit"),AND(H311="Saldo Kredit",OR(I311="Credit",I311="Kredit"))),"","⚠️ JO NORMALE")))</f>
        <v/>
      </c>
    </row>
    <row r="312" customFormat="false" ht="12.75" hidden="false" customHeight="true" outlineLevel="0" collapsed="false">
      <c r="A312" s="172" t="str">
        <f aca="false">IF(AND(PLANI_LLOGARIVE!$A306&lt;&gt;"",PLANI_LLOGARIVE!$J306=TRUE()),PLANI_LLOGARIVE!$A306&amp;"","")</f>
        <v/>
      </c>
      <c r="B312" s="172" t="str">
        <f aca="false">IF($A312="","",IFERROR(VLOOKUP($A312,PLANI_LLOGARIVE!$A$2:$I$500,2,FALSE()),""))</f>
        <v/>
      </c>
      <c r="C312" s="172" t="str">
        <f aca="false">IF($A312="","",IFERROR(VLOOKUP($A312,PLANI_LLOGARIVE!$A$2:$I$500,4,FALSE()),""))</f>
        <v/>
      </c>
      <c r="D312" s="173" t="str">
        <f aca="false">IF($A312="","",SUMIFS(DITARI!$F$6:$F$550,DITARI!$D$6:$D$550,$A312))</f>
        <v/>
      </c>
      <c r="E312" s="173" t="str">
        <f aca="false">IF($A312="","",SUMIFS(DITARI!$G$6:$G$550,DITARI!$D$6:$D$550,$A312))</f>
        <v/>
      </c>
      <c r="F312" s="173" t="str">
        <f aca="false">IF($A312="","",MAX($D312-$E312,0))</f>
        <v/>
      </c>
      <c r="G312" s="173" t="str">
        <f aca="false">IF($A312="","",MAX($E312-$D312,0))</f>
        <v/>
      </c>
      <c r="H312" s="172" t="str">
        <f aca="false">IF($A312="","",IF($F312&gt;0,"Saldo Debit",IF($G312&gt;0,"Saldo Kredit","Zero")))</f>
        <v/>
      </c>
      <c r="I312" s="172" t="str">
        <f aca="false">IF($A312="","",IFERROR(VLOOKUP($A312,PLANI_LLOGARIVE!$A$2:$I$500,9,FALSE()),""))</f>
        <v/>
      </c>
      <c r="J312" s="101" t="str">
        <f aca="false">IF(A312="","",IF(OR(H312="Zero",I312="Debit/Credit"),"",IF(OR(AND(H312="Saldo Debit",I312="Debit"),AND(H312="Saldo Kredit",OR(I312="Credit",I312="Kredit"))),"","⚠️ JO NORMALE")))</f>
        <v/>
      </c>
    </row>
    <row r="313" customFormat="false" ht="12.75" hidden="false" customHeight="true" outlineLevel="0" collapsed="false">
      <c r="A313" s="174" t="str">
        <f aca="false">IF(AND(PLANI_LLOGARIVE!$A307&lt;&gt;"",PLANI_LLOGARIVE!$J307=TRUE()),PLANI_LLOGARIVE!$A307&amp;"","")</f>
        <v/>
      </c>
      <c r="B313" s="174" t="str">
        <f aca="false">IF($A313="","",IFERROR(VLOOKUP($A313,PLANI_LLOGARIVE!$A$2:$I$500,2,FALSE()),""))</f>
        <v/>
      </c>
      <c r="C313" s="174" t="str">
        <f aca="false">IF($A313="","",IFERROR(VLOOKUP($A313,PLANI_LLOGARIVE!$A$2:$I$500,4,FALSE()),""))</f>
        <v/>
      </c>
      <c r="D313" s="175" t="str">
        <f aca="false">IF($A313="","",SUMIFS(DITARI!$F$6:$F$550,DITARI!$D$6:$D$550,$A313))</f>
        <v/>
      </c>
      <c r="E313" s="175" t="str">
        <f aca="false">IF($A313="","",SUMIFS(DITARI!$G$6:$G$550,DITARI!$D$6:$D$550,$A313))</f>
        <v/>
      </c>
      <c r="F313" s="175" t="str">
        <f aca="false">IF($A313="","",MAX($D313-$E313,0))</f>
        <v/>
      </c>
      <c r="G313" s="175" t="str">
        <f aca="false">IF($A313="","",MAX($E313-$D313,0))</f>
        <v/>
      </c>
      <c r="H313" s="174" t="str">
        <f aca="false">IF($A313="","",IF($F313&gt;0,"Saldo Debit",IF($G313&gt;0,"Saldo Kredit","Zero")))</f>
        <v/>
      </c>
      <c r="I313" s="174" t="str">
        <f aca="false">IF($A313="","",IFERROR(VLOOKUP($A313,PLANI_LLOGARIVE!$A$2:$I$500,9,FALSE()),""))</f>
        <v/>
      </c>
      <c r="J313" s="101" t="str">
        <f aca="false">IF(A313="","",IF(OR(H313="Zero",I313="Debit/Credit"),"",IF(OR(AND(H313="Saldo Debit",I313="Debit"),AND(H313="Saldo Kredit",OR(I313="Credit",I313="Kredit"))),"","⚠️ JO NORMALE")))</f>
        <v/>
      </c>
    </row>
    <row r="314" customFormat="false" ht="12.75" hidden="false" customHeight="true" outlineLevel="0" collapsed="false">
      <c r="A314" s="172" t="str">
        <f aca="false">IF(AND(PLANI_LLOGARIVE!$A308&lt;&gt;"",PLANI_LLOGARIVE!$J308=TRUE()),PLANI_LLOGARIVE!$A308&amp;"","")</f>
        <v/>
      </c>
      <c r="B314" s="172" t="str">
        <f aca="false">IF($A314="","",IFERROR(VLOOKUP($A314,PLANI_LLOGARIVE!$A$2:$I$500,2,FALSE()),""))</f>
        <v/>
      </c>
      <c r="C314" s="172" t="str">
        <f aca="false">IF($A314="","",IFERROR(VLOOKUP($A314,PLANI_LLOGARIVE!$A$2:$I$500,4,FALSE()),""))</f>
        <v/>
      </c>
      <c r="D314" s="173" t="str">
        <f aca="false">IF($A314="","",SUMIFS(DITARI!$F$6:$F$550,DITARI!$D$6:$D$550,$A314))</f>
        <v/>
      </c>
      <c r="E314" s="173" t="str">
        <f aca="false">IF($A314="","",SUMIFS(DITARI!$G$6:$G$550,DITARI!$D$6:$D$550,$A314))</f>
        <v/>
      </c>
      <c r="F314" s="173" t="str">
        <f aca="false">IF($A314="","",MAX($D314-$E314,0))</f>
        <v/>
      </c>
      <c r="G314" s="173" t="str">
        <f aca="false">IF($A314="","",MAX($E314-$D314,0))</f>
        <v/>
      </c>
      <c r="H314" s="172" t="str">
        <f aca="false">IF($A314="","",IF($F314&gt;0,"Saldo Debit",IF($G314&gt;0,"Saldo Kredit","Zero")))</f>
        <v/>
      </c>
      <c r="I314" s="172" t="str">
        <f aca="false">IF($A314="","",IFERROR(VLOOKUP($A314,PLANI_LLOGARIVE!$A$2:$I$500,9,FALSE()),""))</f>
        <v/>
      </c>
      <c r="J314" s="101" t="str">
        <f aca="false">IF(A314="","",IF(OR(H314="Zero",I314="Debit/Credit"),"",IF(OR(AND(H314="Saldo Debit",I314="Debit"),AND(H314="Saldo Kredit",OR(I314="Credit",I314="Kredit"))),"","⚠️ JO NORMALE")))</f>
        <v/>
      </c>
    </row>
    <row r="315" customFormat="false" ht="12.75" hidden="false" customHeight="true" outlineLevel="0" collapsed="false">
      <c r="A315" s="174" t="str">
        <f aca="false">IF(AND(PLANI_LLOGARIVE!$A309&lt;&gt;"",PLANI_LLOGARIVE!$J309=TRUE()),PLANI_LLOGARIVE!$A309&amp;"","")</f>
        <v/>
      </c>
      <c r="B315" s="174" t="str">
        <f aca="false">IF($A315="","",IFERROR(VLOOKUP($A315,PLANI_LLOGARIVE!$A$2:$I$500,2,FALSE()),""))</f>
        <v/>
      </c>
      <c r="C315" s="174" t="str">
        <f aca="false">IF($A315="","",IFERROR(VLOOKUP($A315,PLANI_LLOGARIVE!$A$2:$I$500,4,FALSE()),""))</f>
        <v/>
      </c>
      <c r="D315" s="175" t="str">
        <f aca="false">IF($A315="","",SUMIFS(DITARI!$F$6:$F$550,DITARI!$D$6:$D$550,$A315))</f>
        <v/>
      </c>
      <c r="E315" s="175" t="str">
        <f aca="false">IF($A315="","",SUMIFS(DITARI!$G$6:$G$550,DITARI!$D$6:$D$550,$A315))</f>
        <v/>
      </c>
      <c r="F315" s="175" t="str">
        <f aca="false">IF($A315="","",MAX($D315-$E315,0))</f>
        <v/>
      </c>
      <c r="G315" s="175" t="str">
        <f aca="false">IF($A315="","",MAX($E315-$D315,0))</f>
        <v/>
      </c>
      <c r="H315" s="174" t="str">
        <f aca="false">IF($A315="","",IF($F315&gt;0,"Saldo Debit",IF($G315&gt;0,"Saldo Kredit","Zero")))</f>
        <v/>
      </c>
      <c r="I315" s="174" t="str">
        <f aca="false">IF($A315="","",IFERROR(VLOOKUP($A315,PLANI_LLOGARIVE!$A$2:$I$500,9,FALSE()),""))</f>
        <v/>
      </c>
      <c r="J315" s="101" t="str">
        <f aca="false">IF(A315="","",IF(OR(H315="Zero",I315="Debit/Credit"),"",IF(OR(AND(H315="Saldo Debit",I315="Debit"),AND(H315="Saldo Kredit",OR(I315="Credit",I315="Kredit"))),"","⚠️ JO NORMALE")))</f>
        <v/>
      </c>
    </row>
    <row r="316" customFormat="false" ht="12.75" hidden="false" customHeight="true" outlineLevel="0" collapsed="false">
      <c r="A316" s="172" t="str">
        <f aca="false">IF(AND(PLANI_LLOGARIVE!$A310&lt;&gt;"",PLANI_LLOGARIVE!$J310=TRUE()),PLANI_LLOGARIVE!$A310&amp;"","")</f>
        <v/>
      </c>
      <c r="B316" s="172" t="str">
        <f aca="false">IF($A316="","",IFERROR(VLOOKUP($A316,PLANI_LLOGARIVE!$A$2:$I$500,2,FALSE()),""))</f>
        <v/>
      </c>
      <c r="C316" s="172" t="str">
        <f aca="false">IF($A316="","",IFERROR(VLOOKUP($A316,PLANI_LLOGARIVE!$A$2:$I$500,4,FALSE()),""))</f>
        <v/>
      </c>
      <c r="D316" s="173" t="str">
        <f aca="false">IF($A316="","",SUMIFS(DITARI!$F$6:$F$550,DITARI!$D$6:$D$550,$A316))</f>
        <v/>
      </c>
      <c r="E316" s="173" t="str">
        <f aca="false">IF($A316="","",SUMIFS(DITARI!$G$6:$G$550,DITARI!$D$6:$D$550,$A316))</f>
        <v/>
      </c>
      <c r="F316" s="173" t="str">
        <f aca="false">IF($A316="","",MAX($D316-$E316,0))</f>
        <v/>
      </c>
      <c r="G316" s="173" t="str">
        <f aca="false">IF($A316="","",MAX($E316-$D316,0))</f>
        <v/>
      </c>
      <c r="H316" s="172" t="str">
        <f aca="false">IF($A316="","",IF($F316&gt;0,"Saldo Debit",IF($G316&gt;0,"Saldo Kredit","Zero")))</f>
        <v/>
      </c>
      <c r="I316" s="172" t="str">
        <f aca="false">IF($A316="","",IFERROR(VLOOKUP($A316,PLANI_LLOGARIVE!$A$2:$I$500,9,FALSE()),""))</f>
        <v/>
      </c>
      <c r="J316" s="101" t="str">
        <f aca="false">IF(A316="","",IF(OR(H316="Zero",I316="Debit/Credit"),"",IF(OR(AND(H316="Saldo Debit",I316="Debit"),AND(H316="Saldo Kredit",OR(I316="Credit",I316="Kredit"))),"","⚠️ JO NORMALE")))</f>
        <v/>
      </c>
    </row>
    <row r="317" customFormat="false" ht="12.75" hidden="false" customHeight="true" outlineLevel="0" collapsed="false">
      <c r="A317" s="174" t="str">
        <f aca="false">IF(AND(PLANI_LLOGARIVE!$A311&lt;&gt;"",PLANI_LLOGARIVE!$J311=TRUE()),PLANI_LLOGARIVE!$A311&amp;"","")</f>
        <v/>
      </c>
      <c r="B317" s="174" t="str">
        <f aca="false">IF($A317="","",IFERROR(VLOOKUP($A317,PLANI_LLOGARIVE!$A$2:$I$500,2,FALSE()),""))</f>
        <v/>
      </c>
      <c r="C317" s="174" t="str">
        <f aca="false">IF($A317="","",IFERROR(VLOOKUP($A317,PLANI_LLOGARIVE!$A$2:$I$500,4,FALSE()),""))</f>
        <v/>
      </c>
      <c r="D317" s="175" t="str">
        <f aca="false">IF($A317="","",SUMIFS(DITARI!$F$6:$F$550,DITARI!$D$6:$D$550,$A317))</f>
        <v/>
      </c>
      <c r="E317" s="175" t="str">
        <f aca="false">IF($A317="","",SUMIFS(DITARI!$G$6:$G$550,DITARI!$D$6:$D$550,$A317))</f>
        <v/>
      </c>
      <c r="F317" s="175" t="str">
        <f aca="false">IF($A317="","",MAX($D317-$E317,0))</f>
        <v/>
      </c>
      <c r="G317" s="175" t="str">
        <f aca="false">IF($A317="","",MAX($E317-$D317,0))</f>
        <v/>
      </c>
      <c r="H317" s="174" t="str">
        <f aca="false">IF($A317="","",IF($F317&gt;0,"Saldo Debit",IF($G317&gt;0,"Saldo Kredit","Zero")))</f>
        <v/>
      </c>
      <c r="I317" s="174" t="str">
        <f aca="false">IF($A317="","",IFERROR(VLOOKUP($A317,PLANI_LLOGARIVE!$A$2:$I$500,9,FALSE()),""))</f>
        <v/>
      </c>
      <c r="J317" s="101" t="str">
        <f aca="false">IF(A317="","",IF(OR(H317="Zero",I317="Debit/Credit"),"",IF(OR(AND(H317="Saldo Debit",I317="Debit"),AND(H317="Saldo Kredit",OR(I317="Credit",I317="Kredit"))),"","⚠️ JO NORMALE")))</f>
        <v/>
      </c>
    </row>
    <row r="318" customFormat="false" ht="12.75" hidden="false" customHeight="true" outlineLevel="0" collapsed="false">
      <c r="A318" s="172" t="str">
        <f aca="false">IF(AND(PLANI_LLOGARIVE!$A312&lt;&gt;"",PLANI_LLOGARIVE!$J312=TRUE()),PLANI_LLOGARIVE!$A312&amp;"","")</f>
        <v/>
      </c>
      <c r="B318" s="172" t="str">
        <f aca="false">IF($A318="","",IFERROR(VLOOKUP($A318,PLANI_LLOGARIVE!$A$2:$I$500,2,FALSE()),""))</f>
        <v/>
      </c>
      <c r="C318" s="172" t="str">
        <f aca="false">IF($A318="","",IFERROR(VLOOKUP($A318,PLANI_LLOGARIVE!$A$2:$I$500,4,FALSE()),""))</f>
        <v/>
      </c>
      <c r="D318" s="173" t="str">
        <f aca="false">IF($A318="","",SUMIFS(DITARI!$F$6:$F$550,DITARI!$D$6:$D$550,$A318))</f>
        <v/>
      </c>
      <c r="E318" s="173" t="str">
        <f aca="false">IF($A318="","",SUMIFS(DITARI!$G$6:$G$550,DITARI!$D$6:$D$550,$A318))</f>
        <v/>
      </c>
      <c r="F318" s="173" t="str">
        <f aca="false">IF($A318="","",MAX($D318-$E318,0))</f>
        <v/>
      </c>
      <c r="G318" s="173" t="str">
        <f aca="false">IF($A318="","",MAX($E318-$D318,0))</f>
        <v/>
      </c>
      <c r="H318" s="172" t="str">
        <f aca="false">IF($A318="","",IF($F318&gt;0,"Saldo Debit",IF($G318&gt;0,"Saldo Kredit","Zero")))</f>
        <v/>
      </c>
      <c r="I318" s="172" t="str">
        <f aca="false">IF($A318="","",IFERROR(VLOOKUP($A318,PLANI_LLOGARIVE!$A$2:$I$500,9,FALSE()),""))</f>
        <v/>
      </c>
      <c r="J318" s="101" t="str">
        <f aca="false">IF(A318="","",IF(OR(H318="Zero",I318="Debit/Credit"),"",IF(OR(AND(H318="Saldo Debit",I318="Debit"),AND(H318="Saldo Kredit",OR(I318="Credit",I318="Kredit"))),"","⚠️ JO NORMALE")))</f>
        <v/>
      </c>
    </row>
    <row r="319" customFormat="false" ht="12.75" hidden="false" customHeight="true" outlineLevel="0" collapsed="false">
      <c r="A319" s="174" t="str">
        <f aca="false">IF(AND(PLANI_LLOGARIVE!$A313&lt;&gt;"",PLANI_LLOGARIVE!$J313=TRUE()),PLANI_LLOGARIVE!$A313&amp;"","")</f>
        <v/>
      </c>
      <c r="B319" s="174" t="str">
        <f aca="false">IF($A319="","",IFERROR(VLOOKUP($A319,PLANI_LLOGARIVE!$A$2:$I$500,2,FALSE()),""))</f>
        <v/>
      </c>
      <c r="C319" s="174" t="str">
        <f aca="false">IF($A319="","",IFERROR(VLOOKUP($A319,PLANI_LLOGARIVE!$A$2:$I$500,4,FALSE()),""))</f>
        <v/>
      </c>
      <c r="D319" s="175" t="str">
        <f aca="false">IF($A319="","",SUMIFS(DITARI!$F$6:$F$550,DITARI!$D$6:$D$550,$A319))</f>
        <v/>
      </c>
      <c r="E319" s="175" t="str">
        <f aca="false">IF($A319="","",SUMIFS(DITARI!$G$6:$G$550,DITARI!$D$6:$D$550,$A319))</f>
        <v/>
      </c>
      <c r="F319" s="175" t="str">
        <f aca="false">IF($A319="","",MAX($D319-$E319,0))</f>
        <v/>
      </c>
      <c r="G319" s="175" t="str">
        <f aca="false">IF($A319="","",MAX($E319-$D319,0))</f>
        <v/>
      </c>
      <c r="H319" s="174" t="str">
        <f aca="false">IF($A319="","",IF($F319&gt;0,"Saldo Debit",IF($G319&gt;0,"Saldo Kredit","Zero")))</f>
        <v/>
      </c>
      <c r="I319" s="174" t="str">
        <f aca="false">IF($A319="","",IFERROR(VLOOKUP($A319,PLANI_LLOGARIVE!$A$2:$I$500,9,FALSE()),""))</f>
        <v/>
      </c>
      <c r="J319" s="101" t="str">
        <f aca="false">IF(A319="","",IF(OR(H319="Zero",I319="Debit/Credit"),"",IF(OR(AND(H319="Saldo Debit",I319="Debit"),AND(H319="Saldo Kredit",OR(I319="Credit",I319="Kredit"))),"","⚠️ JO NORMALE")))</f>
        <v/>
      </c>
    </row>
    <row r="320" customFormat="false" ht="12.75" hidden="false" customHeight="true" outlineLevel="0" collapsed="false">
      <c r="A320" s="172" t="str">
        <f aca="false">IF(AND(PLANI_LLOGARIVE!$A314&lt;&gt;"",PLANI_LLOGARIVE!$J314=TRUE()),PLANI_LLOGARIVE!$A314&amp;"","")</f>
        <v/>
      </c>
      <c r="B320" s="172" t="str">
        <f aca="false">IF($A320="","",IFERROR(VLOOKUP($A320,PLANI_LLOGARIVE!$A$2:$I$500,2,FALSE()),""))</f>
        <v/>
      </c>
      <c r="C320" s="172" t="str">
        <f aca="false">IF($A320="","",IFERROR(VLOOKUP($A320,PLANI_LLOGARIVE!$A$2:$I$500,4,FALSE()),""))</f>
        <v/>
      </c>
      <c r="D320" s="173" t="str">
        <f aca="false">IF($A320="","",SUMIFS(DITARI!$F$6:$F$550,DITARI!$D$6:$D$550,$A320))</f>
        <v/>
      </c>
      <c r="E320" s="173" t="str">
        <f aca="false">IF($A320="","",SUMIFS(DITARI!$G$6:$G$550,DITARI!$D$6:$D$550,$A320))</f>
        <v/>
      </c>
      <c r="F320" s="173" t="str">
        <f aca="false">IF($A320="","",MAX($D320-$E320,0))</f>
        <v/>
      </c>
      <c r="G320" s="173" t="str">
        <f aca="false">IF($A320="","",MAX($E320-$D320,0))</f>
        <v/>
      </c>
      <c r="H320" s="172" t="str">
        <f aca="false">IF($A320="","",IF($F320&gt;0,"Saldo Debit",IF($G320&gt;0,"Saldo Kredit","Zero")))</f>
        <v/>
      </c>
      <c r="I320" s="172" t="str">
        <f aca="false">IF($A320="","",IFERROR(VLOOKUP($A320,PLANI_LLOGARIVE!$A$2:$I$500,9,FALSE()),""))</f>
        <v/>
      </c>
      <c r="J320" s="101" t="str">
        <f aca="false">IF(A320="","",IF(OR(H320="Zero",I320="Debit/Credit"),"",IF(OR(AND(H320="Saldo Debit",I320="Debit"),AND(H320="Saldo Kredit",OR(I320="Credit",I320="Kredit"))),"","⚠️ JO NORMALE")))</f>
        <v/>
      </c>
    </row>
    <row r="321" customFormat="false" ht="12.75" hidden="false" customHeight="true" outlineLevel="0" collapsed="false">
      <c r="A321" s="174" t="str">
        <f aca="false">IF(AND(PLANI_LLOGARIVE!$A315&lt;&gt;"",PLANI_LLOGARIVE!$J315=TRUE()),PLANI_LLOGARIVE!$A315&amp;"","")</f>
        <v/>
      </c>
      <c r="B321" s="174" t="str">
        <f aca="false">IF($A321="","",IFERROR(VLOOKUP($A321,PLANI_LLOGARIVE!$A$2:$I$500,2,FALSE()),""))</f>
        <v/>
      </c>
      <c r="C321" s="174" t="str">
        <f aca="false">IF($A321="","",IFERROR(VLOOKUP($A321,PLANI_LLOGARIVE!$A$2:$I$500,4,FALSE()),""))</f>
        <v/>
      </c>
      <c r="D321" s="175" t="str">
        <f aca="false">IF($A321="","",SUMIFS(DITARI!$F$6:$F$550,DITARI!$D$6:$D$550,$A321))</f>
        <v/>
      </c>
      <c r="E321" s="175" t="str">
        <f aca="false">IF($A321="","",SUMIFS(DITARI!$G$6:$G$550,DITARI!$D$6:$D$550,$A321))</f>
        <v/>
      </c>
      <c r="F321" s="175" t="str">
        <f aca="false">IF($A321="","",MAX($D321-$E321,0))</f>
        <v/>
      </c>
      <c r="G321" s="175" t="str">
        <f aca="false">IF($A321="","",MAX($E321-$D321,0))</f>
        <v/>
      </c>
      <c r="H321" s="174" t="str">
        <f aca="false">IF($A321="","",IF($F321&gt;0,"Saldo Debit",IF($G321&gt;0,"Saldo Kredit","Zero")))</f>
        <v/>
      </c>
      <c r="I321" s="174" t="str">
        <f aca="false">IF($A321="","",IFERROR(VLOOKUP($A321,PLANI_LLOGARIVE!$A$2:$I$500,9,FALSE()),""))</f>
        <v/>
      </c>
      <c r="J321" s="101" t="str">
        <f aca="false">IF(A321="","",IF(OR(H321="Zero",I321="Debit/Credit"),"",IF(OR(AND(H321="Saldo Debit",I321="Debit"),AND(H321="Saldo Kredit",OR(I321="Credit",I321="Kredit"))),"","⚠️ JO NORMALE")))</f>
        <v/>
      </c>
    </row>
    <row r="322" customFormat="false" ht="12.75" hidden="false" customHeight="true" outlineLevel="0" collapsed="false">
      <c r="A322" s="172" t="str">
        <f aca="false">IF(AND(PLANI_LLOGARIVE!$A316&lt;&gt;"",PLANI_LLOGARIVE!$J316=TRUE()),PLANI_LLOGARIVE!$A316&amp;"","")</f>
        <v/>
      </c>
      <c r="B322" s="172" t="str">
        <f aca="false">IF($A322="","",IFERROR(VLOOKUP($A322,PLANI_LLOGARIVE!$A$2:$I$500,2,FALSE()),""))</f>
        <v/>
      </c>
      <c r="C322" s="172" t="str">
        <f aca="false">IF($A322="","",IFERROR(VLOOKUP($A322,PLANI_LLOGARIVE!$A$2:$I$500,4,FALSE()),""))</f>
        <v/>
      </c>
      <c r="D322" s="173" t="str">
        <f aca="false">IF($A322="","",SUMIFS(DITARI!$F$6:$F$550,DITARI!$D$6:$D$550,$A322))</f>
        <v/>
      </c>
      <c r="E322" s="173" t="str">
        <f aca="false">IF($A322="","",SUMIFS(DITARI!$G$6:$G$550,DITARI!$D$6:$D$550,$A322))</f>
        <v/>
      </c>
      <c r="F322" s="173" t="str">
        <f aca="false">IF($A322="","",MAX($D322-$E322,0))</f>
        <v/>
      </c>
      <c r="G322" s="173" t="str">
        <f aca="false">IF($A322="","",MAX($E322-$D322,0))</f>
        <v/>
      </c>
      <c r="H322" s="172" t="str">
        <f aca="false">IF($A322="","",IF($F322&gt;0,"Saldo Debit",IF($G322&gt;0,"Saldo Kredit","Zero")))</f>
        <v/>
      </c>
      <c r="I322" s="172" t="str">
        <f aca="false">IF($A322="","",IFERROR(VLOOKUP($A322,PLANI_LLOGARIVE!$A$2:$I$500,9,FALSE()),""))</f>
        <v/>
      </c>
      <c r="J322" s="101" t="str">
        <f aca="false">IF(A322="","",IF(OR(H322="Zero",I322="Debit/Credit"),"",IF(OR(AND(H322="Saldo Debit",I322="Debit"),AND(H322="Saldo Kredit",OR(I322="Credit",I322="Kredit"))),"","⚠️ JO NORMALE")))</f>
        <v/>
      </c>
    </row>
    <row r="323" customFormat="false" ht="12.75" hidden="false" customHeight="true" outlineLevel="0" collapsed="false">
      <c r="A323" s="174" t="str">
        <f aca="false">IF(AND(PLANI_LLOGARIVE!$A317&lt;&gt;"",PLANI_LLOGARIVE!$J317=TRUE()),PLANI_LLOGARIVE!$A317&amp;"","")</f>
        <v/>
      </c>
      <c r="B323" s="174" t="str">
        <f aca="false">IF($A323="","",IFERROR(VLOOKUP($A323,PLANI_LLOGARIVE!$A$2:$I$500,2,FALSE()),""))</f>
        <v/>
      </c>
      <c r="C323" s="174" t="str">
        <f aca="false">IF($A323="","",IFERROR(VLOOKUP($A323,PLANI_LLOGARIVE!$A$2:$I$500,4,FALSE()),""))</f>
        <v/>
      </c>
      <c r="D323" s="175" t="str">
        <f aca="false">IF($A323="","",SUMIFS(DITARI!$F$6:$F$550,DITARI!$D$6:$D$550,$A323))</f>
        <v/>
      </c>
      <c r="E323" s="175" t="str">
        <f aca="false">IF($A323="","",SUMIFS(DITARI!$G$6:$G$550,DITARI!$D$6:$D$550,$A323))</f>
        <v/>
      </c>
      <c r="F323" s="175" t="str">
        <f aca="false">IF($A323="","",MAX($D323-$E323,0))</f>
        <v/>
      </c>
      <c r="G323" s="175" t="str">
        <f aca="false">IF($A323="","",MAX($E323-$D323,0))</f>
        <v/>
      </c>
      <c r="H323" s="174" t="str">
        <f aca="false">IF($A323="","",IF($F323&gt;0,"Saldo Debit",IF($G323&gt;0,"Saldo Kredit","Zero")))</f>
        <v/>
      </c>
      <c r="I323" s="174" t="str">
        <f aca="false">IF($A323="","",IFERROR(VLOOKUP($A323,PLANI_LLOGARIVE!$A$2:$I$500,9,FALSE()),""))</f>
        <v/>
      </c>
      <c r="J323" s="101" t="str">
        <f aca="false">IF(A323="","",IF(OR(H323="Zero",I323="Debit/Credit"),"",IF(OR(AND(H323="Saldo Debit",I323="Debit"),AND(H323="Saldo Kredit",OR(I323="Credit",I323="Kredit"))),"","⚠️ JO NORMALE")))</f>
        <v/>
      </c>
    </row>
    <row r="324" customFormat="false" ht="12.75" hidden="false" customHeight="true" outlineLevel="0" collapsed="false">
      <c r="A324" s="172" t="str">
        <f aca="false">IF(AND(PLANI_LLOGARIVE!$A318&lt;&gt;"",PLANI_LLOGARIVE!$J318=TRUE()),PLANI_LLOGARIVE!$A318&amp;"","")</f>
        <v/>
      </c>
      <c r="B324" s="172" t="str">
        <f aca="false">IF($A324="","",IFERROR(VLOOKUP($A324,PLANI_LLOGARIVE!$A$2:$I$500,2,FALSE()),""))</f>
        <v/>
      </c>
      <c r="C324" s="172" t="str">
        <f aca="false">IF($A324="","",IFERROR(VLOOKUP($A324,PLANI_LLOGARIVE!$A$2:$I$500,4,FALSE()),""))</f>
        <v/>
      </c>
      <c r="D324" s="173" t="str">
        <f aca="false">IF($A324="","",SUMIFS(DITARI!$F$6:$F$550,DITARI!$D$6:$D$550,$A324))</f>
        <v/>
      </c>
      <c r="E324" s="173" t="str">
        <f aca="false">IF($A324="","",SUMIFS(DITARI!$G$6:$G$550,DITARI!$D$6:$D$550,$A324))</f>
        <v/>
      </c>
      <c r="F324" s="173" t="str">
        <f aca="false">IF($A324="","",MAX($D324-$E324,0))</f>
        <v/>
      </c>
      <c r="G324" s="173" t="str">
        <f aca="false">IF($A324="","",MAX($E324-$D324,0))</f>
        <v/>
      </c>
      <c r="H324" s="172" t="str">
        <f aca="false">IF($A324="","",IF($F324&gt;0,"Saldo Debit",IF($G324&gt;0,"Saldo Kredit","Zero")))</f>
        <v/>
      </c>
      <c r="I324" s="172" t="str">
        <f aca="false">IF($A324="","",IFERROR(VLOOKUP($A324,PLANI_LLOGARIVE!$A$2:$I$500,9,FALSE()),""))</f>
        <v/>
      </c>
      <c r="J324" s="101" t="str">
        <f aca="false">IF(A324="","",IF(OR(H324="Zero",I324="Debit/Credit"),"",IF(OR(AND(H324="Saldo Debit",I324="Debit"),AND(H324="Saldo Kredit",OR(I324="Credit",I324="Kredit"))),"","⚠️ JO NORMALE")))</f>
        <v/>
      </c>
    </row>
    <row r="325" customFormat="false" ht="12.75" hidden="false" customHeight="true" outlineLevel="0" collapsed="false">
      <c r="A325" s="174" t="str">
        <f aca="false">IF(AND(PLANI_LLOGARIVE!$A319&lt;&gt;"",PLANI_LLOGARIVE!$J319=TRUE()),PLANI_LLOGARIVE!$A319&amp;"","")</f>
        <v/>
      </c>
      <c r="B325" s="174" t="str">
        <f aca="false">IF($A325="","",IFERROR(VLOOKUP($A325,PLANI_LLOGARIVE!$A$2:$I$500,2,FALSE()),""))</f>
        <v/>
      </c>
      <c r="C325" s="174" t="str">
        <f aca="false">IF($A325="","",IFERROR(VLOOKUP($A325,PLANI_LLOGARIVE!$A$2:$I$500,4,FALSE()),""))</f>
        <v/>
      </c>
      <c r="D325" s="175" t="str">
        <f aca="false">IF($A325="","",SUMIFS(DITARI!$F$6:$F$550,DITARI!$D$6:$D$550,$A325))</f>
        <v/>
      </c>
      <c r="E325" s="175" t="str">
        <f aca="false">IF($A325="","",SUMIFS(DITARI!$G$6:$G$550,DITARI!$D$6:$D$550,$A325))</f>
        <v/>
      </c>
      <c r="F325" s="175" t="str">
        <f aca="false">IF($A325="","",MAX($D325-$E325,0))</f>
        <v/>
      </c>
      <c r="G325" s="175" t="str">
        <f aca="false">IF($A325="","",MAX($E325-$D325,0))</f>
        <v/>
      </c>
      <c r="H325" s="174" t="str">
        <f aca="false">IF($A325="","",IF($F325&gt;0,"Saldo Debit",IF($G325&gt;0,"Saldo Kredit","Zero")))</f>
        <v/>
      </c>
      <c r="I325" s="174" t="str">
        <f aca="false">IF($A325="","",IFERROR(VLOOKUP($A325,PLANI_LLOGARIVE!$A$2:$I$500,9,FALSE()),""))</f>
        <v/>
      </c>
      <c r="J325" s="101" t="str">
        <f aca="false">IF(A325="","",IF(OR(H325="Zero",I325="Debit/Credit"),"",IF(OR(AND(H325="Saldo Debit",I325="Debit"),AND(H325="Saldo Kredit",OR(I325="Credit",I325="Kredit"))),"","⚠️ JO NORMALE")))</f>
        <v/>
      </c>
    </row>
    <row r="326" customFormat="false" ht="12.75" hidden="false" customHeight="true" outlineLevel="0" collapsed="false">
      <c r="A326" s="172" t="str">
        <f aca="false">IF(AND(PLANI_LLOGARIVE!$A320&lt;&gt;"",PLANI_LLOGARIVE!$J320=TRUE()),PLANI_LLOGARIVE!$A320&amp;"","")</f>
        <v/>
      </c>
      <c r="B326" s="172" t="str">
        <f aca="false">IF($A326="","",IFERROR(VLOOKUP($A326,PLANI_LLOGARIVE!$A$2:$I$500,2,FALSE()),""))</f>
        <v/>
      </c>
      <c r="C326" s="172" t="str">
        <f aca="false">IF($A326="","",IFERROR(VLOOKUP($A326,PLANI_LLOGARIVE!$A$2:$I$500,4,FALSE()),""))</f>
        <v/>
      </c>
      <c r="D326" s="173" t="str">
        <f aca="false">IF($A326="","",SUMIFS(DITARI!$F$6:$F$550,DITARI!$D$6:$D$550,$A326))</f>
        <v/>
      </c>
      <c r="E326" s="173" t="str">
        <f aca="false">IF($A326="","",SUMIFS(DITARI!$G$6:$G$550,DITARI!$D$6:$D$550,$A326))</f>
        <v/>
      </c>
      <c r="F326" s="173" t="str">
        <f aca="false">IF($A326="","",MAX($D326-$E326,0))</f>
        <v/>
      </c>
      <c r="G326" s="173" t="str">
        <f aca="false">IF($A326="","",MAX($E326-$D326,0))</f>
        <v/>
      </c>
      <c r="H326" s="172" t="str">
        <f aca="false">IF($A326="","",IF($F326&gt;0,"Saldo Debit",IF($G326&gt;0,"Saldo Kredit","Zero")))</f>
        <v/>
      </c>
      <c r="I326" s="172" t="str">
        <f aca="false">IF($A326="","",IFERROR(VLOOKUP($A326,PLANI_LLOGARIVE!$A$2:$I$500,9,FALSE()),""))</f>
        <v/>
      </c>
      <c r="J326" s="101" t="str">
        <f aca="false">IF(A326="","",IF(OR(H326="Zero",I326="Debit/Credit"),"",IF(OR(AND(H326="Saldo Debit",I326="Debit"),AND(H326="Saldo Kredit",OR(I326="Credit",I326="Kredit"))),"","⚠️ JO NORMALE")))</f>
        <v/>
      </c>
    </row>
    <row r="327" customFormat="false" ht="12.75" hidden="false" customHeight="true" outlineLevel="0" collapsed="false">
      <c r="A327" s="174" t="str">
        <f aca="false">IF(AND(PLANI_LLOGARIVE!$A321&lt;&gt;"",PLANI_LLOGARIVE!$J321=TRUE()),PLANI_LLOGARIVE!$A321&amp;"","")</f>
        <v/>
      </c>
      <c r="B327" s="174" t="str">
        <f aca="false">IF($A327="","",IFERROR(VLOOKUP($A327,PLANI_LLOGARIVE!$A$2:$I$500,2,FALSE()),""))</f>
        <v/>
      </c>
      <c r="C327" s="174" t="str">
        <f aca="false">IF($A327="","",IFERROR(VLOOKUP($A327,PLANI_LLOGARIVE!$A$2:$I$500,4,FALSE()),""))</f>
        <v/>
      </c>
      <c r="D327" s="175" t="str">
        <f aca="false">IF($A327="","",SUMIFS(DITARI!$F$6:$F$550,DITARI!$D$6:$D$550,$A327))</f>
        <v/>
      </c>
      <c r="E327" s="175" t="str">
        <f aca="false">IF($A327="","",SUMIFS(DITARI!$G$6:$G$550,DITARI!$D$6:$D$550,$A327))</f>
        <v/>
      </c>
      <c r="F327" s="175" t="str">
        <f aca="false">IF($A327="","",MAX($D327-$E327,0))</f>
        <v/>
      </c>
      <c r="G327" s="175" t="str">
        <f aca="false">IF($A327="","",MAX($E327-$D327,0))</f>
        <v/>
      </c>
      <c r="H327" s="174" t="str">
        <f aca="false">IF($A327="","",IF($F327&gt;0,"Saldo Debit",IF($G327&gt;0,"Saldo Kredit","Zero")))</f>
        <v/>
      </c>
      <c r="I327" s="174" t="str">
        <f aca="false">IF($A327="","",IFERROR(VLOOKUP($A327,PLANI_LLOGARIVE!$A$2:$I$500,9,FALSE()),""))</f>
        <v/>
      </c>
      <c r="J327" s="101" t="str">
        <f aca="false">IF(A327="","",IF(OR(H327="Zero",I327="Debit/Credit"),"",IF(OR(AND(H327="Saldo Debit",I327="Debit"),AND(H327="Saldo Kredit",OR(I327="Credit",I327="Kredit"))),"","⚠️ JO NORMALE")))</f>
        <v/>
      </c>
    </row>
    <row r="328" customFormat="false" ht="12.75" hidden="false" customHeight="true" outlineLevel="0" collapsed="false">
      <c r="A328" s="172" t="str">
        <f aca="false">IF(AND(PLANI_LLOGARIVE!$A322&lt;&gt;"",PLANI_LLOGARIVE!$J322=TRUE()),PLANI_LLOGARIVE!$A322&amp;"","")</f>
        <v/>
      </c>
      <c r="B328" s="172" t="str">
        <f aca="false">IF($A328="","",IFERROR(VLOOKUP($A328,PLANI_LLOGARIVE!$A$2:$I$500,2,FALSE()),""))</f>
        <v/>
      </c>
      <c r="C328" s="172" t="str">
        <f aca="false">IF($A328="","",IFERROR(VLOOKUP($A328,PLANI_LLOGARIVE!$A$2:$I$500,4,FALSE()),""))</f>
        <v/>
      </c>
      <c r="D328" s="173" t="str">
        <f aca="false">IF($A328="","",SUMIFS(DITARI!$F$6:$F$550,DITARI!$D$6:$D$550,$A328))</f>
        <v/>
      </c>
      <c r="E328" s="173" t="str">
        <f aca="false">IF($A328="","",SUMIFS(DITARI!$G$6:$G$550,DITARI!$D$6:$D$550,$A328))</f>
        <v/>
      </c>
      <c r="F328" s="173" t="str">
        <f aca="false">IF($A328="","",MAX($D328-$E328,0))</f>
        <v/>
      </c>
      <c r="G328" s="173" t="str">
        <f aca="false">IF($A328="","",MAX($E328-$D328,0))</f>
        <v/>
      </c>
      <c r="H328" s="172" t="str">
        <f aca="false">IF($A328="","",IF($F328&gt;0,"Saldo Debit",IF($G328&gt;0,"Saldo Kredit","Zero")))</f>
        <v/>
      </c>
      <c r="I328" s="172" t="str">
        <f aca="false">IF($A328="","",IFERROR(VLOOKUP($A328,PLANI_LLOGARIVE!$A$2:$I$500,9,FALSE()),""))</f>
        <v/>
      </c>
      <c r="J328" s="101" t="str">
        <f aca="false">IF(A328="","",IF(OR(H328="Zero",I328="Debit/Credit"),"",IF(OR(AND(H328="Saldo Debit",I328="Debit"),AND(H328="Saldo Kredit",OR(I328="Credit",I328="Kredit"))),"","⚠️ JO NORMALE")))</f>
        <v/>
      </c>
    </row>
    <row r="329" customFormat="false" ht="12.75" hidden="false" customHeight="true" outlineLevel="0" collapsed="false">
      <c r="A329" s="174" t="str">
        <f aca="false">IF(AND(PLANI_LLOGARIVE!$A323&lt;&gt;"",PLANI_LLOGARIVE!$J323=TRUE()),PLANI_LLOGARIVE!$A323&amp;"","")</f>
        <v/>
      </c>
      <c r="B329" s="174" t="str">
        <f aca="false">IF($A329="","",IFERROR(VLOOKUP($A329,PLANI_LLOGARIVE!$A$2:$I$500,2,FALSE()),""))</f>
        <v/>
      </c>
      <c r="C329" s="174" t="str">
        <f aca="false">IF($A329="","",IFERROR(VLOOKUP($A329,PLANI_LLOGARIVE!$A$2:$I$500,4,FALSE()),""))</f>
        <v/>
      </c>
      <c r="D329" s="175" t="str">
        <f aca="false">IF($A329="","",SUMIFS(DITARI!$F$6:$F$550,DITARI!$D$6:$D$550,$A329))</f>
        <v/>
      </c>
      <c r="E329" s="175" t="str">
        <f aca="false">IF($A329="","",SUMIFS(DITARI!$G$6:$G$550,DITARI!$D$6:$D$550,$A329))</f>
        <v/>
      </c>
      <c r="F329" s="175" t="str">
        <f aca="false">IF($A329="","",MAX($D329-$E329,0))</f>
        <v/>
      </c>
      <c r="G329" s="175" t="str">
        <f aca="false">IF($A329="","",MAX($E329-$D329,0))</f>
        <v/>
      </c>
      <c r="H329" s="174" t="str">
        <f aca="false">IF($A329="","",IF($F329&gt;0,"Saldo Debit",IF($G329&gt;0,"Saldo Kredit","Zero")))</f>
        <v/>
      </c>
      <c r="I329" s="174" t="str">
        <f aca="false">IF($A329="","",IFERROR(VLOOKUP($A329,PLANI_LLOGARIVE!$A$2:$I$500,9,FALSE()),""))</f>
        <v/>
      </c>
      <c r="J329" s="101" t="str">
        <f aca="false">IF(A329="","",IF(OR(H329="Zero",I329="Debit/Credit"),"",IF(OR(AND(H329="Saldo Debit",I329="Debit"),AND(H329="Saldo Kredit",OR(I329="Credit",I329="Kredit"))),"","⚠️ JO NORMALE")))</f>
        <v/>
      </c>
    </row>
    <row r="330" customFormat="false" ht="12.75" hidden="false" customHeight="true" outlineLevel="0" collapsed="false">
      <c r="A330" s="172" t="str">
        <f aca="false">IF(AND(PLANI_LLOGARIVE!$A324&lt;&gt;"",PLANI_LLOGARIVE!$J324=TRUE()),PLANI_LLOGARIVE!$A324&amp;"","")</f>
        <v/>
      </c>
      <c r="B330" s="172" t="str">
        <f aca="false">IF($A330="","",IFERROR(VLOOKUP($A330,PLANI_LLOGARIVE!$A$2:$I$500,2,FALSE()),""))</f>
        <v/>
      </c>
      <c r="C330" s="172" t="str">
        <f aca="false">IF($A330="","",IFERROR(VLOOKUP($A330,PLANI_LLOGARIVE!$A$2:$I$500,4,FALSE()),""))</f>
        <v/>
      </c>
      <c r="D330" s="173" t="str">
        <f aca="false">IF($A330="","",SUMIFS(DITARI!$F$6:$F$550,DITARI!$D$6:$D$550,$A330))</f>
        <v/>
      </c>
      <c r="E330" s="173" t="str">
        <f aca="false">IF($A330="","",SUMIFS(DITARI!$G$6:$G$550,DITARI!$D$6:$D$550,$A330))</f>
        <v/>
      </c>
      <c r="F330" s="173" t="str">
        <f aca="false">IF($A330="","",MAX($D330-$E330,0))</f>
        <v/>
      </c>
      <c r="G330" s="173" t="str">
        <f aca="false">IF($A330="","",MAX($E330-$D330,0))</f>
        <v/>
      </c>
      <c r="H330" s="172" t="str">
        <f aca="false">IF($A330="","",IF($F330&gt;0,"Saldo Debit",IF($G330&gt;0,"Saldo Kredit","Zero")))</f>
        <v/>
      </c>
      <c r="I330" s="172" t="str">
        <f aca="false">IF($A330="","",IFERROR(VLOOKUP($A330,PLANI_LLOGARIVE!$A$2:$I$500,9,FALSE()),""))</f>
        <v/>
      </c>
      <c r="J330" s="101" t="str">
        <f aca="false">IF(A330="","",IF(OR(H330="Zero",I330="Debit/Credit"),"",IF(OR(AND(H330="Saldo Debit",I330="Debit"),AND(H330="Saldo Kredit",OR(I330="Credit",I330="Kredit"))),"","⚠️ JO NORMALE")))</f>
        <v/>
      </c>
    </row>
    <row r="331" customFormat="false" ht="12.75" hidden="false" customHeight="true" outlineLevel="0" collapsed="false">
      <c r="A331" s="174" t="str">
        <f aca="false">IF(AND(PLANI_LLOGARIVE!$A325&lt;&gt;"",PLANI_LLOGARIVE!$J325=TRUE()),PLANI_LLOGARIVE!$A325&amp;"","")</f>
        <v/>
      </c>
      <c r="B331" s="174" t="str">
        <f aca="false">IF($A331="","",IFERROR(VLOOKUP($A331,PLANI_LLOGARIVE!$A$2:$I$500,2,FALSE()),""))</f>
        <v/>
      </c>
      <c r="C331" s="174" t="str">
        <f aca="false">IF($A331="","",IFERROR(VLOOKUP($A331,PLANI_LLOGARIVE!$A$2:$I$500,4,FALSE()),""))</f>
        <v/>
      </c>
      <c r="D331" s="175" t="str">
        <f aca="false">IF($A331="","",SUMIFS(DITARI!$F$6:$F$550,DITARI!$D$6:$D$550,$A331))</f>
        <v/>
      </c>
      <c r="E331" s="175" t="str">
        <f aca="false">IF($A331="","",SUMIFS(DITARI!$G$6:$G$550,DITARI!$D$6:$D$550,$A331))</f>
        <v/>
      </c>
      <c r="F331" s="175" t="str">
        <f aca="false">IF($A331="","",MAX($D331-$E331,0))</f>
        <v/>
      </c>
      <c r="G331" s="175" t="str">
        <f aca="false">IF($A331="","",MAX($E331-$D331,0))</f>
        <v/>
      </c>
      <c r="H331" s="174" t="str">
        <f aca="false">IF($A331="","",IF($F331&gt;0,"Saldo Debit",IF($G331&gt;0,"Saldo Kredit","Zero")))</f>
        <v/>
      </c>
      <c r="I331" s="174" t="str">
        <f aca="false">IF($A331="","",IFERROR(VLOOKUP($A331,PLANI_LLOGARIVE!$A$2:$I$500,9,FALSE()),""))</f>
        <v/>
      </c>
      <c r="J331" s="101" t="str">
        <f aca="false">IF(A331="","",IF(OR(H331="Zero",I331="Debit/Credit"),"",IF(OR(AND(H331="Saldo Debit",I331="Debit"),AND(H331="Saldo Kredit",OR(I331="Credit",I331="Kredit"))),"","⚠️ JO NORMALE")))</f>
        <v/>
      </c>
    </row>
    <row r="332" customFormat="false" ht="12.75" hidden="false" customHeight="true" outlineLevel="0" collapsed="false">
      <c r="A332" s="172" t="str">
        <f aca="false">IF(AND(PLANI_LLOGARIVE!$A326&lt;&gt;"",PLANI_LLOGARIVE!$J326=TRUE()),PLANI_LLOGARIVE!$A326&amp;"","")</f>
        <v/>
      </c>
      <c r="B332" s="172" t="str">
        <f aca="false">IF($A332="","",IFERROR(VLOOKUP($A332,PLANI_LLOGARIVE!$A$2:$I$500,2,FALSE()),""))</f>
        <v/>
      </c>
      <c r="C332" s="172" t="str">
        <f aca="false">IF($A332="","",IFERROR(VLOOKUP($A332,PLANI_LLOGARIVE!$A$2:$I$500,4,FALSE()),""))</f>
        <v/>
      </c>
      <c r="D332" s="173" t="str">
        <f aca="false">IF($A332="","",SUMIFS(DITARI!$F$6:$F$550,DITARI!$D$6:$D$550,$A332))</f>
        <v/>
      </c>
      <c r="E332" s="173" t="str">
        <f aca="false">IF($A332="","",SUMIFS(DITARI!$G$6:$G$550,DITARI!$D$6:$D$550,$A332))</f>
        <v/>
      </c>
      <c r="F332" s="173" t="str">
        <f aca="false">IF($A332="","",MAX($D332-$E332,0))</f>
        <v/>
      </c>
      <c r="G332" s="173" t="str">
        <f aca="false">IF($A332="","",MAX($E332-$D332,0))</f>
        <v/>
      </c>
      <c r="H332" s="172" t="str">
        <f aca="false">IF($A332="","",IF($F332&gt;0,"Saldo Debit",IF($G332&gt;0,"Saldo Kredit","Zero")))</f>
        <v/>
      </c>
      <c r="I332" s="172" t="str">
        <f aca="false">IF($A332="","",IFERROR(VLOOKUP($A332,PLANI_LLOGARIVE!$A$2:$I$500,9,FALSE()),""))</f>
        <v/>
      </c>
      <c r="J332" s="101" t="str">
        <f aca="false">IF(A332="","",IF(OR(H332="Zero",I332="Debit/Credit"),"",IF(OR(AND(H332="Saldo Debit",I332="Debit"),AND(H332="Saldo Kredit",OR(I332="Credit",I332="Kredit"))),"","⚠️ JO NORMALE")))</f>
        <v/>
      </c>
    </row>
    <row r="333" customFormat="false" ht="12.75" hidden="false" customHeight="true" outlineLevel="0" collapsed="false">
      <c r="A333" s="174" t="str">
        <f aca="false">IF(AND(PLANI_LLOGARIVE!$A327&lt;&gt;"",PLANI_LLOGARIVE!$J327=TRUE()),PLANI_LLOGARIVE!$A327&amp;"","")</f>
        <v/>
      </c>
      <c r="B333" s="174" t="str">
        <f aca="false">IF($A333="","",IFERROR(VLOOKUP($A333,PLANI_LLOGARIVE!$A$2:$I$500,2,FALSE()),""))</f>
        <v/>
      </c>
      <c r="C333" s="174" t="str">
        <f aca="false">IF($A333="","",IFERROR(VLOOKUP($A333,PLANI_LLOGARIVE!$A$2:$I$500,4,FALSE()),""))</f>
        <v/>
      </c>
      <c r="D333" s="175" t="str">
        <f aca="false">IF($A333="","",SUMIFS(DITARI!$F$6:$F$550,DITARI!$D$6:$D$550,$A333))</f>
        <v/>
      </c>
      <c r="E333" s="175" t="str">
        <f aca="false">IF($A333="","",SUMIFS(DITARI!$G$6:$G$550,DITARI!$D$6:$D$550,$A333))</f>
        <v/>
      </c>
      <c r="F333" s="175" t="str">
        <f aca="false">IF($A333="","",MAX($D333-$E333,0))</f>
        <v/>
      </c>
      <c r="G333" s="175" t="str">
        <f aca="false">IF($A333="","",MAX($E333-$D333,0))</f>
        <v/>
      </c>
      <c r="H333" s="174" t="str">
        <f aca="false">IF($A333="","",IF($F333&gt;0,"Saldo Debit",IF($G333&gt;0,"Saldo Kredit","Zero")))</f>
        <v/>
      </c>
      <c r="I333" s="174" t="str">
        <f aca="false">IF($A333="","",IFERROR(VLOOKUP($A333,PLANI_LLOGARIVE!$A$2:$I$500,9,FALSE()),""))</f>
        <v/>
      </c>
      <c r="J333" s="101" t="str">
        <f aca="false">IF(A333="","",IF(OR(H333="Zero",I333="Debit/Credit"),"",IF(OR(AND(H333="Saldo Debit",I333="Debit"),AND(H333="Saldo Kredit",OR(I333="Credit",I333="Kredit"))),"","⚠️ JO NORMALE")))</f>
        <v/>
      </c>
    </row>
    <row r="334" customFormat="false" ht="12.75" hidden="false" customHeight="true" outlineLevel="0" collapsed="false">
      <c r="A334" s="172" t="str">
        <f aca="false">IF(AND(PLANI_LLOGARIVE!$A328&lt;&gt;"",PLANI_LLOGARIVE!$J328=TRUE()),PLANI_LLOGARIVE!$A328&amp;"","")</f>
        <v/>
      </c>
      <c r="B334" s="172" t="str">
        <f aca="false">IF($A334="","",IFERROR(VLOOKUP($A334,PLANI_LLOGARIVE!$A$2:$I$500,2,FALSE()),""))</f>
        <v/>
      </c>
      <c r="C334" s="172" t="str">
        <f aca="false">IF($A334="","",IFERROR(VLOOKUP($A334,PLANI_LLOGARIVE!$A$2:$I$500,4,FALSE()),""))</f>
        <v/>
      </c>
      <c r="D334" s="173" t="str">
        <f aca="false">IF($A334="","",SUMIFS(DITARI!$F$6:$F$550,DITARI!$D$6:$D$550,$A334))</f>
        <v/>
      </c>
      <c r="E334" s="173" t="str">
        <f aca="false">IF($A334="","",SUMIFS(DITARI!$G$6:$G$550,DITARI!$D$6:$D$550,$A334))</f>
        <v/>
      </c>
      <c r="F334" s="173" t="str">
        <f aca="false">IF($A334="","",MAX($D334-$E334,0))</f>
        <v/>
      </c>
      <c r="G334" s="173" t="str">
        <f aca="false">IF($A334="","",MAX($E334-$D334,0))</f>
        <v/>
      </c>
      <c r="H334" s="172" t="str">
        <f aca="false">IF($A334="","",IF($F334&gt;0,"Saldo Debit",IF($G334&gt;0,"Saldo Kredit","Zero")))</f>
        <v/>
      </c>
      <c r="I334" s="172" t="str">
        <f aca="false">IF($A334="","",IFERROR(VLOOKUP($A334,PLANI_LLOGARIVE!$A$2:$I$500,9,FALSE()),""))</f>
        <v/>
      </c>
      <c r="J334" s="101" t="str">
        <f aca="false">IF(A334="","",IF(OR(H334="Zero",I334="Debit/Credit"),"",IF(OR(AND(H334="Saldo Debit",I334="Debit"),AND(H334="Saldo Kredit",OR(I334="Credit",I334="Kredit"))),"","⚠️ JO NORMALE")))</f>
        <v/>
      </c>
    </row>
    <row r="335" customFormat="false" ht="12.75" hidden="false" customHeight="true" outlineLevel="0" collapsed="false">
      <c r="A335" s="174" t="str">
        <f aca="false">IF(AND(PLANI_LLOGARIVE!$A329&lt;&gt;"",PLANI_LLOGARIVE!$J329=TRUE()),PLANI_LLOGARIVE!$A329&amp;"","")</f>
        <v/>
      </c>
      <c r="B335" s="174" t="str">
        <f aca="false">IF($A335="","",IFERROR(VLOOKUP($A335,PLANI_LLOGARIVE!$A$2:$I$500,2,FALSE()),""))</f>
        <v/>
      </c>
      <c r="C335" s="174" t="str">
        <f aca="false">IF($A335="","",IFERROR(VLOOKUP($A335,PLANI_LLOGARIVE!$A$2:$I$500,4,FALSE()),""))</f>
        <v/>
      </c>
      <c r="D335" s="175" t="str">
        <f aca="false">IF($A335="","",SUMIFS(DITARI!$F$6:$F$550,DITARI!$D$6:$D$550,$A335))</f>
        <v/>
      </c>
      <c r="E335" s="175" t="str">
        <f aca="false">IF($A335="","",SUMIFS(DITARI!$G$6:$G$550,DITARI!$D$6:$D$550,$A335))</f>
        <v/>
      </c>
      <c r="F335" s="175" t="str">
        <f aca="false">IF($A335="","",MAX($D335-$E335,0))</f>
        <v/>
      </c>
      <c r="G335" s="175" t="str">
        <f aca="false">IF($A335="","",MAX($E335-$D335,0))</f>
        <v/>
      </c>
      <c r="H335" s="174" t="str">
        <f aca="false">IF($A335="","",IF($F335&gt;0,"Saldo Debit",IF($G335&gt;0,"Saldo Kredit","Zero")))</f>
        <v/>
      </c>
      <c r="I335" s="174" t="str">
        <f aca="false">IF($A335="","",IFERROR(VLOOKUP($A335,PLANI_LLOGARIVE!$A$2:$I$500,9,FALSE()),""))</f>
        <v/>
      </c>
      <c r="J335" s="101" t="str">
        <f aca="false">IF(A335="","",IF(OR(H335="Zero",I335="Debit/Credit"),"",IF(OR(AND(H335="Saldo Debit",I335="Debit"),AND(H335="Saldo Kredit",OR(I335="Credit",I335="Kredit"))),"","⚠️ JO NORMALE")))</f>
        <v/>
      </c>
    </row>
    <row r="336" customFormat="false" ht="12.75" hidden="false" customHeight="true" outlineLevel="0" collapsed="false">
      <c r="A336" s="172" t="str">
        <f aca="false">IF(AND(PLANI_LLOGARIVE!$A330&lt;&gt;"",PLANI_LLOGARIVE!$J330=TRUE()),PLANI_LLOGARIVE!$A330&amp;"","")</f>
        <v/>
      </c>
      <c r="B336" s="172" t="str">
        <f aca="false">IF($A336="","",IFERROR(VLOOKUP($A336,PLANI_LLOGARIVE!$A$2:$I$500,2,FALSE()),""))</f>
        <v/>
      </c>
      <c r="C336" s="172" t="str">
        <f aca="false">IF($A336="","",IFERROR(VLOOKUP($A336,PLANI_LLOGARIVE!$A$2:$I$500,4,FALSE()),""))</f>
        <v/>
      </c>
      <c r="D336" s="173" t="str">
        <f aca="false">IF($A336="","",SUMIFS(DITARI!$F$6:$F$550,DITARI!$D$6:$D$550,$A336))</f>
        <v/>
      </c>
      <c r="E336" s="173" t="str">
        <f aca="false">IF($A336="","",SUMIFS(DITARI!$G$6:$G$550,DITARI!$D$6:$D$550,$A336))</f>
        <v/>
      </c>
      <c r="F336" s="173" t="str">
        <f aca="false">IF($A336="","",MAX($D336-$E336,0))</f>
        <v/>
      </c>
      <c r="G336" s="173" t="str">
        <f aca="false">IF($A336="","",MAX($E336-$D336,0))</f>
        <v/>
      </c>
      <c r="H336" s="172" t="str">
        <f aca="false">IF($A336="","",IF($F336&gt;0,"Saldo Debit",IF($G336&gt;0,"Saldo Kredit","Zero")))</f>
        <v/>
      </c>
      <c r="I336" s="172" t="str">
        <f aca="false">IF($A336="","",IFERROR(VLOOKUP($A336,PLANI_LLOGARIVE!$A$2:$I$500,9,FALSE()),""))</f>
        <v/>
      </c>
      <c r="J336" s="101" t="str">
        <f aca="false">IF(A336="","",IF(OR(H336="Zero",I336="Debit/Credit"),"",IF(OR(AND(H336="Saldo Debit",I336="Debit"),AND(H336="Saldo Kredit",OR(I336="Credit",I336="Kredit"))),"","⚠️ JO NORMALE")))</f>
        <v/>
      </c>
    </row>
    <row r="337" customFormat="false" ht="12.75" hidden="false" customHeight="true" outlineLevel="0" collapsed="false">
      <c r="A337" s="174" t="str">
        <f aca="false">IF(AND(PLANI_LLOGARIVE!$A331&lt;&gt;"",PLANI_LLOGARIVE!$J331=TRUE()),PLANI_LLOGARIVE!$A331&amp;"","")</f>
        <v/>
      </c>
      <c r="B337" s="174" t="str">
        <f aca="false">IF($A337="","",IFERROR(VLOOKUP($A337,PLANI_LLOGARIVE!$A$2:$I$500,2,FALSE()),""))</f>
        <v/>
      </c>
      <c r="C337" s="174" t="str">
        <f aca="false">IF($A337="","",IFERROR(VLOOKUP($A337,PLANI_LLOGARIVE!$A$2:$I$500,4,FALSE()),""))</f>
        <v/>
      </c>
      <c r="D337" s="175" t="str">
        <f aca="false">IF($A337="","",SUMIFS(DITARI!$F$6:$F$550,DITARI!$D$6:$D$550,$A337))</f>
        <v/>
      </c>
      <c r="E337" s="175" t="str">
        <f aca="false">IF($A337="","",SUMIFS(DITARI!$G$6:$G$550,DITARI!$D$6:$D$550,$A337))</f>
        <v/>
      </c>
      <c r="F337" s="175" t="str">
        <f aca="false">IF($A337="","",MAX($D337-$E337,0))</f>
        <v/>
      </c>
      <c r="G337" s="175" t="str">
        <f aca="false">IF($A337="","",MAX($E337-$D337,0))</f>
        <v/>
      </c>
      <c r="H337" s="174" t="str">
        <f aca="false">IF($A337="","",IF($F337&gt;0,"Saldo Debit",IF($G337&gt;0,"Saldo Kredit","Zero")))</f>
        <v/>
      </c>
      <c r="I337" s="174" t="str">
        <f aca="false">IF($A337="","",IFERROR(VLOOKUP($A337,PLANI_LLOGARIVE!$A$2:$I$500,9,FALSE()),""))</f>
        <v/>
      </c>
      <c r="J337" s="101" t="str">
        <f aca="false">IF(A337="","",IF(OR(H337="Zero",I337="Debit/Credit"),"",IF(OR(AND(H337="Saldo Debit",I337="Debit"),AND(H337="Saldo Kredit",OR(I337="Credit",I337="Kredit"))),"","⚠️ JO NORMALE")))</f>
        <v/>
      </c>
    </row>
    <row r="338" customFormat="false" ht="12.75" hidden="false" customHeight="true" outlineLevel="0" collapsed="false">
      <c r="A338" s="172" t="str">
        <f aca="false">IF(AND(PLANI_LLOGARIVE!$A332&lt;&gt;"",PLANI_LLOGARIVE!$J332=TRUE()),PLANI_LLOGARIVE!$A332&amp;"","")</f>
        <v/>
      </c>
      <c r="B338" s="172" t="str">
        <f aca="false">IF($A338="","",IFERROR(VLOOKUP($A338,PLANI_LLOGARIVE!$A$2:$I$500,2,FALSE()),""))</f>
        <v/>
      </c>
      <c r="C338" s="172" t="str">
        <f aca="false">IF($A338="","",IFERROR(VLOOKUP($A338,PLANI_LLOGARIVE!$A$2:$I$500,4,FALSE()),""))</f>
        <v/>
      </c>
      <c r="D338" s="173" t="str">
        <f aca="false">IF($A338="","",SUMIFS(DITARI!$F$6:$F$550,DITARI!$D$6:$D$550,$A338))</f>
        <v/>
      </c>
      <c r="E338" s="173" t="str">
        <f aca="false">IF($A338="","",SUMIFS(DITARI!$G$6:$G$550,DITARI!$D$6:$D$550,$A338))</f>
        <v/>
      </c>
      <c r="F338" s="173" t="str">
        <f aca="false">IF($A338="","",MAX($D338-$E338,0))</f>
        <v/>
      </c>
      <c r="G338" s="173" t="str">
        <f aca="false">IF($A338="","",MAX($E338-$D338,0))</f>
        <v/>
      </c>
      <c r="H338" s="172" t="str">
        <f aca="false">IF($A338="","",IF($F338&gt;0,"Saldo Debit",IF($G338&gt;0,"Saldo Kredit","Zero")))</f>
        <v/>
      </c>
      <c r="I338" s="172" t="str">
        <f aca="false">IF($A338="","",IFERROR(VLOOKUP($A338,PLANI_LLOGARIVE!$A$2:$I$500,9,FALSE()),""))</f>
        <v/>
      </c>
      <c r="J338" s="101" t="str">
        <f aca="false">IF(A338="","",IF(OR(H338="Zero",I338="Debit/Credit"),"",IF(OR(AND(H338="Saldo Debit",I338="Debit"),AND(H338="Saldo Kredit",OR(I338="Credit",I338="Kredit"))),"","⚠️ JO NORMALE")))</f>
        <v/>
      </c>
    </row>
    <row r="339" customFormat="false" ht="12.75" hidden="false" customHeight="true" outlineLevel="0" collapsed="false">
      <c r="A339" s="174" t="str">
        <f aca="false">IF(AND(PLANI_LLOGARIVE!$A333&lt;&gt;"",PLANI_LLOGARIVE!$J333=TRUE()),PLANI_LLOGARIVE!$A333&amp;"","")</f>
        <v/>
      </c>
      <c r="B339" s="174" t="str">
        <f aca="false">IF($A339="","",IFERROR(VLOOKUP($A339,PLANI_LLOGARIVE!$A$2:$I$500,2,FALSE()),""))</f>
        <v/>
      </c>
      <c r="C339" s="174" t="str">
        <f aca="false">IF($A339="","",IFERROR(VLOOKUP($A339,PLANI_LLOGARIVE!$A$2:$I$500,4,FALSE()),""))</f>
        <v/>
      </c>
      <c r="D339" s="175" t="str">
        <f aca="false">IF($A339="","",SUMIFS(DITARI!$F$6:$F$550,DITARI!$D$6:$D$550,$A339))</f>
        <v/>
      </c>
      <c r="E339" s="175" t="str">
        <f aca="false">IF($A339="","",SUMIFS(DITARI!$G$6:$G$550,DITARI!$D$6:$D$550,$A339))</f>
        <v/>
      </c>
      <c r="F339" s="175" t="str">
        <f aca="false">IF($A339="","",MAX($D339-$E339,0))</f>
        <v/>
      </c>
      <c r="G339" s="175" t="str">
        <f aca="false">IF($A339="","",MAX($E339-$D339,0))</f>
        <v/>
      </c>
      <c r="H339" s="174" t="str">
        <f aca="false">IF($A339="","",IF($F339&gt;0,"Saldo Debit",IF($G339&gt;0,"Saldo Kredit","Zero")))</f>
        <v/>
      </c>
      <c r="I339" s="174" t="str">
        <f aca="false">IF($A339="","",IFERROR(VLOOKUP($A339,PLANI_LLOGARIVE!$A$2:$I$500,9,FALSE()),""))</f>
        <v/>
      </c>
      <c r="J339" s="101" t="str">
        <f aca="false">IF(A339="","",IF(OR(H339="Zero",I339="Debit/Credit"),"",IF(OR(AND(H339="Saldo Debit",I339="Debit"),AND(H339="Saldo Kredit",OR(I339="Credit",I339="Kredit"))),"","⚠️ JO NORMALE")))</f>
        <v/>
      </c>
    </row>
    <row r="340" customFormat="false" ht="12.75" hidden="false" customHeight="true" outlineLevel="0" collapsed="false">
      <c r="A340" s="172" t="str">
        <f aca="false">IF(AND(PLANI_LLOGARIVE!$A334&lt;&gt;"",PLANI_LLOGARIVE!$J334=TRUE()),PLANI_LLOGARIVE!$A334&amp;"","")</f>
        <v/>
      </c>
      <c r="B340" s="172" t="str">
        <f aca="false">IF($A340="","",IFERROR(VLOOKUP($A340,PLANI_LLOGARIVE!$A$2:$I$500,2,FALSE()),""))</f>
        <v/>
      </c>
      <c r="C340" s="172" t="str">
        <f aca="false">IF($A340="","",IFERROR(VLOOKUP($A340,PLANI_LLOGARIVE!$A$2:$I$500,4,FALSE()),""))</f>
        <v/>
      </c>
      <c r="D340" s="173" t="str">
        <f aca="false">IF($A340="","",SUMIFS(DITARI!$F$6:$F$550,DITARI!$D$6:$D$550,$A340))</f>
        <v/>
      </c>
      <c r="E340" s="173" t="str">
        <f aca="false">IF($A340="","",SUMIFS(DITARI!$G$6:$G$550,DITARI!$D$6:$D$550,$A340))</f>
        <v/>
      </c>
      <c r="F340" s="173" t="str">
        <f aca="false">IF($A340="","",MAX($D340-$E340,0))</f>
        <v/>
      </c>
      <c r="G340" s="173" t="str">
        <f aca="false">IF($A340="","",MAX($E340-$D340,0))</f>
        <v/>
      </c>
      <c r="H340" s="172" t="str">
        <f aca="false">IF($A340="","",IF($F340&gt;0,"Saldo Debit",IF($G340&gt;0,"Saldo Kredit","Zero")))</f>
        <v/>
      </c>
      <c r="I340" s="172" t="str">
        <f aca="false">IF($A340="","",IFERROR(VLOOKUP($A340,PLANI_LLOGARIVE!$A$2:$I$500,9,FALSE()),""))</f>
        <v/>
      </c>
      <c r="J340" s="101" t="str">
        <f aca="false">IF(A340="","",IF(OR(H340="Zero",I340="Debit/Credit"),"",IF(OR(AND(H340="Saldo Debit",I340="Debit"),AND(H340="Saldo Kredit",OR(I340="Credit",I340="Kredit"))),"","⚠️ JO NORMALE")))</f>
        <v/>
      </c>
    </row>
    <row r="341" customFormat="false" ht="12.75" hidden="false" customHeight="true" outlineLevel="0" collapsed="false">
      <c r="A341" s="174" t="str">
        <f aca="false">IF(AND(PLANI_LLOGARIVE!$A335&lt;&gt;"",PLANI_LLOGARIVE!$J335=TRUE()),PLANI_LLOGARIVE!$A335&amp;"","")</f>
        <v/>
      </c>
      <c r="B341" s="174" t="str">
        <f aca="false">IF($A341="","",IFERROR(VLOOKUP($A341,PLANI_LLOGARIVE!$A$2:$I$500,2,FALSE()),""))</f>
        <v/>
      </c>
      <c r="C341" s="174" t="str">
        <f aca="false">IF($A341="","",IFERROR(VLOOKUP($A341,PLANI_LLOGARIVE!$A$2:$I$500,4,FALSE()),""))</f>
        <v/>
      </c>
      <c r="D341" s="175" t="str">
        <f aca="false">IF($A341="","",SUMIFS(DITARI!$F$6:$F$550,DITARI!$D$6:$D$550,$A341))</f>
        <v/>
      </c>
      <c r="E341" s="175" t="str">
        <f aca="false">IF($A341="","",SUMIFS(DITARI!$G$6:$G$550,DITARI!$D$6:$D$550,$A341))</f>
        <v/>
      </c>
      <c r="F341" s="175" t="str">
        <f aca="false">IF($A341="","",MAX($D341-$E341,0))</f>
        <v/>
      </c>
      <c r="G341" s="175" t="str">
        <f aca="false">IF($A341="","",MAX($E341-$D341,0))</f>
        <v/>
      </c>
      <c r="H341" s="174" t="str">
        <f aca="false">IF($A341="","",IF($F341&gt;0,"Saldo Debit",IF($G341&gt;0,"Saldo Kredit","Zero")))</f>
        <v/>
      </c>
      <c r="I341" s="174" t="str">
        <f aca="false">IF($A341="","",IFERROR(VLOOKUP($A341,PLANI_LLOGARIVE!$A$2:$I$500,9,FALSE()),""))</f>
        <v/>
      </c>
      <c r="J341" s="101" t="str">
        <f aca="false">IF(A341="","",IF(OR(H341="Zero",I341="Debit/Credit"),"",IF(OR(AND(H341="Saldo Debit",I341="Debit"),AND(H341="Saldo Kredit",OR(I341="Credit",I341="Kredit"))),"","⚠️ JO NORMALE")))</f>
        <v/>
      </c>
    </row>
    <row r="342" customFormat="false" ht="12.75" hidden="false" customHeight="true" outlineLevel="0" collapsed="false">
      <c r="A342" s="172" t="str">
        <f aca="false">IF(AND(PLANI_LLOGARIVE!$A336&lt;&gt;"",PLANI_LLOGARIVE!$J336=TRUE()),PLANI_LLOGARIVE!$A336&amp;"","")</f>
        <v/>
      </c>
      <c r="B342" s="172" t="str">
        <f aca="false">IF($A342="","",IFERROR(VLOOKUP($A342,PLANI_LLOGARIVE!$A$2:$I$500,2,FALSE()),""))</f>
        <v/>
      </c>
      <c r="C342" s="172" t="str">
        <f aca="false">IF($A342="","",IFERROR(VLOOKUP($A342,PLANI_LLOGARIVE!$A$2:$I$500,4,FALSE()),""))</f>
        <v/>
      </c>
      <c r="D342" s="173" t="str">
        <f aca="false">IF($A342="","",SUMIFS(DITARI!$F$6:$F$550,DITARI!$D$6:$D$550,$A342))</f>
        <v/>
      </c>
      <c r="E342" s="173" t="str">
        <f aca="false">IF($A342="","",SUMIFS(DITARI!$G$6:$G$550,DITARI!$D$6:$D$550,$A342))</f>
        <v/>
      </c>
      <c r="F342" s="173" t="str">
        <f aca="false">IF($A342="","",MAX($D342-$E342,0))</f>
        <v/>
      </c>
      <c r="G342" s="173" t="str">
        <f aca="false">IF($A342="","",MAX($E342-$D342,0))</f>
        <v/>
      </c>
      <c r="H342" s="172" t="str">
        <f aca="false">IF($A342="","",IF($F342&gt;0,"Saldo Debit",IF($G342&gt;0,"Saldo Kredit","Zero")))</f>
        <v/>
      </c>
      <c r="I342" s="172" t="str">
        <f aca="false">IF($A342="","",IFERROR(VLOOKUP($A342,PLANI_LLOGARIVE!$A$2:$I$500,9,FALSE()),""))</f>
        <v/>
      </c>
      <c r="J342" s="101" t="str">
        <f aca="false">IF(A342="","",IF(OR(H342="Zero",I342="Debit/Credit"),"",IF(OR(AND(H342="Saldo Debit",I342="Debit"),AND(H342="Saldo Kredit",OR(I342="Credit",I342="Kredit"))),"","⚠️ JO NORMALE")))</f>
        <v/>
      </c>
    </row>
    <row r="343" customFormat="false" ht="12.75" hidden="false" customHeight="true" outlineLevel="0" collapsed="false">
      <c r="A343" s="174" t="str">
        <f aca="false">IF(AND(PLANI_LLOGARIVE!$A337&lt;&gt;"",PLANI_LLOGARIVE!$J337=TRUE()),PLANI_LLOGARIVE!$A337&amp;"","")</f>
        <v/>
      </c>
      <c r="B343" s="174" t="str">
        <f aca="false">IF($A343="","",IFERROR(VLOOKUP($A343,PLANI_LLOGARIVE!$A$2:$I$500,2,FALSE()),""))</f>
        <v/>
      </c>
      <c r="C343" s="174" t="str">
        <f aca="false">IF($A343="","",IFERROR(VLOOKUP($A343,PLANI_LLOGARIVE!$A$2:$I$500,4,FALSE()),""))</f>
        <v/>
      </c>
      <c r="D343" s="175" t="str">
        <f aca="false">IF($A343="","",SUMIFS(DITARI!$F$6:$F$550,DITARI!$D$6:$D$550,$A343))</f>
        <v/>
      </c>
      <c r="E343" s="175" t="str">
        <f aca="false">IF($A343="","",SUMIFS(DITARI!$G$6:$G$550,DITARI!$D$6:$D$550,$A343))</f>
        <v/>
      </c>
      <c r="F343" s="175" t="str">
        <f aca="false">IF($A343="","",MAX($D343-$E343,0))</f>
        <v/>
      </c>
      <c r="G343" s="175" t="str">
        <f aca="false">IF($A343="","",MAX($E343-$D343,0))</f>
        <v/>
      </c>
      <c r="H343" s="174" t="str">
        <f aca="false">IF($A343="","",IF($F343&gt;0,"Saldo Debit",IF($G343&gt;0,"Saldo Kredit","Zero")))</f>
        <v/>
      </c>
      <c r="I343" s="174" t="str">
        <f aca="false">IF($A343="","",IFERROR(VLOOKUP($A343,PLANI_LLOGARIVE!$A$2:$I$500,9,FALSE()),""))</f>
        <v/>
      </c>
      <c r="J343" s="101" t="str">
        <f aca="false">IF(A343="","",IF(OR(H343="Zero",I343="Debit/Credit"),"",IF(OR(AND(H343="Saldo Debit",I343="Debit"),AND(H343="Saldo Kredit",OR(I343="Credit",I343="Kredit"))),"","⚠️ JO NORMALE")))</f>
        <v/>
      </c>
    </row>
    <row r="344" customFormat="false" ht="12.75" hidden="false" customHeight="true" outlineLevel="0" collapsed="false">
      <c r="A344" s="172" t="str">
        <f aca="false">IF(AND(PLANI_LLOGARIVE!$A338&lt;&gt;"",PLANI_LLOGARIVE!$J338=TRUE()),PLANI_LLOGARIVE!$A338&amp;"","")</f>
        <v/>
      </c>
      <c r="B344" s="172" t="str">
        <f aca="false">IF($A344="","",IFERROR(VLOOKUP($A344,PLANI_LLOGARIVE!$A$2:$I$500,2,FALSE()),""))</f>
        <v/>
      </c>
      <c r="C344" s="172" t="str">
        <f aca="false">IF($A344="","",IFERROR(VLOOKUP($A344,PLANI_LLOGARIVE!$A$2:$I$500,4,FALSE()),""))</f>
        <v/>
      </c>
      <c r="D344" s="173" t="str">
        <f aca="false">IF($A344="","",SUMIFS(DITARI!$F$6:$F$550,DITARI!$D$6:$D$550,$A344))</f>
        <v/>
      </c>
      <c r="E344" s="173" t="str">
        <f aca="false">IF($A344="","",SUMIFS(DITARI!$G$6:$G$550,DITARI!$D$6:$D$550,$A344))</f>
        <v/>
      </c>
      <c r="F344" s="173" t="str">
        <f aca="false">IF($A344="","",MAX($D344-$E344,0))</f>
        <v/>
      </c>
      <c r="G344" s="173" t="str">
        <f aca="false">IF($A344="","",MAX($E344-$D344,0))</f>
        <v/>
      </c>
      <c r="H344" s="172" t="str">
        <f aca="false">IF($A344="","",IF($F344&gt;0,"Saldo Debit",IF($G344&gt;0,"Saldo Kredit","Zero")))</f>
        <v/>
      </c>
      <c r="I344" s="172" t="str">
        <f aca="false">IF($A344="","",IFERROR(VLOOKUP($A344,PLANI_LLOGARIVE!$A$2:$I$500,9,FALSE()),""))</f>
        <v/>
      </c>
      <c r="J344" s="101" t="str">
        <f aca="false">IF(A344="","",IF(OR(H344="Zero",I344="Debit/Credit"),"",IF(OR(AND(H344="Saldo Debit",I344="Debit"),AND(H344="Saldo Kredit",OR(I344="Credit",I344="Kredit"))),"","⚠️ JO NORMALE")))</f>
        <v/>
      </c>
    </row>
    <row r="345" customFormat="false" ht="12.75" hidden="false" customHeight="true" outlineLevel="0" collapsed="false">
      <c r="A345" s="174" t="str">
        <f aca="false">IF(AND(PLANI_LLOGARIVE!$A339&lt;&gt;"",PLANI_LLOGARIVE!$J339=TRUE()),PLANI_LLOGARIVE!$A339&amp;"","")</f>
        <v/>
      </c>
      <c r="B345" s="174" t="str">
        <f aca="false">IF($A345="","",IFERROR(VLOOKUP($A345,PLANI_LLOGARIVE!$A$2:$I$500,2,FALSE()),""))</f>
        <v/>
      </c>
      <c r="C345" s="174" t="str">
        <f aca="false">IF($A345="","",IFERROR(VLOOKUP($A345,PLANI_LLOGARIVE!$A$2:$I$500,4,FALSE()),""))</f>
        <v/>
      </c>
      <c r="D345" s="175" t="str">
        <f aca="false">IF($A345="","",SUMIFS(DITARI!$F$6:$F$550,DITARI!$D$6:$D$550,$A345))</f>
        <v/>
      </c>
      <c r="E345" s="175" t="str">
        <f aca="false">IF($A345="","",SUMIFS(DITARI!$G$6:$G$550,DITARI!$D$6:$D$550,$A345))</f>
        <v/>
      </c>
      <c r="F345" s="175" t="str">
        <f aca="false">IF($A345="","",MAX($D345-$E345,0))</f>
        <v/>
      </c>
      <c r="G345" s="175" t="str">
        <f aca="false">IF($A345="","",MAX($E345-$D345,0))</f>
        <v/>
      </c>
      <c r="H345" s="174" t="str">
        <f aca="false">IF($A345="","",IF($F345&gt;0,"Saldo Debit",IF($G345&gt;0,"Saldo Kredit","Zero")))</f>
        <v/>
      </c>
      <c r="I345" s="174" t="str">
        <f aca="false">IF($A345="","",IFERROR(VLOOKUP($A345,PLANI_LLOGARIVE!$A$2:$I$500,9,FALSE()),""))</f>
        <v/>
      </c>
      <c r="J345" s="101" t="str">
        <f aca="false">IF(A345="","",IF(OR(H345="Zero",I345="Debit/Credit"),"",IF(OR(AND(H345="Saldo Debit",I345="Debit"),AND(H345="Saldo Kredit",OR(I345="Credit",I345="Kredit"))),"","⚠️ JO NORMALE")))</f>
        <v/>
      </c>
    </row>
    <row r="346" customFormat="false" ht="12.75" hidden="false" customHeight="true" outlineLevel="0" collapsed="false">
      <c r="A346" s="172" t="str">
        <f aca="false">IF(AND(PLANI_LLOGARIVE!$A340&lt;&gt;"",PLANI_LLOGARIVE!$J340=TRUE()),PLANI_LLOGARIVE!$A340&amp;"","")</f>
        <v/>
      </c>
      <c r="B346" s="172" t="str">
        <f aca="false">IF($A346="","",IFERROR(VLOOKUP($A346,PLANI_LLOGARIVE!$A$2:$I$500,2,FALSE()),""))</f>
        <v/>
      </c>
      <c r="C346" s="172" t="str">
        <f aca="false">IF($A346="","",IFERROR(VLOOKUP($A346,PLANI_LLOGARIVE!$A$2:$I$500,4,FALSE()),""))</f>
        <v/>
      </c>
      <c r="D346" s="173" t="str">
        <f aca="false">IF($A346="","",SUMIFS(DITARI!$F$6:$F$550,DITARI!$D$6:$D$550,$A346))</f>
        <v/>
      </c>
      <c r="E346" s="173" t="str">
        <f aca="false">IF($A346="","",SUMIFS(DITARI!$G$6:$G$550,DITARI!$D$6:$D$550,$A346))</f>
        <v/>
      </c>
      <c r="F346" s="173" t="str">
        <f aca="false">IF($A346="","",MAX($D346-$E346,0))</f>
        <v/>
      </c>
      <c r="G346" s="173" t="str">
        <f aca="false">IF($A346="","",MAX($E346-$D346,0))</f>
        <v/>
      </c>
      <c r="H346" s="172" t="str">
        <f aca="false">IF($A346="","",IF($F346&gt;0,"Saldo Debit",IF($G346&gt;0,"Saldo Kredit","Zero")))</f>
        <v/>
      </c>
      <c r="I346" s="172" t="str">
        <f aca="false">IF($A346="","",IFERROR(VLOOKUP($A346,PLANI_LLOGARIVE!$A$2:$I$500,9,FALSE()),""))</f>
        <v/>
      </c>
      <c r="J346" s="101" t="str">
        <f aca="false">IF(A346="","",IF(OR(H346="Zero",I346="Debit/Credit"),"",IF(OR(AND(H346="Saldo Debit",I346="Debit"),AND(H346="Saldo Kredit",OR(I346="Credit",I346="Kredit"))),"","⚠️ JO NORMALE")))</f>
        <v/>
      </c>
    </row>
    <row r="347" customFormat="false" ht="12.75" hidden="false" customHeight="true" outlineLevel="0" collapsed="false">
      <c r="A347" s="174" t="str">
        <f aca="false">IF(AND(PLANI_LLOGARIVE!$A341&lt;&gt;"",PLANI_LLOGARIVE!$J341=TRUE()),PLANI_LLOGARIVE!$A341&amp;"","")</f>
        <v/>
      </c>
      <c r="B347" s="174" t="str">
        <f aca="false">IF($A347="","",IFERROR(VLOOKUP($A347,PLANI_LLOGARIVE!$A$2:$I$500,2,FALSE()),""))</f>
        <v/>
      </c>
      <c r="C347" s="174" t="str">
        <f aca="false">IF($A347="","",IFERROR(VLOOKUP($A347,PLANI_LLOGARIVE!$A$2:$I$500,4,FALSE()),""))</f>
        <v/>
      </c>
      <c r="D347" s="175" t="str">
        <f aca="false">IF($A347="","",SUMIFS(DITARI!$F$6:$F$550,DITARI!$D$6:$D$550,$A347))</f>
        <v/>
      </c>
      <c r="E347" s="175" t="str">
        <f aca="false">IF($A347="","",SUMIFS(DITARI!$G$6:$G$550,DITARI!$D$6:$D$550,$A347))</f>
        <v/>
      </c>
      <c r="F347" s="175" t="str">
        <f aca="false">IF($A347="","",MAX($D347-$E347,0))</f>
        <v/>
      </c>
      <c r="G347" s="175" t="str">
        <f aca="false">IF($A347="","",MAX($E347-$D347,0))</f>
        <v/>
      </c>
      <c r="H347" s="174" t="str">
        <f aca="false">IF($A347="","",IF($F347&gt;0,"Saldo Debit",IF($G347&gt;0,"Saldo Kredit","Zero")))</f>
        <v/>
      </c>
      <c r="I347" s="174" t="str">
        <f aca="false">IF($A347="","",IFERROR(VLOOKUP($A347,PLANI_LLOGARIVE!$A$2:$I$500,9,FALSE()),""))</f>
        <v/>
      </c>
      <c r="J347" s="101" t="str">
        <f aca="false">IF(A347="","",IF(OR(H347="Zero",I347="Debit/Credit"),"",IF(OR(AND(H347="Saldo Debit",I347="Debit"),AND(H347="Saldo Kredit",OR(I347="Credit",I347="Kredit"))),"","⚠️ JO NORMALE")))</f>
        <v/>
      </c>
    </row>
    <row r="348" customFormat="false" ht="12.75" hidden="false" customHeight="true" outlineLevel="0" collapsed="false">
      <c r="A348" s="172" t="str">
        <f aca="false">IF(AND(PLANI_LLOGARIVE!$A342&lt;&gt;"",PLANI_LLOGARIVE!$J342=TRUE()),PLANI_LLOGARIVE!$A342&amp;"","")</f>
        <v/>
      </c>
      <c r="B348" s="172" t="str">
        <f aca="false">IF($A348="","",IFERROR(VLOOKUP($A348,PLANI_LLOGARIVE!$A$2:$I$500,2,FALSE()),""))</f>
        <v/>
      </c>
      <c r="C348" s="172" t="str">
        <f aca="false">IF($A348="","",IFERROR(VLOOKUP($A348,PLANI_LLOGARIVE!$A$2:$I$500,4,FALSE()),""))</f>
        <v/>
      </c>
      <c r="D348" s="173" t="str">
        <f aca="false">IF($A348="","",SUMIFS(DITARI!$F$6:$F$550,DITARI!$D$6:$D$550,$A348))</f>
        <v/>
      </c>
      <c r="E348" s="173" t="str">
        <f aca="false">IF($A348="","",SUMIFS(DITARI!$G$6:$G$550,DITARI!$D$6:$D$550,$A348))</f>
        <v/>
      </c>
      <c r="F348" s="173" t="str">
        <f aca="false">IF($A348="","",MAX($D348-$E348,0))</f>
        <v/>
      </c>
      <c r="G348" s="173" t="str">
        <f aca="false">IF($A348="","",MAX($E348-$D348,0))</f>
        <v/>
      </c>
      <c r="H348" s="172" t="str">
        <f aca="false">IF($A348="","",IF($F348&gt;0,"Saldo Debit",IF($G348&gt;0,"Saldo Kredit","Zero")))</f>
        <v/>
      </c>
      <c r="I348" s="172" t="str">
        <f aca="false">IF($A348="","",IFERROR(VLOOKUP($A348,PLANI_LLOGARIVE!$A$2:$I$500,9,FALSE()),""))</f>
        <v/>
      </c>
      <c r="J348" s="101" t="str">
        <f aca="false">IF(A348="","",IF(OR(H348="Zero",I348="Debit/Credit"),"",IF(OR(AND(H348="Saldo Debit",I348="Debit"),AND(H348="Saldo Kredit",OR(I348="Credit",I348="Kredit"))),"","⚠️ JO NORMALE")))</f>
        <v/>
      </c>
    </row>
    <row r="349" customFormat="false" ht="12.75" hidden="false" customHeight="true" outlineLevel="0" collapsed="false">
      <c r="A349" s="174" t="str">
        <f aca="false">IF(AND(PLANI_LLOGARIVE!$A343&lt;&gt;"",PLANI_LLOGARIVE!$J343=TRUE()),PLANI_LLOGARIVE!$A343&amp;"","")</f>
        <v/>
      </c>
      <c r="B349" s="174" t="str">
        <f aca="false">IF($A349="","",IFERROR(VLOOKUP($A349,PLANI_LLOGARIVE!$A$2:$I$500,2,FALSE()),""))</f>
        <v/>
      </c>
      <c r="C349" s="174" t="str">
        <f aca="false">IF($A349="","",IFERROR(VLOOKUP($A349,PLANI_LLOGARIVE!$A$2:$I$500,4,FALSE()),""))</f>
        <v/>
      </c>
      <c r="D349" s="175" t="str">
        <f aca="false">IF($A349="","",SUMIFS(DITARI!$F$6:$F$550,DITARI!$D$6:$D$550,$A349))</f>
        <v/>
      </c>
      <c r="E349" s="175" t="str">
        <f aca="false">IF($A349="","",SUMIFS(DITARI!$G$6:$G$550,DITARI!$D$6:$D$550,$A349))</f>
        <v/>
      </c>
      <c r="F349" s="175" t="str">
        <f aca="false">IF($A349="","",MAX($D349-$E349,0))</f>
        <v/>
      </c>
      <c r="G349" s="175" t="str">
        <f aca="false">IF($A349="","",MAX($E349-$D349,0))</f>
        <v/>
      </c>
      <c r="H349" s="174" t="str">
        <f aca="false">IF($A349="","",IF($F349&gt;0,"Saldo Debit",IF($G349&gt;0,"Saldo Kredit","Zero")))</f>
        <v/>
      </c>
      <c r="I349" s="174" t="str">
        <f aca="false">IF($A349="","",IFERROR(VLOOKUP($A349,PLANI_LLOGARIVE!$A$2:$I$500,9,FALSE()),""))</f>
        <v/>
      </c>
      <c r="J349" s="101" t="str">
        <f aca="false">IF(A349="","",IF(OR(H349="Zero",I349="Debit/Credit"),"",IF(OR(AND(H349="Saldo Debit",I349="Debit"),AND(H349="Saldo Kredit",OR(I349="Credit",I349="Kredit"))),"","⚠️ JO NORMALE")))</f>
        <v/>
      </c>
    </row>
    <row r="350" customFormat="false" ht="12.75" hidden="false" customHeight="true" outlineLevel="0" collapsed="false">
      <c r="A350" s="172" t="str">
        <f aca="false">IF(AND(PLANI_LLOGARIVE!$A344&lt;&gt;"",PLANI_LLOGARIVE!$J344=TRUE()),PLANI_LLOGARIVE!$A344&amp;"","")</f>
        <v/>
      </c>
      <c r="B350" s="172" t="str">
        <f aca="false">IF($A350="","",IFERROR(VLOOKUP($A350,PLANI_LLOGARIVE!$A$2:$I$500,2,FALSE()),""))</f>
        <v/>
      </c>
      <c r="C350" s="172" t="str">
        <f aca="false">IF($A350="","",IFERROR(VLOOKUP($A350,PLANI_LLOGARIVE!$A$2:$I$500,4,FALSE()),""))</f>
        <v/>
      </c>
      <c r="D350" s="173" t="str">
        <f aca="false">IF($A350="","",SUMIFS(DITARI!$F$6:$F$550,DITARI!$D$6:$D$550,$A350))</f>
        <v/>
      </c>
      <c r="E350" s="173" t="str">
        <f aca="false">IF($A350="","",SUMIFS(DITARI!$G$6:$G$550,DITARI!$D$6:$D$550,$A350))</f>
        <v/>
      </c>
      <c r="F350" s="173" t="str">
        <f aca="false">IF($A350="","",MAX($D350-$E350,0))</f>
        <v/>
      </c>
      <c r="G350" s="173" t="str">
        <f aca="false">IF($A350="","",MAX($E350-$D350,0))</f>
        <v/>
      </c>
      <c r="H350" s="172" t="str">
        <f aca="false">IF($A350="","",IF($F350&gt;0,"Saldo Debit",IF($G350&gt;0,"Saldo Kredit","Zero")))</f>
        <v/>
      </c>
      <c r="I350" s="172" t="str">
        <f aca="false">IF($A350="","",IFERROR(VLOOKUP($A350,PLANI_LLOGARIVE!$A$2:$I$500,9,FALSE()),""))</f>
        <v/>
      </c>
      <c r="J350" s="101" t="str">
        <f aca="false">IF(A350="","",IF(OR(H350="Zero",I350="Debit/Credit"),"",IF(OR(AND(H350="Saldo Debit",I350="Debit"),AND(H350="Saldo Kredit",OR(I350="Credit",I350="Kredit"))),"","⚠️ JO NORMALE")))</f>
        <v/>
      </c>
    </row>
    <row r="351" customFormat="false" ht="12.75" hidden="false" customHeight="true" outlineLevel="0" collapsed="false">
      <c r="A351" s="174" t="str">
        <f aca="false">IF(AND(PLANI_LLOGARIVE!$A345&lt;&gt;"",PLANI_LLOGARIVE!$J345=TRUE()),PLANI_LLOGARIVE!$A345&amp;"","")</f>
        <v/>
      </c>
      <c r="B351" s="174" t="str">
        <f aca="false">IF($A351="","",IFERROR(VLOOKUP($A351,PLANI_LLOGARIVE!$A$2:$I$500,2,FALSE()),""))</f>
        <v/>
      </c>
      <c r="C351" s="174" t="str">
        <f aca="false">IF($A351="","",IFERROR(VLOOKUP($A351,PLANI_LLOGARIVE!$A$2:$I$500,4,FALSE()),""))</f>
        <v/>
      </c>
      <c r="D351" s="175" t="str">
        <f aca="false">IF($A351="","",SUMIFS(DITARI!$F$6:$F$550,DITARI!$D$6:$D$550,$A351))</f>
        <v/>
      </c>
      <c r="E351" s="175" t="str">
        <f aca="false">IF($A351="","",SUMIFS(DITARI!$G$6:$G$550,DITARI!$D$6:$D$550,$A351))</f>
        <v/>
      </c>
      <c r="F351" s="175" t="str">
        <f aca="false">IF($A351="","",MAX($D351-$E351,0))</f>
        <v/>
      </c>
      <c r="G351" s="175" t="str">
        <f aca="false">IF($A351="","",MAX($E351-$D351,0))</f>
        <v/>
      </c>
      <c r="H351" s="174" t="str">
        <f aca="false">IF($A351="","",IF($F351&gt;0,"Saldo Debit",IF($G351&gt;0,"Saldo Kredit","Zero")))</f>
        <v/>
      </c>
      <c r="I351" s="174" t="str">
        <f aca="false">IF($A351="","",IFERROR(VLOOKUP($A351,PLANI_LLOGARIVE!$A$2:$I$500,9,FALSE()),""))</f>
        <v/>
      </c>
      <c r="J351" s="101" t="str">
        <f aca="false">IF(A351="","",IF(OR(H351="Zero",I351="Debit/Credit"),"",IF(OR(AND(H351="Saldo Debit",I351="Debit"),AND(H351="Saldo Kredit",OR(I351="Credit",I351="Kredit"))),"","⚠️ JO NORMALE")))</f>
        <v/>
      </c>
    </row>
    <row r="352" customFormat="false" ht="12.75" hidden="false" customHeight="true" outlineLevel="0" collapsed="false">
      <c r="A352" s="172" t="str">
        <f aca="false">IF(AND(PLANI_LLOGARIVE!$A346&lt;&gt;"",PLANI_LLOGARIVE!$J346=TRUE()),PLANI_LLOGARIVE!$A346&amp;"","")</f>
        <v/>
      </c>
      <c r="B352" s="172" t="str">
        <f aca="false">IF($A352="","",IFERROR(VLOOKUP($A352,PLANI_LLOGARIVE!$A$2:$I$500,2,FALSE()),""))</f>
        <v/>
      </c>
      <c r="C352" s="172" t="str">
        <f aca="false">IF($A352="","",IFERROR(VLOOKUP($A352,PLANI_LLOGARIVE!$A$2:$I$500,4,FALSE()),""))</f>
        <v/>
      </c>
      <c r="D352" s="173" t="str">
        <f aca="false">IF($A352="","",SUMIFS(DITARI!$F$6:$F$550,DITARI!$D$6:$D$550,$A352))</f>
        <v/>
      </c>
      <c r="E352" s="173" t="str">
        <f aca="false">IF($A352="","",SUMIFS(DITARI!$G$6:$G$550,DITARI!$D$6:$D$550,$A352))</f>
        <v/>
      </c>
      <c r="F352" s="173" t="str">
        <f aca="false">IF($A352="","",MAX($D352-$E352,0))</f>
        <v/>
      </c>
      <c r="G352" s="173" t="str">
        <f aca="false">IF($A352="","",MAX($E352-$D352,0))</f>
        <v/>
      </c>
      <c r="H352" s="172" t="str">
        <f aca="false">IF($A352="","",IF($F352&gt;0,"Saldo Debit",IF($G352&gt;0,"Saldo Kredit","Zero")))</f>
        <v/>
      </c>
      <c r="I352" s="172" t="str">
        <f aca="false">IF($A352="","",IFERROR(VLOOKUP($A352,PLANI_LLOGARIVE!$A$2:$I$500,9,FALSE()),""))</f>
        <v/>
      </c>
      <c r="J352" s="101" t="str">
        <f aca="false">IF(A352="","",IF(OR(H352="Zero",I352="Debit/Credit"),"",IF(OR(AND(H352="Saldo Debit",I352="Debit"),AND(H352="Saldo Kredit",OR(I352="Credit",I352="Kredit"))),"","⚠️ JO NORMALE")))</f>
        <v/>
      </c>
    </row>
    <row r="353" customFormat="false" ht="12.75" hidden="false" customHeight="true" outlineLevel="0" collapsed="false">
      <c r="A353" s="174" t="str">
        <f aca="false">IF(AND(PLANI_LLOGARIVE!$A347&lt;&gt;"",PLANI_LLOGARIVE!$J347=TRUE()),PLANI_LLOGARIVE!$A347&amp;"","")</f>
        <v/>
      </c>
      <c r="B353" s="174" t="str">
        <f aca="false">IF($A353="","",IFERROR(VLOOKUP($A353,PLANI_LLOGARIVE!$A$2:$I$500,2,FALSE()),""))</f>
        <v/>
      </c>
      <c r="C353" s="174" t="str">
        <f aca="false">IF($A353="","",IFERROR(VLOOKUP($A353,PLANI_LLOGARIVE!$A$2:$I$500,4,FALSE()),""))</f>
        <v/>
      </c>
      <c r="D353" s="175" t="str">
        <f aca="false">IF($A353="","",SUMIFS(DITARI!$F$6:$F$550,DITARI!$D$6:$D$550,$A353))</f>
        <v/>
      </c>
      <c r="E353" s="175" t="str">
        <f aca="false">IF($A353="","",SUMIFS(DITARI!$G$6:$G$550,DITARI!$D$6:$D$550,$A353))</f>
        <v/>
      </c>
      <c r="F353" s="175" t="str">
        <f aca="false">IF($A353="","",MAX($D353-$E353,0))</f>
        <v/>
      </c>
      <c r="G353" s="175" t="str">
        <f aca="false">IF($A353="","",MAX($E353-$D353,0))</f>
        <v/>
      </c>
      <c r="H353" s="174" t="str">
        <f aca="false">IF($A353="","",IF($F353&gt;0,"Saldo Debit",IF($G353&gt;0,"Saldo Kredit","Zero")))</f>
        <v/>
      </c>
      <c r="I353" s="174" t="str">
        <f aca="false">IF($A353="","",IFERROR(VLOOKUP($A353,PLANI_LLOGARIVE!$A$2:$I$500,9,FALSE()),""))</f>
        <v/>
      </c>
      <c r="J353" s="101" t="str">
        <f aca="false">IF(A353="","",IF(OR(H353="Zero",I353="Debit/Credit"),"",IF(OR(AND(H353="Saldo Debit",I353="Debit"),AND(H353="Saldo Kredit",OR(I353="Credit",I353="Kredit"))),"","⚠️ JO NORMALE")))</f>
        <v/>
      </c>
    </row>
    <row r="354" customFormat="false" ht="12.75" hidden="false" customHeight="true" outlineLevel="0" collapsed="false">
      <c r="A354" s="172" t="str">
        <f aca="false">IF(AND(PLANI_LLOGARIVE!$A348&lt;&gt;"",PLANI_LLOGARIVE!$J348=TRUE()),PLANI_LLOGARIVE!$A348&amp;"","")</f>
        <v/>
      </c>
      <c r="B354" s="172" t="str">
        <f aca="false">IF($A354="","",IFERROR(VLOOKUP($A354,PLANI_LLOGARIVE!$A$2:$I$500,2,FALSE()),""))</f>
        <v/>
      </c>
      <c r="C354" s="172" t="str">
        <f aca="false">IF($A354="","",IFERROR(VLOOKUP($A354,PLANI_LLOGARIVE!$A$2:$I$500,4,FALSE()),""))</f>
        <v/>
      </c>
      <c r="D354" s="173" t="str">
        <f aca="false">IF($A354="","",SUMIFS(DITARI!$F$6:$F$550,DITARI!$D$6:$D$550,$A354))</f>
        <v/>
      </c>
      <c r="E354" s="173" t="str">
        <f aca="false">IF($A354="","",SUMIFS(DITARI!$G$6:$G$550,DITARI!$D$6:$D$550,$A354))</f>
        <v/>
      </c>
      <c r="F354" s="173" t="str">
        <f aca="false">IF($A354="","",MAX($D354-$E354,0))</f>
        <v/>
      </c>
      <c r="G354" s="173" t="str">
        <f aca="false">IF($A354="","",MAX($E354-$D354,0))</f>
        <v/>
      </c>
      <c r="H354" s="172" t="str">
        <f aca="false">IF($A354="","",IF($F354&gt;0,"Saldo Debit",IF($G354&gt;0,"Saldo Kredit","Zero")))</f>
        <v/>
      </c>
      <c r="I354" s="172" t="str">
        <f aca="false">IF($A354="","",IFERROR(VLOOKUP($A354,PLANI_LLOGARIVE!$A$2:$I$500,9,FALSE()),""))</f>
        <v/>
      </c>
      <c r="J354" s="101" t="str">
        <f aca="false">IF(A354="","",IF(OR(H354="Zero",I354="Debit/Credit"),"",IF(OR(AND(H354="Saldo Debit",I354="Debit"),AND(H354="Saldo Kredit",OR(I354="Credit",I354="Kredit"))),"","⚠️ JO NORMALE")))</f>
        <v/>
      </c>
    </row>
    <row r="355" customFormat="false" ht="12.75" hidden="false" customHeight="true" outlineLevel="0" collapsed="false">
      <c r="A355" s="174" t="str">
        <f aca="false">IF(AND(PLANI_LLOGARIVE!$A349&lt;&gt;"",PLANI_LLOGARIVE!$J349=TRUE()),PLANI_LLOGARIVE!$A349&amp;"","")</f>
        <v/>
      </c>
      <c r="B355" s="174" t="str">
        <f aca="false">IF($A355="","",IFERROR(VLOOKUP($A355,PLANI_LLOGARIVE!$A$2:$I$500,2,FALSE()),""))</f>
        <v/>
      </c>
      <c r="C355" s="174" t="str">
        <f aca="false">IF($A355="","",IFERROR(VLOOKUP($A355,PLANI_LLOGARIVE!$A$2:$I$500,4,FALSE()),""))</f>
        <v/>
      </c>
      <c r="D355" s="175" t="str">
        <f aca="false">IF($A355="","",SUMIFS(DITARI!$F$6:$F$550,DITARI!$D$6:$D$550,$A355))</f>
        <v/>
      </c>
      <c r="E355" s="175" t="str">
        <f aca="false">IF($A355="","",SUMIFS(DITARI!$G$6:$G$550,DITARI!$D$6:$D$550,$A355))</f>
        <v/>
      </c>
      <c r="F355" s="175" t="str">
        <f aca="false">IF($A355="","",MAX($D355-$E355,0))</f>
        <v/>
      </c>
      <c r="G355" s="175" t="str">
        <f aca="false">IF($A355="","",MAX($E355-$D355,0))</f>
        <v/>
      </c>
      <c r="H355" s="174" t="str">
        <f aca="false">IF($A355="","",IF($F355&gt;0,"Saldo Debit",IF($G355&gt;0,"Saldo Kredit","Zero")))</f>
        <v/>
      </c>
      <c r="I355" s="174" t="str">
        <f aca="false">IF($A355="","",IFERROR(VLOOKUP($A355,PLANI_LLOGARIVE!$A$2:$I$500,9,FALSE()),""))</f>
        <v/>
      </c>
      <c r="J355" s="101" t="str">
        <f aca="false">IF(A355="","",IF(OR(H355="Zero",I355="Debit/Credit"),"",IF(OR(AND(H355="Saldo Debit",I355="Debit"),AND(H355="Saldo Kredit",OR(I355="Credit",I355="Kredit"))),"","⚠️ JO NORMALE")))</f>
        <v/>
      </c>
    </row>
    <row r="356" customFormat="false" ht="12.75" hidden="false" customHeight="true" outlineLevel="0" collapsed="false">
      <c r="A356" s="172" t="str">
        <f aca="false">IF(AND(PLANI_LLOGARIVE!$A350&lt;&gt;"",PLANI_LLOGARIVE!$J350=TRUE()),PLANI_LLOGARIVE!$A350&amp;"","")</f>
        <v/>
      </c>
      <c r="B356" s="172" t="str">
        <f aca="false">IF($A356="","",IFERROR(VLOOKUP($A356,PLANI_LLOGARIVE!$A$2:$I$500,2,FALSE()),""))</f>
        <v/>
      </c>
      <c r="C356" s="172" t="str">
        <f aca="false">IF($A356="","",IFERROR(VLOOKUP($A356,PLANI_LLOGARIVE!$A$2:$I$500,4,FALSE()),""))</f>
        <v/>
      </c>
      <c r="D356" s="173" t="str">
        <f aca="false">IF($A356="","",SUMIFS(DITARI!$F$6:$F$550,DITARI!$D$6:$D$550,$A356))</f>
        <v/>
      </c>
      <c r="E356" s="173" t="str">
        <f aca="false">IF($A356="","",SUMIFS(DITARI!$G$6:$G$550,DITARI!$D$6:$D$550,$A356))</f>
        <v/>
      </c>
      <c r="F356" s="173" t="str">
        <f aca="false">IF($A356="","",MAX($D356-$E356,0))</f>
        <v/>
      </c>
      <c r="G356" s="173" t="str">
        <f aca="false">IF($A356="","",MAX($E356-$D356,0))</f>
        <v/>
      </c>
      <c r="H356" s="172" t="str">
        <f aca="false">IF($A356="","",IF($F356&gt;0,"Saldo Debit",IF($G356&gt;0,"Saldo Kredit","Zero")))</f>
        <v/>
      </c>
      <c r="I356" s="172" t="str">
        <f aca="false">IF($A356="","",IFERROR(VLOOKUP($A356,PLANI_LLOGARIVE!$A$2:$I$500,9,FALSE()),""))</f>
        <v/>
      </c>
      <c r="J356" s="101" t="str">
        <f aca="false">IF(A356="","",IF(OR(H356="Zero",I356="Debit/Credit"),"",IF(OR(AND(H356="Saldo Debit",I356="Debit"),AND(H356="Saldo Kredit",OR(I356="Credit",I356="Kredit"))),"","⚠️ JO NORMALE")))</f>
        <v/>
      </c>
    </row>
    <row r="357" customFormat="false" ht="12.75" hidden="false" customHeight="true" outlineLevel="0" collapsed="false">
      <c r="A357" s="174" t="str">
        <f aca="false">IF(AND(PLANI_LLOGARIVE!$A351&lt;&gt;"",PLANI_LLOGARIVE!$J351=TRUE()),PLANI_LLOGARIVE!$A351&amp;"","")</f>
        <v/>
      </c>
      <c r="B357" s="174" t="str">
        <f aca="false">IF($A357="","",IFERROR(VLOOKUP($A357,PLANI_LLOGARIVE!$A$2:$I$500,2,FALSE()),""))</f>
        <v/>
      </c>
      <c r="C357" s="174" t="str">
        <f aca="false">IF($A357="","",IFERROR(VLOOKUP($A357,PLANI_LLOGARIVE!$A$2:$I$500,4,FALSE()),""))</f>
        <v/>
      </c>
      <c r="D357" s="175" t="str">
        <f aca="false">IF($A357="","",SUMIFS(DITARI!$F$6:$F$550,DITARI!$D$6:$D$550,$A357))</f>
        <v/>
      </c>
      <c r="E357" s="175" t="str">
        <f aca="false">IF($A357="","",SUMIFS(DITARI!$G$6:$G$550,DITARI!$D$6:$D$550,$A357))</f>
        <v/>
      </c>
      <c r="F357" s="175" t="str">
        <f aca="false">IF($A357="","",MAX($D357-$E357,0))</f>
        <v/>
      </c>
      <c r="G357" s="175" t="str">
        <f aca="false">IF($A357="","",MAX($E357-$D357,0))</f>
        <v/>
      </c>
      <c r="H357" s="174" t="str">
        <f aca="false">IF($A357="","",IF($F357&gt;0,"Saldo Debit",IF($G357&gt;0,"Saldo Kredit","Zero")))</f>
        <v/>
      </c>
      <c r="I357" s="174" t="str">
        <f aca="false">IF($A357="","",IFERROR(VLOOKUP($A357,PLANI_LLOGARIVE!$A$2:$I$500,9,FALSE()),""))</f>
        <v/>
      </c>
      <c r="J357" s="101" t="str">
        <f aca="false">IF(A357="","",IF(OR(H357="Zero",I357="Debit/Credit"),"",IF(OR(AND(H357="Saldo Debit",I357="Debit"),AND(H357="Saldo Kredit",OR(I357="Credit",I357="Kredit"))),"","⚠️ JO NORMALE")))</f>
        <v/>
      </c>
    </row>
    <row r="358" customFormat="false" ht="12.75" hidden="false" customHeight="true" outlineLevel="0" collapsed="false">
      <c r="A358" s="172" t="str">
        <f aca="false">IF(AND(PLANI_LLOGARIVE!$A352&lt;&gt;"",PLANI_LLOGARIVE!$J352=TRUE()),PLANI_LLOGARIVE!$A352&amp;"","")</f>
        <v/>
      </c>
      <c r="B358" s="172" t="str">
        <f aca="false">IF($A358="","",IFERROR(VLOOKUP($A358,PLANI_LLOGARIVE!$A$2:$I$500,2,FALSE()),""))</f>
        <v/>
      </c>
      <c r="C358" s="172" t="str">
        <f aca="false">IF($A358="","",IFERROR(VLOOKUP($A358,PLANI_LLOGARIVE!$A$2:$I$500,4,FALSE()),""))</f>
        <v/>
      </c>
      <c r="D358" s="173" t="str">
        <f aca="false">IF($A358="","",SUMIFS(DITARI!$F$6:$F$550,DITARI!$D$6:$D$550,$A358))</f>
        <v/>
      </c>
      <c r="E358" s="173" t="str">
        <f aca="false">IF($A358="","",SUMIFS(DITARI!$G$6:$G$550,DITARI!$D$6:$D$550,$A358))</f>
        <v/>
      </c>
      <c r="F358" s="173" t="str">
        <f aca="false">IF($A358="","",MAX($D358-$E358,0))</f>
        <v/>
      </c>
      <c r="G358" s="173" t="str">
        <f aca="false">IF($A358="","",MAX($E358-$D358,0))</f>
        <v/>
      </c>
      <c r="H358" s="172" t="str">
        <f aca="false">IF($A358="","",IF($F358&gt;0,"Saldo Debit",IF($G358&gt;0,"Saldo Kredit","Zero")))</f>
        <v/>
      </c>
      <c r="I358" s="172" t="str">
        <f aca="false">IF($A358="","",IFERROR(VLOOKUP($A358,PLANI_LLOGARIVE!$A$2:$I$500,9,FALSE()),""))</f>
        <v/>
      </c>
      <c r="J358" s="101" t="str">
        <f aca="false">IF(A358="","",IF(OR(H358="Zero",I358="Debit/Credit"),"",IF(OR(AND(H358="Saldo Debit",I358="Debit"),AND(H358="Saldo Kredit",OR(I358="Credit",I358="Kredit"))),"","⚠️ JO NORMALE")))</f>
        <v/>
      </c>
    </row>
    <row r="359" customFormat="false" ht="12.75" hidden="false" customHeight="true" outlineLevel="0" collapsed="false">
      <c r="A359" s="174" t="str">
        <f aca="false">IF(AND(PLANI_LLOGARIVE!$A353&lt;&gt;"",PLANI_LLOGARIVE!$J353=TRUE()),PLANI_LLOGARIVE!$A353&amp;"","")</f>
        <v/>
      </c>
      <c r="B359" s="174" t="str">
        <f aca="false">IF($A359="","",IFERROR(VLOOKUP($A359,PLANI_LLOGARIVE!$A$2:$I$500,2,FALSE()),""))</f>
        <v/>
      </c>
      <c r="C359" s="174" t="str">
        <f aca="false">IF($A359="","",IFERROR(VLOOKUP($A359,PLANI_LLOGARIVE!$A$2:$I$500,4,FALSE()),""))</f>
        <v/>
      </c>
      <c r="D359" s="175" t="str">
        <f aca="false">IF($A359="","",SUMIFS(DITARI!$F$6:$F$550,DITARI!$D$6:$D$550,$A359))</f>
        <v/>
      </c>
      <c r="E359" s="175" t="str">
        <f aca="false">IF($A359="","",SUMIFS(DITARI!$G$6:$G$550,DITARI!$D$6:$D$550,$A359))</f>
        <v/>
      </c>
      <c r="F359" s="175" t="str">
        <f aca="false">IF($A359="","",MAX($D359-$E359,0))</f>
        <v/>
      </c>
      <c r="G359" s="175" t="str">
        <f aca="false">IF($A359="","",MAX($E359-$D359,0))</f>
        <v/>
      </c>
      <c r="H359" s="174" t="str">
        <f aca="false">IF($A359="","",IF($F359&gt;0,"Saldo Debit",IF($G359&gt;0,"Saldo Kredit","Zero")))</f>
        <v/>
      </c>
      <c r="I359" s="174" t="str">
        <f aca="false">IF($A359="","",IFERROR(VLOOKUP($A359,PLANI_LLOGARIVE!$A$2:$I$500,9,FALSE()),""))</f>
        <v/>
      </c>
      <c r="J359" s="101" t="str">
        <f aca="false">IF(A359="","",IF(OR(H359="Zero",I359="Debit/Credit"),"",IF(OR(AND(H359="Saldo Debit",I359="Debit"),AND(H359="Saldo Kredit",OR(I359="Credit",I359="Kredit"))),"","⚠️ JO NORMALE")))</f>
        <v/>
      </c>
    </row>
    <row r="360" customFormat="false" ht="12.75" hidden="false" customHeight="true" outlineLevel="0" collapsed="false">
      <c r="A360" s="172" t="str">
        <f aca="false">IF(AND(PLANI_LLOGARIVE!$A354&lt;&gt;"",PLANI_LLOGARIVE!$J354=TRUE()),PLANI_LLOGARIVE!$A354&amp;"","")</f>
        <v/>
      </c>
      <c r="B360" s="172" t="str">
        <f aca="false">IF($A360="","",IFERROR(VLOOKUP($A360,PLANI_LLOGARIVE!$A$2:$I$500,2,FALSE()),""))</f>
        <v/>
      </c>
      <c r="C360" s="172" t="str">
        <f aca="false">IF($A360="","",IFERROR(VLOOKUP($A360,PLANI_LLOGARIVE!$A$2:$I$500,4,FALSE()),""))</f>
        <v/>
      </c>
      <c r="D360" s="173" t="str">
        <f aca="false">IF($A360="","",SUMIFS(DITARI!$F$6:$F$550,DITARI!$D$6:$D$550,$A360))</f>
        <v/>
      </c>
      <c r="E360" s="173" t="str">
        <f aca="false">IF($A360="","",SUMIFS(DITARI!$G$6:$G$550,DITARI!$D$6:$D$550,$A360))</f>
        <v/>
      </c>
      <c r="F360" s="173" t="str">
        <f aca="false">IF($A360="","",MAX($D360-$E360,0))</f>
        <v/>
      </c>
      <c r="G360" s="173" t="str">
        <f aca="false">IF($A360="","",MAX($E360-$D360,0))</f>
        <v/>
      </c>
      <c r="H360" s="172" t="str">
        <f aca="false">IF($A360="","",IF($F360&gt;0,"Saldo Debit",IF($G360&gt;0,"Saldo Kredit","Zero")))</f>
        <v/>
      </c>
      <c r="I360" s="172" t="str">
        <f aca="false">IF($A360="","",IFERROR(VLOOKUP($A360,PLANI_LLOGARIVE!$A$2:$I$500,9,FALSE()),""))</f>
        <v/>
      </c>
      <c r="J360" s="101" t="str">
        <f aca="false">IF(A360="","",IF(OR(H360="Zero",I360="Debit/Credit"),"",IF(OR(AND(H360="Saldo Debit",I360="Debit"),AND(H360="Saldo Kredit",OR(I360="Credit",I360="Kredit"))),"","⚠️ JO NORMALE")))</f>
        <v/>
      </c>
    </row>
    <row r="361" customFormat="false" ht="12.75" hidden="false" customHeight="true" outlineLevel="0" collapsed="false">
      <c r="A361" s="174" t="str">
        <f aca="false">IF(AND(PLANI_LLOGARIVE!$A355&lt;&gt;"",PLANI_LLOGARIVE!$J355=TRUE()),PLANI_LLOGARIVE!$A355&amp;"","")</f>
        <v/>
      </c>
      <c r="B361" s="174" t="str">
        <f aca="false">IF($A361="","",IFERROR(VLOOKUP($A361,PLANI_LLOGARIVE!$A$2:$I$500,2,FALSE()),""))</f>
        <v/>
      </c>
      <c r="C361" s="174" t="str">
        <f aca="false">IF($A361="","",IFERROR(VLOOKUP($A361,PLANI_LLOGARIVE!$A$2:$I$500,4,FALSE()),""))</f>
        <v/>
      </c>
      <c r="D361" s="175" t="str">
        <f aca="false">IF($A361="","",SUMIFS(DITARI!$F$6:$F$550,DITARI!$D$6:$D$550,$A361))</f>
        <v/>
      </c>
      <c r="E361" s="175" t="str">
        <f aca="false">IF($A361="","",SUMIFS(DITARI!$G$6:$G$550,DITARI!$D$6:$D$550,$A361))</f>
        <v/>
      </c>
      <c r="F361" s="175" t="str">
        <f aca="false">IF($A361="","",MAX($D361-$E361,0))</f>
        <v/>
      </c>
      <c r="G361" s="175" t="str">
        <f aca="false">IF($A361="","",MAX($E361-$D361,0))</f>
        <v/>
      </c>
      <c r="H361" s="174" t="str">
        <f aca="false">IF($A361="","",IF($F361&gt;0,"Saldo Debit",IF($G361&gt;0,"Saldo Kredit","Zero")))</f>
        <v/>
      </c>
      <c r="I361" s="174" t="str">
        <f aca="false">IF($A361="","",IFERROR(VLOOKUP($A361,PLANI_LLOGARIVE!$A$2:$I$500,9,FALSE()),""))</f>
        <v/>
      </c>
      <c r="J361" s="101" t="str">
        <f aca="false">IF(A361="","",IF(OR(H361="Zero",I361="Debit/Credit"),"",IF(OR(AND(H361="Saldo Debit",I361="Debit"),AND(H361="Saldo Kredit",OR(I361="Credit",I361="Kredit"))),"","⚠️ JO NORMALE")))</f>
        <v/>
      </c>
    </row>
    <row r="362" customFormat="false" ht="12.75" hidden="false" customHeight="true" outlineLevel="0" collapsed="false">
      <c r="A362" s="172" t="str">
        <f aca="false">IF(AND(PLANI_LLOGARIVE!$A356&lt;&gt;"",PLANI_LLOGARIVE!$J356=TRUE()),PLANI_LLOGARIVE!$A356&amp;"","")</f>
        <v/>
      </c>
      <c r="B362" s="172" t="str">
        <f aca="false">IF($A362="","",IFERROR(VLOOKUP($A362,PLANI_LLOGARIVE!$A$2:$I$500,2,FALSE()),""))</f>
        <v/>
      </c>
      <c r="C362" s="172" t="str">
        <f aca="false">IF($A362="","",IFERROR(VLOOKUP($A362,PLANI_LLOGARIVE!$A$2:$I$500,4,FALSE()),""))</f>
        <v/>
      </c>
      <c r="D362" s="173" t="str">
        <f aca="false">IF($A362="","",SUMIFS(DITARI!$F$6:$F$550,DITARI!$D$6:$D$550,$A362))</f>
        <v/>
      </c>
      <c r="E362" s="173" t="str">
        <f aca="false">IF($A362="","",SUMIFS(DITARI!$G$6:$G$550,DITARI!$D$6:$D$550,$A362))</f>
        <v/>
      </c>
      <c r="F362" s="173" t="str">
        <f aca="false">IF($A362="","",MAX($D362-$E362,0))</f>
        <v/>
      </c>
      <c r="G362" s="173" t="str">
        <f aca="false">IF($A362="","",MAX($E362-$D362,0))</f>
        <v/>
      </c>
      <c r="H362" s="172" t="str">
        <f aca="false">IF($A362="","",IF($F362&gt;0,"Saldo Debit",IF($G362&gt;0,"Saldo Kredit","Zero")))</f>
        <v/>
      </c>
      <c r="I362" s="172" t="str">
        <f aca="false">IF($A362="","",IFERROR(VLOOKUP($A362,PLANI_LLOGARIVE!$A$2:$I$500,9,FALSE()),""))</f>
        <v/>
      </c>
      <c r="J362" s="101" t="str">
        <f aca="false">IF(A362="","",IF(OR(H362="Zero",I362="Debit/Credit"),"",IF(OR(AND(H362="Saldo Debit",I362="Debit"),AND(H362="Saldo Kredit",OR(I362="Credit",I362="Kredit"))),"","⚠️ JO NORMALE")))</f>
        <v/>
      </c>
    </row>
    <row r="363" customFormat="false" ht="12.75" hidden="false" customHeight="true" outlineLevel="0" collapsed="false">
      <c r="A363" s="174" t="str">
        <f aca="false">IF(AND(PLANI_LLOGARIVE!$A357&lt;&gt;"",PLANI_LLOGARIVE!$J357=TRUE()),PLANI_LLOGARIVE!$A357&amp;"","")</f>
        <v/>
      </c>
      <c r="B363" s="174" t="str">
        <f aca="false">IF($A363="","",IFERROR(VLOOKUP($A363,PLANI_LLOGARIVE!$A$2:$I$500,2,FALSE()),""))</f>
        <v/>
      </c>
      <c r="C363" s="174" t="str">
        <f aca="false">IF($A363="","",IFERROR(VLOOKUP($A363,PLANI_LLOGARIVE!$A$2:$I$500,4,FALSE()),""))</f>
        <v/>
      </c>
      <c r="D363" s="175" t="str">
        <f aca="false">IF($A363="","",SUMIFS(DITARI!$F$6:$F$550,DITARI!$D$6:$D$550,$A363))</f>
        <v/>
      </c>
      <c r="E363" s="175" t="str">
        <f aca="false">IF($A363="","",SUMIFS(DITARI!$G$6:$G$550,DITARI!$D$6:$D$550,$A363))</f>
        <v/>
      </c>
      <c r="F363" s="175" t="str">
        <f aca="false">IF($A363="","",MAX($D363-$E363,0))</f>
        <v/>
      </c>
      <c r="G363" s="175" t="str">
        <f aca="false">IF($A363="","",MAX($E363-$D363,0))</f>
        <v/>
      </c>
      <c r="H363" s="174" t="str">
        <f aca="false">IF($A363="","",IF($F363&gt;0,"Saldo Debit",IF($G363&gt;0,"Saldo Kredit","Zero")))</f>
        <v/>
      </c>
      <c r="I363" s="174" t="str">
        <f aca="false">IF($A363="","",IFERROR(VLOOKUP($A363,PLANI_LLOGARIVE!$A$2:$I$500,9,FALSE()),""))</f>
        <v/>
      </c>
      <c r="J363" s="101" t="str">
        <f aca="false">IF(A363="","",IF(OR(H363="Zero",I363="Debit/Credit"),"",IF(OR(AND(H363="Saldo Debit",I363="Debit"),AND(H363="Saldo Kredit",OR(I363="Credit",I363="Kredit"))),"","⚠️ JO NORMALE")))</f>
        <v/>
      </c>
    </row>
    <row r="364" customFormat="false" ht="12.75" hidden="false" customHeight="true" outlineLevel="0" collapsed="false">
      <c r="A364" s="172" t="str">
        <f aca="false">IF(AND(PLANI_LLOGARIVE!$A358&lt;&gt;"",PLANI_LLOGARIVE!$J358=TRUE()),PLANI_LLOGARIVE!$A358&amp;"","")</f>
        <v/>
      </c>
      <c r="B364" s="172" t="str">
        <f aca="false">IF($A364="","",IFERROR(VLOOKUP($A364,PLANI_LLOGARIVE!$A$2:$I$500,2,FALSE()),""))</f>
        <v/>
      </c>
      <c r="C364" s="172" t="str">
        <f aca="false">IF($A364="","",IFERROR(VLOOKUP($A364,PLANI_LLOGARIVE!$A$2:$I$500,4,FALSE()),""))</f>
        <v/>
      </c>
      <c r="D364" s="173" t="str">
        <f aca="false">IF($A364="","",SUMIFS(DITARI!$F$6:$F$550,DITARI!$D$6:$D$550,$A364))</f>
        <v/>
      </c>
      <c r="E364" s="173" t="str">
        <f aca="false">IF($A364="","",SUMIFS(DITARI!$G$6:$G$550,DITARI!$D$6:$D$550,$A364))</f>
        <v/>
      </c>
      <c r="F364" s="173" t="str">
        <f aca="false">IF($A364="","",MAX($D364-$E364,0))</f>
        <v/>
      </c>
      <c r="G364" s="173" t="str">
        <f aca="false">IF($A364="","",MAX($E364-$D364,0))</f>
        <v/>
      </c>
      <c r="H364" s="172" t="str">
        <f aca="false">IF($A364="","",IF($F364&gt;0,"Saldo Debit",IF($G364&gt;0,"Saldo Kredit","Zero")))</f>
        <v/>
      </c>
      <c r="I364" s="172" t="str">
        <f aca="false">IF($A364="","",IFERROR(VLOOKUP($A364,PLANI_LLOGARIVE!$A$2:$I$500,9,FALSE()),""))</f>
        <v/>
      </c>
      <c r="J364" s="101" t="str">
        <f aca="false">IF(A364="","",IF(OR(H364="Zero",I364="Debit/Credit"),"",IF(OR(AND(H364="Saldo Debit",I364="Debit"),AND(H364="Saldo Kredit",OR(I364="Credit",I364="Kredit"))),"","⚠️ JO NORMALE")))</f>
        <v/>
      </c>
    </row>
    <row r="365" customFormat="false" ht="12.75" hidden="false" customHeight="true" outlineLevel="0" collapsed="false">
      <c r="A365" s="174" t="str">
        <f aca="false">IF(AND(PLANI_LLOGARIVE!$A359&lt;&gt;"",PLANI_LLOGARIVE!$J359=TRUE()),PLANI_LLOGARIVE!$A359&amp;"","")</f>
        <v/>
      </c>
      <c r="B365" s="174" t="str">
        <f aca="false">IF($A365="","",IFERROR(VLOOKUP($A365,PLANI_LLOGARIVE!$A$2:$I$500,2,FALSE()),""))</f>
        <v/>
      </c>
      <c r="C365" s="174" t="str">
        <f aca="false">IF($A365="","",IFERROR(VLOOKUP($A365,PLANI_LLOGARIVE!$A$2:$I$500,4,FALSE()),""))</f>
        <v/>
      </c>
      <c r="D365" s="175" t="str">
        <f aca="false">IF($A365="","",SUMIFS(DITARI!$F$6:$F$550,DITARI!$D$6:$D$550,$A365))</f>
        <v/>
      </c>
      <c r="E365" s="175" t="str">
        <f aca="false">IF($A365="","",SUMIFS(DITARI!$G$6:$G$550,DITARI!$D$6:$D$550,$A365))</f>
        <v/>
      </c>
      <c r="F365" s="175" t="str">
        <f aca="false">IF($A365="","",MAX($D365-$E365,0))</f>
        <v/>
      </c>
      <c r="G365" s="175" t="str">
        <f aca="false">IF($A365="","",MAX($E365-$D365,0))</f>
        <v/>
      </c>
      <c r="H365" s="174" t="str">
        <f aca="false">IF($A365="","",IF($F365&gt;0,"Saldo Debit",IF($G365&gt;0,"Saldo Kredit","Zero")))</f>
        <v/>
      </c>
      <c r="I365" s="174" t="str">
        <f aca="false">IF($A365="","",IFERROR(VLOOKUP($A365,PLANI_LLOGARIVE!$A$2:$I$500,9,FALSE()),""))</f>
        <v/>
      </c>
      <c r="J365" s="101" t="str">
        <f aca="false">IF(A365="","",IF(OR(H365="Zero",I365="Debit/Credit"),"",IF(OR(AND(H365="Saldo Debit",I365="Debit"),AND(H365="Saldo Kredit",OR(I365="Credit",I365="Kredit"))),"","⚠️ JO NORMALE")))</f>
        <v/>
      </c>
    </row>
    <row r="366" customFormat="false" ht="12.75" hidden="false" customHeight="true" outlineLevel="0" collapsed="false">
      <c r="A366" s="172" t="str">
        <f aca="false">IF(AND(PLANI_LLOGARIVE!$A360&lt;&gt;"",PLANI_LLOGARIVE!$J360=TRUE()),PLANI_LLOGARIVE!$A360&amp;"","")</f>
        <v/>
      </c>
      <c r="B366" s="172" t="str">
        <f aca="false">IF($A366="","",IFERROR(VLOOKUP($A366,PLANI_LLOGARIVE!$A$2:$I$500,2,FALSE()),""))</f>
        <v/>
      </c>
      <c r="C366" s="172" t="str">
        <f aca="false">IF($A366="","",IFERROR(VLOOKUP($A366,PLANI_LLOGARIVE!$A$2:$I$500,4,FALSE()),""))</f>
        <v/>
      </c>
      <c r="D366" s="173" t="str">
        <f aca="false">IF($A366="","",SUMIFS(DITARI!$F$6:$F$550,DITARI!$D$6:$D$550,$A366))</f>
        <v/>
      </c>
      <c r="E366" s="173" t="str">
        <f aca="false">IF($A366="","",SUMIFS(DITARI!$G$6:$G$550,DITARI!$D$6:$D$550,$A366))</f>
        <v/>
      </c>
      <c r="F366" s="173" t="str">
        <f aca="false">IF($A366="","",MAX($D366-$E366,0))</f>
        <v/>
      </c>
      <c r="G366" s="173" t="str">
        <f aca="false">IF($A366="","",MAX($E366-$D366,0))</f>
        <v/>
      </c>
      <c r="H366" s="172" t="str">
        <f aca="false">IF($A366="","",IF($F366&gt;0,"Saldo Debit",IF($G366&gt;0,"Saldo Kredit","Zero")))</f>
        <v/>
      </c>
      <c r="I366" s="172" t="str">
        <f aca="false">IF($A366="","",IFERROR(VLOOKUP($A366,PLANI_LLOGARIVE!$A$2:$I$500,9,FALSE()),""))</f>
        <v/>
      </c>
      <c r="J366" s="101" t="str">
        <f aca="false">IF(A366="","",IF(OR(H366="Zero",I366="Debit/Credit"),"",IF(OR(AND(H366="Saldo Debit",I366="Debit"),AND(H366="Saldo Kredit",OR(I366="Credit",I366="Kredit"))),"","⚠️ JO NORMALE")))</f>
        <v/>
      </c>
    </row>
    <row r="367" customFormat="false" ht="12.75" hidden="false" customHeight="true" outlineLevel="0" collapsed="false">
      <c r="A367" s="174" t="str">
        <f aca="false">IF(AND(PLANI_LLOGARIVE!$A361&lt;&gt;"",PLANI_LLOGARIVE!$J361=TRUE()),PLANI_LLOGARIVE!$A361&amp;"","")</f>
        <v/>
      </c>
      <c r="B367" s="174" t="str">
        <f aca="false">IF($A367="","",IFERROR(VLOOKUP($A367,PLANI_LLOGARIVE!$A$2:$I$500,2,FALSE()),""))</f>
        <v/>
      </c>
      <c r="C367" s="174" t="str">
        <f aca="false">IF($A367="","",IFERROR(VLOOKUP($A367,PLANI_LLOGARIVE!$A$2:$I$500,4,FALSE()),""))</f>
        <v/>
      </c>
      <c r="D367" s="175" t="str">
        <f aca="false">IF($A367="","",SUMIFS(DITARI!$F$6:$F$550,DITARI!$D$6:$D$550,$A367))</f>
        <v/>
      </c>
      <c r="E367" s="175" t="str">
        <f aca="false">IF($A367="","",SUMIFS(DITARI!$G$6:$G$550,DITARI!$D$6:$D$550,$A367))</f>
        <v/>
      </c>
      <c r="F367" s="175" t="str">
        <f aca="false">IF($A367="","",MAX($D367-$E367,0))</f>
        <v/>
      </c>
      <c r="G367" s="175" t="str">
        <f aca="false">IF($A367="","",MAX($E367-$D367,0))</f>
        <v/>
      </c>
      <c r="H367" s="174" t="str">
        <f aca="false">IF($A367="","",IF($F367&gt;0,"Saldo Debit",IF($G367&gt;0,"Saldo Kredit","Zero")))</f>
        <v/>
      </c>
      <c r="I367" s="174" t="str">
        <f aca="false">IF($A367="","",IFERROR(VLOOKUP($A367,PLANI_LLOGARIVE!$A$2:$I$500,9,FALSE()),""))</f>
        <v/>
      </c>
      <c r="J367" s="101" t="str">
        <f aca="false">IF(A367="","",IF(OR(H367="Zero",I367="Debit/Credit"),"",IF(OR(AND(H367="Saldo Debit",I367="Debit"),AND(H367="Saldo Kredit",OR(I367="Credit",I367="Kredit"))),"","⚠️ JO NORMALE")))</f>
        <v/>
      </c>
    </row>
    <row r="368" customFormat="false" ht="12.75" hidden="false" customHeight="true" outlineLevel="0" collapsed="false">
      <c r="A368" s="172" t="str">
        <f aca="false">IF(AND(PLANI_LLOGARIVE!$A362&lt;&gt;"",PLANI_LLOGARIVE!$J362=TRUE()),PLANI_LLOGARIVE!$A362&amp;"","")</f>
        <v/>
      </c>
      <c r="B368" s="172" t="str">
        <f aca="false">IF($A368="","",IFERROR(VLOOKUP($A368,PLANI_LLOGARIVE!$A$2:$I$500,2,FALSE()),""))</f>
        <v/>
      </c>
      <c r="C368" s="172" t="str">
        <f aca="false">IF($A368="","",IFERROR(VLOOKUP($A368,PLANI_LLOGARIVE!$A$2:$I$500,4,FALSE()),""))</f>
        <v/>
      </c>
      <c r="D368" s="173" t="str">
        <f aca="false">IF($A368="","",SUMIFS(DITARI!$F$6:$F$550,DITARI!$D$6:$D$550,$A368))</f>
        <v/>
      </c>
      <c r="E368" s="173" t="str">
        <f aca="false">IF($A368="","",SUMIFS(DITARI!$G$6:$G$550,DITARI!$D$6:$D$550,$A368))</f>
        <v/>
      </c>
      <c r="F368" s="173" t="str">
        <f aca="false">IF($A368="","",MAX($D368-$E368,0))</f>
        <v/>
      </c>
      <c r="G368" s="173" t="str">
        <f aca="false">IF($A368="","",MAX($E368-$D368,0))</f>
        <v/>
      </c>
      <c r="H368" s="172" t="str">
        <f aca="false">IF($A368="","",IF($F368&gt;0,"Saldo Debit",IF($G368&gt;0,"Saldo Kredit","Zero")))</f>
        <v/>
      </c>
      <c r="I368" s="172" t="str">
        <f aca="false">IF($A368="","",IFERROR(VLOOKUP($A368,PLANI_LLOGARIVE!$A$2:$I$500,9,FALSE()),""))</f>
        <v/>
      </c>
      <c r="J368" s="101" t="str">
        <f aca="false">IF(A368="","",IF(OR(H368="Zero",I368="Debit/Credit"),"",IF(OR(AND(H368="Saldo Debit",I368="Debit"),AND(H368="Saldo Kredit",OR(I368="Credit",I368="Kredit"))),"","⚠️ JO NORMALE")))</f>
        <v/>
      </c>
    </row>
    <row r="369" customFormat="false" ht="12.75" hidden="false" customHeight="true" outlineLevel="0" collapsed="false">
      <c r="A369" s="174" t="str">
        <f aca="false">IF(AND(PLANI_LLOGARIVE!$A363&lt;&gt;"",PLANI_LLOGARIVE!$J363=TRUE()),PLANI_LLOGARIVE!$A363&amp;"","")</f>
        <v/>
      </c>
      <c r="B369" s="174" t="str">
        <f aca="false">IF($A369="","",IFERROR(VLOOKUP($A369,PLANI_LLOGARIVE!$A$2:$I$500,2,FALSE()),""))</f>
        <v/>
      </c>
      <c r="C369" s="174" t="str">
        <f aca="false">IF($A369="","",IFERROR(VLOOKUP($A369,PLANI_LLOGARIVE!$A$2:$I$500,4,FALSE()),""))</f>
        <v/>
      </c>
      <c r="D369" s="175" t="str">
        <f aca="false">IF($A369="","",SUMIFS(DITARI!$F$6:$F$550,DITARI!$D$6:$D$550,$A369))</f>
        <v/>
      </c>
      <c r="E369" s="175" t="str">
        <f aca="false">IF($A369="","",SUMIFS(DITARI!$G$6:$G$550,DITARI!$D$6:$D$550,$A369))</f>
        <v/>
      </c>
      <c r="F369" s="175" t="str">
        <f aca="false">IF($A369="","",MAX($D369-$E369,0))</f>
        <v/>
      </c>
      <c r="G369" s="175" t="str">
        <f aca="false">IF($A369="","",MAX($E369-$D369,0))</f>
        <v/>
      </c>
      <c r="H369" s="174" t="str">
        <f aca="false">IF($A369="","",IF($F369&gt;0,"Saldo Debit",IF($G369&gt;0,"Saldo Kredit","Zero")))</f>
        <v/>
      </c>
      <c r="I369" s="174" t="str">
        <f aca="false">IF($A369="","",IFERROR(VLOOKUP($A369,PLANI_LLOGARIVE!$A$2:$I$500,9,FALSE()),""))</f>
        <v/>
      </c>
      <c r="J369" s="101" t="str">
        <f aca="false">IF(A369="","",IF(OR(H369="Zero",I369="Debit/Credit"),"",IF(OR(AND(H369="Saldo Debit",I369="Debit"),AND(H369="Saldo Kredit",OR(I369="Credit",I369="Kredit"))),"","⚠️ JO NORMALE")))</f>
        <v/>
      </c>
    </row>
    <row r="370" customFormat="false" ht="12.75" hidden="false" customHeight="true" outlineLevel="0" collapsed="false">
      <c r="A370" s="172" t="str">
        <f aca="false">IF(AND(PLANI_LLOGARIVE!$A364&lt;&gt;"",PLANI_LLOGARIVE!$J364=TRUE()),PLANI_LLOGARIVE!$A364&amp;"","")</f>
        <v/>
      </c>
      <c r="B370" s="172" t="str">
        <f aca="false">IF($A370="","",IFERROR(VLOOKUP($A370,PLANI_LLOGARIVE!$A$2:$I$500,2,FALSE()),""))</f>
        <v/>
      </c>
      <c r="C370" s="172" t="str">
        <f aca="false">IF($A370="","",IFERROR(VLOOKUP($A370,PLANI_LLOGARIVE!$A$2:$I$500,4,FALSE()),""))</f>
        <v/>
      </c>
      <c r="D370" s="173" t="str">
        <f aca="false">IF($A370="","",SUMIFS(DITARI!$F$6:$F$550,DITARI!$D$6:$D$550,$A370))</f>
        <v/>
      </c>
      <c r="E370" s="173" t="str">
        <f aca="false">IF($A370="","",SUMIFS(DITARI!$G$6:$G$550,DITARI!$D$6:$D$550,$A370))</f>
        <v/>
      </c>
      <c r="F370" s="173" t="str">
        <f aca="false">IF($A370="","",MAX($D370-$E370,0))</f>
        <v/>
      </c>
      <c r="G370" s="173" t="str">
        <f aca="false">IF($A370="","",MAX($E370-$D370,0))</f>
        <v/>
      </c>
      <c r="H370" s="172" t="str">
        <f aca="false">IF($A370="","",IF($F370&gt;0,"Saldo Debit",IF($G370&gt;0,"Saldo Kredit","Zero")))</f>
        <v/>
      </c>
      <c r="I370" s="172" t="str">
        <f aca="false">IF($A370="","",IFERROR(VLOOKUP($A370,PLANI_LLOGARIVE!$A$2:$I$500,9,FALSE()),""))</f>
        <v/>
      </c>
      <c r="J370" s="101" t="str">
        <f aca="false">IF(A370="","",IF(OR(H370="Zero",I370="Debit/Credit"),"",IF(OR(AND(H370="Saldo Debit",I370="Debit"),AND(H370="Saldo Kredit",OR(I370="Credit",I370="Kredit"))),"","⚠️ JO NORMALE")))</f>
        <v/>
      </c>
    </row>
    <row r="371" customFormat="false" ht="12.75" hidden="false" customHeight="true" outlineLevel="0" collapsed="false">
      <c r="A371" s="174" t="str">
        <f aca="false">IF(AND(PLANI_LLOGARIVE!$A365&lt;&gt;"",PLANI_LLOGARIVE!$J365=TRUE()),PLANI_LLOGARIVE!$A365&amp;"","")</f>
        <v/>
      </c>
      <c r="B371" s="174" t="str">
        <f aca="false">IF($A371="","",IFERROR(VLOOKUP($A371,PLANI_LLOGARIVE!$A$2:$I$500,2,FALSE()),""))</f>
        <v/>
      </c>
      <c r="C371" s="174" t="str">
        <f aca="false">IF($A371="","",IFERROR(VLOOKUP($A371,PLANI_LLOGARIVE!$A$2:$I$500,4,FALSE()),""))</f>
        <v/>
      </c>
      <c r="D371" s="175" t="str">
        <f aca="false">IF($A371="","",SUMIFS(DITARI!$F$6:$F$550,DITARI!$D$6:$D$550,$A371))</f>
        <v/>
      </c>
      <c r="E371" s="175" t="str">
        <f aca="false">IF($A371="","",SUMIFS(DITARI!$G$6:$G$550,DITARI!$D$6:$D$550,$A371))</f>
        <v/>
      </c>
      <c r="F371" s="175" t="str">
        <f aca="false">IF($A371="","",MAX($D371-$E371,0))</f>
        <v/>
      </c>
      <c r="G371" s="175" t="str">
        <f aca="false">IF($A371="","",MAX($E371-$D371,0))</f>
        <v/>
      </c>
      <c r="H371" s="174" t="str">
        <f aca="false">IF($A371="","",IF($F371&gt;0,"Saldo Debit",IF($G371&gt;0,"Saldo Kredit","Zero")))</f>
        <v/>
      </c>
      <c r="I371" s="174" t="str">
        <f aca="false">IF($A371="","",IFERROR(VLOOKUP($A371,PLANI_LLOGARIVE!$A$2:$I$500,9,FALSE()),""))</f>
        <v/>
      </c>
      <c r="J371" s="101" t="str">
        <f aca="false">IF(A371="","",IF(OR(H371="Zero",I371="Debit/Credit"),"",IF(OR(AND(H371="Saldo Debit",I371="Debit"),AND(H371="Saldo Kredit",OR(I371="Credit",I371="Kredit"))),"","⚠️ JO NORMALE")))</f>
        <v/>
      </c>
    </row>
    <row r="372" customFormat="false" ht="12.75" hidden="false" customHeight="true" outlineLevel="0" collapsed="false">
      <c r="A372" s="172" t="str">
        <f aca="false">IF(AND(PLANI_LLOGARIVE!$A366&lt;&gt;"",PLANI_LLOGARIVE!$J366=TRUE()),PLANI_LLOGARIVE!$A366&amp;"","")</f>
        <v/>
      </c>
      <c r="B372" s="172" t="str">
        <f aca="false">IF($A372="","",IFERROR(VLOOKUP($A372,PLANI_LLOGARIVE!$A$2:$I$500,2,FALSE()),""))</f>
        <v/>
      </c>
      <c r="C372" s="172" t="str">
        <f aca="false">IF($A372="","",IFERROR(VLOOKUP($A372,PLANI_LLOGARIVE!$A$2:$I$500,4,FALSE()),""))</f>
        <v/>
      </c>
      <c r="D372" s="173" t="str">
        <f aca="false">IF($A372="","",SUMIFS(DITARI!$F$6:$F$550,DITARI!$D$6:$D$550,$A372))</f>
        <v/>
      </c>
      <c r="E372" s="173" t="str">
        <f aca="false">IF($A372="","",SUMIFS(DITARI!$G$6:$G$550,DITARI!$D$6:$D$550,$A372))</f>
        <v/>
      </c>
      <c r="F372" s="173" t="str">
        <f aca="false">IF($A372="","",MAX($D372-$E372,0))</f>
        <v/>
      </c>
      <c r="G372" s="173" t="str">
        <f aca="false">IF($A372="","",MAX($E372-$D372,0))</f>
        <v/>
      </c>
      <c r="H372" s="172" t="str">
        <f aca="false">IF($A372="","",IF($F372&gt;0,"Saldo Debit",IF($G372&gt;0,"Saldo Kredit","Zero")))</f>
        <v/>
      </c>
      <c r="I372" s="172" t="str">
        <f aca="false">IF($A372="","",IFERROR(VLOOKUP($A372,PLANI_LLOGARIVE!$A$2:$I$500,9,FALSE()),""))</f>
        <v/>
      </c>
      <c r="J372" s="101" t="str">
        <f aca="false">IF(A372="","",IF(OR(H372="Zero",I372="Debit/Credit"),"",IF(OR(AND(H372="Saldo Debit",I372="Debit"),AND(H372="Saldo Kredit",OR(I372="Credit",I372="Kredit"))),"","⚠️ JO NORMALE")))</f>
        <v/>
      </c>
    </row>
    <row r="373" customFormat="false" ht="12.75" hidden="false" customHeight="true" outlineLevel="0" collapsed="false">
      <c r="A373" s="174" t="str">
        <f aca="false">IF(AND(PLANI_LLOGARIVE!$A367&lt;&gt;"",PLANI_LLOGARIVE!$J367=TRUE()),PLANI_LLOGARIVE!$A367&amp;"","")</f>
        <v/>
      </c>
      <c r="B373" s="174" t="str">
        <f aca="false">IF($A373="","",IFERROR(VLOOKUP($A373,PLANI_LLOGARIVE!$A$2:$I$500,2,FALSE()),""))</f>
        <v/>
      </c>
      <c r="C373" s="174" t="str">
        <f aca="false">IF($A373="","",IFERROR(VLOOKUP($A373,PLANI_LLOGARIVE!$A$2:$I$500,4,FALSE()),""))</f>
        <v/>
      </c>
      <c r="D373" s="175" t="str">
        <f aca="false">IF($A373="","",SUMIFS(DITARI!$F$6:$F$550,DITARI!$D$6:$D$550,$A373))</f>
        <v/>
      </c>
      <c r="E373" s="175" t="str">
        <f aca="false">IF($A373="","",SUMIFS(DITARI!$G$6:$G$550,DITARI!$D$6:$D$550,$A373))</f>
        <v/>
      </c>
      <c r="F373" s="175" t="str">
        <f aca="false">IF($A373="","",MAX($D373-$E373,0))</f>
        <v/>
      </c>
      <c r="G373" s="175" t="str">
        <f aca="false">IF($A373="","",MAX($E373-$D373,0))</f>
        <v/>
      </c>
      <c r="H373" s="174" t="str">
        <f aca="false">IF($A373="","",IF($F373&gt;0,"Saldo Debit",IF($G373&gt;0,"Saldo Kredit","Zero")))</f>
        <v/>
      </c>
      <c r="I373" s="174" t="str">
        <f aca="false">IF($A373="","",IFERROR(VLOOKUP($A373,PLANI_LLOGARIVE!$A$2:$I$500,9,FALSE()),""))</f>
        <v/>
      </c>
      <c r="J373" s="101" t="str">
        <f aca="false">IF(A373="","",IF(OR(H373="Zero",I373="Debit/Credit"),"",IF(OR(AND(H373="Saldo Debit",I373="Debit"),AND(H373="Saldo Kredit",OR(I373="Credit",I373="Kredit"))),"","⚠️ JO NORMALE")))</f>
        <v/>
      </c>
    </row>
    <row r="374" customFormat="false" ht="12.75" hidden="false" customHeight="true" outlineLevel="0" collapsed="false">
      <c r="A374" s="172" t="str">
        <f aca="false">IF(AND(PLANI_LLOGARIVE!$A368&lt;&gt;"",PLANI_LLOGARIVE!$J368=TRUE()),PLANI_LLOGARIVE!$A368&amp;"","")</f>
        <v/>
      </c>
      <c r="B374" s="172" t="str">
        <f aca="false">IF($A374="","",IFERROR(VLOOKUP($A374,PLANI_LLOGARIVE!$A$2:$I$500,2,FALSE()),""))</f>
        <v/>
      </c>
      <c r="C374" s="172" t="str">
        <f aca="false">IF($A374="","",IFERROR(VLOOKUP($A374,PLANI_LLOGARIVE!$A$2:$I$500,4,FALSE()),""))</f>
        <v/>
      </c>
      <c r="D374" s="173" t="str">
        <f aca="false">IF($A374="","",SUMIFS(DITARI!$F$6:$F$550,DITARI!$D$6:$D$550,$A374))</f>
        <v/>
      </c>
      <c r="E374" s="173" t="str">
        <f aca="false">IF($A374="","",SUMIFS(DITARI!$G$6:$G$550,DITARI!$D$6:$D$550,$A374))</f>
        <v/>
      </c>
      <c r="F374" s="173" t="str">
        <f aca="false">IF($A374="","",MAX($D374-$E374,0))</f>
        <v/>
      </c>
      <c r="G374" s="173" t="str">
        <f aca="false">IF($A374="","",MAX($E374-$D374,0))</f>
        <v/>
      </c>
      <c r="H374" s="172" t="str">
        <f aca="false">IF($A374="","",IF($F374&gt;0,"Saldo Debit",IF($G374&gt;0,"Saldo Kredit","Zero")))</f>
        <v/>
      </c>
      <c r="I374" s="172" t="str">
        <f aca="false">IF($A374="","",IFERROR(VLOOKUP($A374,PLANI_LLOGARIVE!$A$2:$I$500,9,FALSE()),""))</f>
        <v/>
      </c>
      <c r="J374" s="101" t="str">
        <f aca="false">IF(A374="","",IF(OR(H374="Zero",I374="Debit/Credit"),"",IF(OR(AND(H374="Saldo Debit",I374="Debit"),AND(H374="Saldo Kredit",OR(I374="Credit",I374="Kredit"))),"","⚠️ JO NORMALE")))</f>
        <v/>
      </c>
    </row>
    <row r="375" customFormat="false" ht="12.75" hidden="false" customHeight="true" outlineLevel="0" collapsed="false">
      <c r="A375" s="174" t="str">
        <f aca="false">IF(AND(PLANI_LLOGARIVE!$A369&lt;&gt;"",PLANI_LLOGARIVE!$J369=TRUE()),PLANI_LLOGARIVE!$A369&amp;"","")</f>
        <v/>
      </c>
      <c r="B375" s="174" t="str">
        <f aca="false">IF($A375="","",IFERROR(VLOOKUP($A375,PLANI_LLOGARIVE!$A$2:$I$500,2,FALSE()),""))</f>
        <v/>
      </c>
      <c r="C375" s="174" t="str">
        <f aca="false">IF($A375="","",IFERROR(VLOOKUP($A375,PLANI_LLOGARIVE!$A$2:$I$500,4,FALSE()),""))</f>
        <v/>
      </c>
      <c r="D375" s="175" t="str">
        <f aca="false">IF($A375="","",SUMIFS(DITARI!$F$6:$F$550,DITARI!$D$6:$D$550,$A375))</f>
        <v/>
      </c>
      <c r="E375" s="175" t="str">
        <f aca="false">IF($A375="","",SUMIFS(DITARI!$G$6:$G$550,DITARI!$D$6:$D$550,$A375))</f>
        <v/>
      </c>
      <c r="F375" s="175" t="str">
        <f aca="false">IF($A375="","",MAX($D375-$E375,0))</f>
        <v/>
      </c>
      <c r="G375" s="175" t="str">
        <f aca="false">IF($A375="","",MAX($E375-$D375,0))</f>
        <v/>
      </c>
      <c r="H375" s="174" t="str">
        <f aca="false">IF($A375="","",IF($F375&gt;0,"Saldo Debit",IF($G375&gt;0,"Saldo Kredit","Zero")))</f>
        <v/>
      </c>
      <c r="I375" s="174" t="str">
        <f aca="false">IF($A375="","",IFERROR(VLOOKUP($A375,PLANI_LLOGARIVE!$A$2:$I$500,9,FALSE()),""))</f>
        <v/>
      </c>
      <c r="J375" s="101" t="str">
        <f aca="false">IF(A375="","",IF(OR(H375="Zero",I375="Debit/Credit"),"",IF(OR(AND(H375="Saldo Debit",I375="Debit"),AND(H375="Saldo Kredit",OR(I375="Credit",I375="Kredit"))),"","⚠️ JO NORMALE")))</f>
        <v/>
      </c>
    </row>
    <row r="376" customFormat="false" ht="12.75" hidden="false" customHeight="true" outlineLevel="0" collapsed="false">
      <c r="A376" s="172" t="str">
        <f aca="false">IF(AND(PLANI_LLOGARIVE!$A370&lt;&gt;"",PLANI_LLOGARIVE!$J370=TRUE()),PLANI_LLOGARIVE!$A370&amp;"","")</f>
        <v/>
      </c>
      <c r="B376" s="172" t="str">
        <f aca="false">IF($A376="","",IFERROR(VLOOKUP($A376,PLANI_LLOGARIVE!$A$2:$I$500,2,FALSE()),""))</f>
        <v/>
      </c>
      <c r="C376" s="172" t="str">
        <f aca="false">IF($A376="","",IFERROR(VLOOKUP($A376,PLANI_LLOGARIVE!$A$2:$I$500,4,FALSE()),""))</f>
        <v/>
      </c>
      <c r="D376" s="173" t="str">
        <f aca="false">IF($A376="","",SUMIFS(DITARI!$F$6:$F$550,DITARI!$D$6:$D$550,$A376))</f>
        <v/>
      </c>
      <c r="E376" s="173" t="str">
        <f aca="false">IF($A376="","",SUMIFS(DITARI!$G$6:$G$550,DITARI!$D$6:$D$550,$A376))</f>
        <v/>
      </c>
      <c r="F376" s="173" t="str">
        <f aca="false">IF($A376="","",MAX($D376-$E376,0))</f>
        <v/>
      </c>
      <c r="G376" s="173" t="str">
        <f aca="false">IF($A376="","",MAX($E376-$D376,0))</f>
        <v/>
      </c>
      <c r="H376" s="172" t="str">
        <f aca="false">IF($A376="","",IF($F376&gt;0,"Saldo Debit",IF($G376&gt;0,"Saldo Kredit","Zero")))</f>
        <v/>
      </c>
      <c r="I376" s="172" t="str">
        <f aca="false">IF($A376="","",IFERROR(VLOOKUP($A376,PLANI_LLOGARIVE!$A$2:$I$500,9,FALSE()),""))</f>
        <v/>
      </c>
      <c r="J376" s="101" t="str">
        <f aca="false">IF(A376="","",IF(OR(H376="Zero",I376="Debit/Credit"),"",IF(OR(AND(H376="Saldo Debit",I376="Debit"),AND(H376="Saldo Kredit",OR(I376="Credit",I376="Kredit"))),"","⚠️ JO NORMALE")))</f>
        <v/>
      </c>
    </row>
    <row r="377" customFormat="false" ht="12.75" hidden="false" customHeight="true" outlineLevel="0" collapsed="false">
      <c r="A377" s="174" t="str">
        <f aca="false">IF(AND(PLANI_LLOGARIVE!$A371&lt;&gt;"",PLANI_LLOGARIVE!$J371=TRUE()),PLANI_LLOGARIVE!$A371&amp;"","")</f>
        <v/>
      </c>
      <c r="B377" s="174" t="str">
        <f aca="false">IF($A377="","",IFERROR(VLOOKUP($A377,PLANI_LLOGARIVE!$A$2:$I$500,2,FALSE()),""))</f>
        <v/>
      </c>
      <c r="C377" s="174" t="str">
        <f aca="false">IF($A377="","",IFERROR(VLOOKUP($A377,PLANI_LLOGARIVE!$A$2:$I$500,4,FALSE()),""))</f>
        <v/>
      </c>
      <c r="D377" s="175" t="str">
        <f aca="false">IF($A377="","",SUMIFS(DITARI!$F$6:$F$550,DITARI!$D$6:$D$550,$A377))</f>
        <v/>
      </c>
      <c r="E377" s="175" t="str">
        <f aca="false">IF($A377="","",SUMIFS(DITARI!$G$6:$G$550,DITARI!$D$6:$D$550,$A377))</f>
        <v/>
      </c>
      <c r="F377" s="175" t="str">
        <f aca="false">IF($A377="","",MAX($D377-$E377,0))</f>
        <v/>
      </c>
      <c r="G377" s="175" t="str">
        <f aca="false">IF($A377="","",MAX($E377-$D377,0))</f>
        <v/>
      </c>
      <c r="H377" s="174" t="str">
        <f aca="false">IF($A377="","",IF($F377&gt;0,"Saldo Debit",IF($G377&gt;0,"Saldo Kredit","Zero")))</f>
        <v/>
      </c>
      <c r="I377" s="174" t="str">
        <f aca="false">IF($A377="","",IFERROR(VLOOKUP($A377,PLANI_LLOGARIVE!$A$2:$I$500,9,FALSE()),""))</f>
        <v/>
      </c>
      <c r="J377" s="101" t="str">
        <f aca="false">IF(A377="","",IF(OR(H377="Zero",I377="Debit/Credit"),"",IF(OR(AND(H377="Saldo Debit",I377="Debit"),AND(H377="Saldo Kredit",OR(I377="Credit",I377="Kredit"))),"","⚠️ JO NORMALE")))</f>
        <v/>
      </c>
    </row>
    <row r="378" customFormat="false" ht="12.75" hidden="false" customHeight="true" outlineLevel="0" collapsed="false">
      <c r="A378" s="172" t="str">
        <f aca="false">IF(AND(PLANI_LLOGARIVE!$A372&lt;&gt;"",PLANI_LLOGARIVE!$J372=TRUE()),PLANI_LLOGARIVE!$A372&amp;"","")</f>
        <v/>
      </c>
      <c r="B378" s="172" t="str">
        <f aca="false">IF($A378="","",IFERROR(VLOOKUP($A378,PLANI_LLOGARIVE!$A$2:$I$500,2,FALSE()),""))</f>
        <v/>
      </c>
      <c r="C378" s="172" t="str">
        <f aca="false">IF($A378="","",IFERROR(VLOOKUP($A378,PLANI_LLOGARIVE!$A$2:$I$500,4,FALSE()),""))</f>
        <v/>
      </c>
      <c r="D378" s="173" t="str">
        <f aca="false">IF($A378="","",SUMIFS(DITARI!$F$6:$F$550,DITARI!$D$6:$D$550,$A378))</f>
        <v/>
      </c>
      <c r="E378" s="173" t="str">
        <f aca="false">IF($A378="","",SUMIFS(DITARI!$G$6:$G$550,DITARI!$D$6:$D$550,$A378))</f>
        <v/>
      </c>
      <c r="F378" s="173" t="str">
        <f aca="false">IF($A378="","",MAX($D378-$E378,0))</f>
        <v/>
      </c>
      <c r="G378" s="173" t="str">
        <f aca="false">IF($A378="","",MAX($E378-$D378,0))</f>
        <v/>
      </c>
      <c r="H378" s="172" t="str">
        <f aca="false">IF($A378="","",IF($F378&gt;0,"Saldo Debit",IF($G378&gt;0,"Saldo Kredit","Zero")))</f>
        <v/>
      </c>
      <c r="I378" s="172" t="str">
        <f aca="false">IF($A378="","",IFERROR(VLOOKUP($A378,PLANI_LLOGARIVE!$A$2:$I$500,9,FALSE()),""))</f>
        <v/>
      </c>
      <c r="J378" s="101" t="str">
        <f aca="false">IF(A378="","",IF(OR(H378="Zero",I378="Debit/Credit"),"",IF(OR(AND(H378="Saldo Debit",I378="Debit"),AND(H378="Saldo Kredit",OR(I378="Credit",I378="Kredit"))),"","⚠️ JO NORMALE")))</f>
        <v/>
      </c>
    </row>
    <row r="379" customFormat="false" ht="12.75" hidden="false" customHeight="true" outlineLevel="0" collapsed="false">
      <c r="A379" s="174" t="str">
        <f aca="false">IF(AND(PLANI_LLOGARIVE!$A373&lt;&gt;"",PLANI_LLOGARIVE!$J373=TRUE()),PLANI_LLOGARIVE!$A373&amp;"","")</f>
        <v/>
      </c>
      <c r="B379" s="174" t="str">
        <f aca="false">IF($A379="","",IFERROR(VLOOKUP($A379,PLANI_LLOGARIVE!$A$2:$I$500,2,FALSE()),""))</f>
        <v/>
      </c>
      <c r="C379" s="174" t="str">
        <f aca="false">IF($A379="","",IFERROR(VLOOKUP($A379,PLANI_LLOGARIVE!$A$2:$I$500,4,FALSE()),""))</f>
        <v/>
      </c>
      <c r="D379" s="175" t="str">
        <f aca="false">IF($A379="","",SUMIFS(DITARI!$F$6:$F$550,DITARI!$D$6:$D$550,$A379))</f>
        <v/>
      </c>
      <c r="E379" s="175" t="str">
        <f aca="false">IF($A379="","",SUMIFS(DITARI!$G$6:$G$550,DITARI!$D$6:$D$550,$A379))</f>
        <v/>
      </c>
      <c r="F379" s="175" t="str">
        <f aca="false">IF($A379="","",MAX($D379-$E379,0))</f>
        <v/>
      </c>
      <c r="G379" s="175" t="str">
        <f aca="false">IF($A379="","",MAX($E379-$D379,0))</f>
        <v/>
      </c>
      <c r="H379" s="174" t="str">
        <f aca="false">IF($A379="","",IF($F379&gt;0,"Saldo Debit",IF($G379&gt;0,"Saldo Kredit","Zero")))</f>
        <v/>
      </c>
      <c r="I379" s="174" t="str">
        <f aca="false">IF($A379="","",IFERROR(VLOOKUP($A379,PLANI_LLOGARIVE!$A$2:$I$500,9,FALSE()),""))</f>
        <v/>
      </c>
      <c r="J379" s="101" t="str">
        <f aca="false">IF(A379="","",IF(OR(H379="Zero",I379="Debit/Credit"),"",IF(OR(AND(H379="Saldo Debit",I379="Debit"),AND(H379="Saldo Kredit",OR(I379="Credit",I379="Kredit"))),"","⚠️ JO NORMALE")))</f>
        <v/>
      </c>
    </row>
    <row r="380" customFormat="false" ht="12.75" hidden="false" customHeight="true" outlineLevel="0" collapsed="false">
      <c r="A380" s="172" t="str">
        <f aca="false">IF(AND(PLANI_LLOGARIVE!$A374&lt;&gt;"",PLANI_LLOGARIVE!$J374=TRUE()),PLANI_LLOGARIVE!$A374&amp;"","")</f>
        <v/>
      </c>
      <c r="B380" s="172" t="str">
        <f aca="false">IF($A380="","",IFERROR(VLOOKUP($A380,PLANI_LLOGARIVE!$A$2:$I$500,2,FALSE()),""))</f>
        <v/>
      </c>
      <c r="C380" s="172" t="str">
        <f aca="false">IF($A380="","",IFERROR(VLOOKUP($A380,PLANI_LLOGARIVE!$A$2:$I$500,4,FALSE()),""))</f>
        <v/>
      </c>
      <c r="D380" s="173" t="str">
        <f aca="false">IF($A380="","",SUMIFS(DITARI!$F$6:$F$550,DITARI!$D$6:$D$550,$A380))</f>
        <v/>
      </c>
      <c r="E380" s="173" t="str">
        <f aca="false">IF($A380="","",SUMIFS(DITARI!$G$6:$G$550,DITARI!$D$6:$D$550,$A380))</f>
        <v/>
      </c>
      <c r="F380" s="173" t="str">
        <f aca="false">IF($A380="","",MAX($D380-$E380,0))</f>
        <v/>
      </c>
      <c r="G380" s="173" t="str">
        <f aca="false">IF($A380="","",MAX($E380-$D380,0))</f>
        <v/>
      </c>
      <c r="H380" s="172" t="str">
        <f aca="false">IF($A380="","",IF($F380&gt;0,"Saldo Debit",IF($G380&gt;0,"Saldo Kredit","Zero")))</f>
        <v/>
      </c>
      <c r="I380" s="172" t="str">
        <f aca="false">IF($A380="","",IFERROR(VLOOKUP($A380,PLANI_LLOGARIVE!$A$2:$I$500,9,FALSE()),""))</f>
        <v/>
      </c>
      <c r="J380" s="101" t="str">
        <f aca="false">IF(A380="","",IF(OR(H380="Zero",I380="Debit/Credit"),"",IF(OR(AND(H380="Saldo Debit",I380="Debit"),AND(H380="Saldo Kredit",OR(I380="Credit",I380="Kredit"))),"","⚠️ JO NORMALE")))</f>
        <v/>
      </c>
    </row>
    <row r="381" customFormat="false" ht="12.75" hidden="false" customHeight="true" outlineLevel="0" collapsed="false">
      <c r="A381" s="174" t="str">
        <f aca="false">IF(AND(PLANI_LLOGARIVE!$A375&lt;&gt;"",PLANI_LLOGARIVE!$J375=TRUE()),PLANI_LLOGARIVE!$A375&amp;"","")</f>
        <v/>
      </c>
      <c r="B381" s="174" t="str">
        <f aca="false">IF($A381="","",IFERROR(VLOOKUP($A381,PLANI_LLOGARIVE!$A$2:$I$500,2,FALSE()),""))</f>
        <v/>
      </c>
      <c r="C381" s="174" t="str">
        <f aca="false">IF($A381="","",IFERROR(VLOOKUP($A381,PLANI_LLOGARIVE!$A$2:$I$500,4,FALSE()),""))</f>
        <v/>
      </c>
      <c r="D381" s="175" t="str">
        <f aca="false">IF($A381="","",SUMIFS(DITARI!$F$6:$F$550,DITARI!$D$6:$D$550,$A381))</f>
        <v/>
      </c>
      <c r="E381" s="175" t="str">
        <f aca="false">IF($A381="","",SUMIFS(DITARI!$G$6:$G$550,DITARI!$D$6:$D$550,$A381))</f>
        <v/>
      </c>
      <c r="F381" s="175" t="str">
        <f aca="false">IF($A381="","",MAX($D381-$E381,0))</f>
        <v/>
      </c>
      <c r="G381" s="175" t="str">
        <f aca="false">IF($A381="","",MAX($E381-$D381,0))</f>
        <v/>
      </c>
      <c r="H381" s="174" t="str">
        <f aca="false">IF($A381="","",IF($F381&gt;0,"Saldo Debit",IF($G381&gt;0,"Saldo Kredit","Zero")))</f>
        <v/>
      </c>
      <c r="I381" s="174" t="str">
        <f aca="false">IF($A381="","",IFERROR(VLOOKUP($A381,PLANI_LLOGARIVE!$A$2:$I$500,9,FALSE()),""))</f>
        <v/>
      </c>
      <c r="J381" s="101" t="str">
        <f aca="false">IF(A381="","",IF(OR(H381="Zero",I381="Debit/Credit"),"",IF(OR(AND(H381="Saldo Debit",I381="Debit"),AND(H381="Saldo Kredit",OR(I381="Credit",I381="Kredit"))),"","⚠️ JO NORMALE")))</f>
        <v/>
      </c>
    </row>
    <row r="382" customFormat="false" ht="12.75" hidden="false" customHeight="true" outlineLevel="0" collapsed="false">
      <c r="A382" s="172" t="str">
        <f aca="false">IF(AND(PLANI_LLOGARIVE!$A376&lt;&gt;"",PLANI_LLOGARIVE!$J376=TRUE()),PLANI_LLOGARIVE!$A376&amp;"","")</f>
        <v/>
      </c>
      <c r="B382" s="172" t="str">
        <f aca="false">IF($A382="","",IFERROR(VLOOKUP($A382,PLANI_LLOGARIVE!$A$2:$I$500,2,FALSE()),""))</f>
        <v/>
      </c>
      <c r="C382" s="172" t="str">
        <f aca="false">IF($A382="","",IFERROR(VLOOKUP($A382,PLANI_LLOGARIVE!$A$2:$I$500,4,FALSE()),""))</f>
        <v/>
      </c>
      <c r="D382" s="173" t="str">
        <f aca="false">IF($A382="","",SUMIFS(DITARI!$F$6:$F$550,DITARI!$D$6:$D$550,$A382))</f>
        <v/>
      </c>
      <c r="E382" s="173" t="str">
        <f aca="false">IF($A382="","",SUMIFS(DITARI!$G$6:$G$550,DITARI!$D$6:$D$550,$A382))</f>
        <v/>
      </c>
      <c r="F382" s="173" t="str">
        <f aca="false">IF($A382="","",MAX($D382-$E382,0))</f>
        <v/>
      </c>
      <c r="G382" s="173" t="str">
        <f aca="false">IF($A382="","",MAX($E382-$D382,0))</f>
        <v/>
      </c>
      <c r="H382" s="172" t="str">
        <f aca="false">IF($A382="","",IF($F382&gt;0,"Saldo Debit",IF($G382&gt;0,"Saldo Kredit","Zero")))</f>
        <v/>
      </c>
      <c r="I382" s="172" t="str">
        <f aca="false">IF($A382="","",IFERROR(VLOOKUP($A382,PLANI_LLOGARIVE!$A$2:$I$500,9,FALSE()),""))</f>
        <v/>
      </c>
      <c r="J382" s="101" t="str">
        <f aca="false">IF(A382="","",IF(OR(H382="Zero",I382="Debit/Credit"),"",IF(OR(AND(H382="Saldo Debit",I382="Debit"),AND(H382="Saldo Kredit",OR(I382="Credit",I382="Kredit"))),"","⚠️ JO NORMALE")))</f>
        <v/>
      </c>
    </row>
    <row r="383" customFormat="false" ht="12.75" hidden="false" customHeight="true" outlineLevel="0" collapsed="false">
      <c r="A383" s="174" t="str">
        <f aca="false">IF(AND(PLANI_LLOGARIVE!$A377&lt;&gt;"",PLANI_LLOGARIVE!$J377=TRUE()),PLANI_LLOGARIVE!$A377&amp;"","")</f>
        <v/>
      </c>
      <c r="B383" s="174" t="str">
        <f aca="false">IF($A383="","",IFERROR(VLOOKUP($A383,PLANI_LLOGARIVE!$A$2:$I$500,2,FALSE()),""))</f>
        <v/>
      </c>
      <c r="C383" s="174" t="str">
        <f aca="false">IF($A383="","",IFERROR(VLOOKUP($A383,PLANI_LLOGARIVE!$A$2:$I$500,4,FALSE()),""))</f>
        <v/>
      </c>
      <c r="D383" s="175" t="str">
        <f aca="false">IF($A383="","",SUMIFS(DITARI!$F$6:$F$550,DITARI!$D$6:$D$550,$A383))</f>
        <v/>
      </c>
      <c r="E383" s="175" t="str">
        <f aca="false">IF($A383="","",SUMIFS(DITARI!$G$6:$G$550,DITARI!$D$6:$D$550,$A383))</f>
        <v/>
      </c>
      <c r="F383" s="175" t="str">
        <f aca="false">IF($A383="","",MAX($D383-$E383,0))</f>
        <v/>
      </c>
      <c r="G383" s="175" t="str">
        <f aca="false">IF($A383="","",MAX($E383-$D383,0))</f>
        <v/>
      </c>
      <c r="H383" s="174" t="str">
        <f aca="false">IF($A383="","",IF($F383&gt;0,"Saldo Debit",IF($G383&gt;0,"Saldo Kredit","Zero")))</f>
        <v/>
      </c>
      <c r="I383" s="174" t="str">
        <f aca="false">IF($A383="","",IFERROR(VLOOKUP($A383,PLANI_LLOGARIVE!$A$2:$I$500,9,FALSE()),""))</f>
        <v/>
      </c>
      <c r="J383" s="101" t="str">
        <f aca="false">IF(A383="","",IF(OR(H383="Zero",I383="Debit/Credit"),"",IF(OR(AND(H383="Saldo Debit",I383="Debit"),AND(H383="Saldo Kredit",OR(I383="Credit",I383="Kredit"))),"","⚠️ JO NORMALE")))</f>
        <v/>
      </c>
    </row>
    <row r="384" customFormat="false" ht="12.75" hidden="false" customHeight="true" outlineLevel="0" collapsed="false">
      <c r="A384" s="172" t="str">
        <f aca="false">IF(AND(PLANI_LLOGARIVE!$A378&lt;&gt;"",PLANI_LLOGARIVE!$J378=TRUE()),PLANI_LLOGARIVE!$A378&amp;"","")</f>
        <v/>
      </c>
      <c r="B384" s="172" t="str">
        <f aca="false">IF($A384="","",IFERROR(VLOOKUP($A384,PLANI_LLOGARIVE!$A$2:$I$500,2,FALSE()),""))</f>
        <v/>
      </c>
      <c r="C384" s="172" t="str">
        <f aca="false">IF($A384="","",IFERROR(VLOOKUP($A384,PLANI_LLOGARIVE!$A$2:$I$500,4,FALSE()),""))</f>
        <v/>
      </c>
      <c r="D384" s="173" t="str">
        <f aca="false">IF($A384="","",SUMIFS(DITARI!$F$6:$F$550,DITARI!$D$6:$D$550,$A384))</f>
        <v/>
      </c>
      <c r="E384" s="173" t="str">
        <f aca="false">IF($A384="","",SUMIFS(DITARI!$G$6:$G$550,DITARI!$D$6:$D$550,$A384))</f>
        <v/>
      </c>
      <c r="F384" s="173" t="str">
        <f aca="false">IF($A384="","",MAX($D384-$E384,0))</f>
        <v/>
      </c>
      <c r="G384" s="173" t="str">
        <f aca="false">IF($A384="","",MAX($E384-$D384,0))</f>
        <v/>
      </c>
      <c r="H384" s="172" t="str">
        <f aca="false">IF($A384="","",IF($F384&gt;0,"Saldo Debit",IF($G384&gt;0,"Saldo Kredit","Zero")))</f>
        <v/>
      </c>
      <c r="I384" s="172" t="str">
        <f aca="false">IF($A384="","",IFERROR(VLOOKUP($A384,PLANI_LLOGARIVE!$A$2:$I$500,9,FALSE()),""))</f>
        <v/>
      </c>
      <c r="J384" s="101" t="str">
        <f aca="false">IF(A384="","",IF(OR(H384="Zero",I384="Debit/Credit"),"",IF(OR(AND(H384="Saldo Debit",I384="Debit"),AND(H384="Saldo Kredit",OR(I384="Credit",I384="Kredit"))),"","⚠️ JO NORMALE")))</f>
        <v/>
      </c>
    </row>
    <row r="385" customFormat="false" ht="12.75" hidden="false" customHeight="true" outlineLevel="0" collapsed="false">
      <c r="A385" s="174" t="str">
        <f aca="false">IF(AND(PLANI_LLOGARIVE!$A379&lt;&gt;"",PLANI_LLOGARIVE!$J379=TRUE()),PLANI_LLOGARIVE!$A379&amp;"","")</f>
        <v/>
      </c>
      <c r="B385" s="174" t="str">
        <f aca="false">IF($A385="","",IFERROR(VLOOKUP($A385,PLANI_LLOGARIVE!$A$2:$I$500,2,FALSE()),""))</f>
        <v/>
      </c>
      <c r="C385" s="174" t="str">
        <f aca="false">IF($A385="","",IFERROR(VLOOKUP($A385,PLANI_LLOGARIVE!$A$2:$I$500,4,FALSE()),""))</f>
        <v/>
      </c>
      <c r="D385" s="175" t="str">
        <f aca="false">IF($A385="","",SUMIFS(DITARI!$F$6:$F$550,DITARI!$D$6:$D$550,$A385))</f>
        <v/>
      </c>
      <c r="E385" s="175" t="str">
        <f aca="false">IF($A385="","",SUMIFS(DITARI!$G$6:$G$550,DITARI!$D$6:$D$550,$A385))</f>
        <v/>
      </c>
      <c r="F385" s="175" t="str">
        <f aca="false">IF($A385="","",MAX($D385-$E385,0))</f>
        <v/>
      </c>
      <c r="G385" s="175" t="str">
        <f aca="false">IF($A385="","",MAX($E385-$D385,0))</f>
        <v/>
      </c>
      <c r="H385" s="174" t="str">
        <f aca="false">IF($A385="","",IF($F385&gt;0,"Saldo Debit",IF($G385&gt;0,"Saldo Kredit","Zero")))</f>
        <v/>
      </c>
      <c r="I385" s="174" t="str">
        <f aca="false">IF($A385="","",IFERROR(VLOOKUP($A385,PLANI_LLOGARIVE!$A$2:$I$500,9,FALSE()),""))</f>
        <v/>
      </c>
      <c r="J385" s="101" t="str">
        <f aca="false">IF(A385="","",IF(OR(H385="Zero",I385="Debit/Credit"),"",IF(OR(AND(H385="Saldo Debit",I385="Debit"),AND(H385="Saldo Kredit",OR(I385="Credit",I385="Kredit"))),"","⚠️ JO NORMALE")))</f>
        <v/>
      </c>
    </row>
    <row r="386" customFormat="false" ht="12.75" hidden="false" customHeight="true" outlineLevel="0" collapsed="false">
      <c r="A386" s="172" t="str">
        <f aca="false">IF(AND(PLANI_LLOGARIVE!$A380&lt;&gt;"",PLANI_LLOGARIVE!$J380=TRUE()),PLANI_LLOGARIVE!$A380&amp;"","")</f>
        <v/>
      </c>
      <c r="B386" s="172" t="str">
        <f aca="false">IF($A386="","",IFERROR(VLOOKUP($A386,PLANI_LLOGARIVE!$A$2:$I$500,2,FALSE()),""))</f>
        <v/>
      </c>
      <c r="C386" s="172" t="str">
        <f aca="false">IF($A386="","",IFERROR(VLOOKUP($A386,PLANI_LLOGARIVE!$A$2:$I$500,4,FALSE()),""))</f>
        <v/>
      </c>
      <c r="D386" s="173" t="str">
        <f aca="false">IF($A386="","",SUMIFS(DITARI!$F$6:$F$550,DITARI!$D$6:$D$550,$A386))</f>
        <v/>
      </c>
      <c r="E386" s="173" t="str">
        <f aca="false">IF($A386="","",SUMIFS(DITARI!$G$6:$G$550,DITARI!$D$6:$D$550,$A386))</f>
        <v/>
      </c>
      <c r="F386" s="173" t="str">
        <f aca="false">IF($A386="","",MAX($D386-$E386,0))</f>
        <v/>
      </c>
      <c r="G386" s="173" t="str">
        <f aca="false">IF($A386="","",MAX($E386-$D386,0))</f>
        <v/>
      </c>
      <c r="H386" s="172" t="str">
        <f aca="false">IF($A386="","",IF($F386&gt;0,"Saldo Debit",IF($G386&gt;0,"Saldo Kredit","Zero")))</f>
        <v/>
      </c>
      <c r="I386" s="172" t="str">
        <f aca="false">IF($A386="","",IFERROR(VLOOKUP($A386,PLANI_LLOGARIVE!$A$2:$I$500,9,FALSE()),""))</f>
        <v/>
      </c>
      <c r="J386" s="101" t="str">
        <f aca="false">IF(A386="","",IF(OR(H386="Zero",I386="Debit/Credit"),"",IF(OR(AND(H386="Saldo Debit",I386="Debit"),AND(H386="Saldo Kredit",OR(I386="Credit",I386="Kredit"))),"","⚠️ JO NORMALE")))</f>
        <v/>
      </c>
    </row>
    <row r="387" customFormat="false" ht="12.75" hidden="false" customHeight="true" outlineLevel="0" collapsed="false">
      <c r="A387" s="174" t="str">
        <f aca="false">IF(AND(PLANI_LLOGARIVE!$A381&lt;&gt;"",PLANI_LLOGARIVE!$J381=TRUE()),PLANI_LLOGARIVE!$A381&amp;"","")</f>
        <v/>
      </c>
      <c r="B387" s="174" t="str">
        <f aca="false">IF($A387="","",IFERROR(VLOOKUP($A387,PLANI_LLOGARIVE!$A$2:$I$500,2,FALSE()),""))</f>
        <v/>
      </c>
      <c r="C387" s="174" t="str">
        <f aca="false">IF($A387="","",IFERROR(VLOOKUP($A387,PLANI_LLOGARIVE!$A$2:$I$500,4,FALSE()),""))</f>
        <v/>
      </c>
      <c r="D387" s="175" t="str">
        <f aca="false">IF($A387="","",SUMIFS(DITARI!$F$6:$F$550,DITARI!$D$6:$D$550,$A387))</f>
        <v/>
      </c>
      <c r="E387" s="175" t="str">
        <f aca="false">IF($A387="","",SUMIFS(DITARI!$G$6:$G$550,DITARI!$D$6:$D$550,$A387))</f>
        <v/>
      </c>
      <c r="F387" s="175" t="str">
        <f aca="false">IF($A387="","",MAX($D387-$E387,0))</f>
        <v/>
      </c>
      <c r="G387" s="175" t="str">
        <f aca="false">IF($A387="","",MAX($E387-$D387,0))</f>
        <v/>
      </c>
      <c r="H387" s="174" t="str">
        <f aca="false">IF($A387="","",IF($F387&gt;0,"Saldo Debit",IF($G387&gt;0,"Saldo Kredit","Zero")))</f>
        <v/>
      </c>
      <c r="I387" s="174" t="str">
        <f aca="false">IF($A387="","",IFERROR(VLOOKUP($A387,PLANI_LLOGARIVE!$A$2:$I$500,9,FALSE()),""))</f>
        <v/>
      </c>
      <c r="J387" s="101" t="str">
        <f aca="false">IF(A387="","",IF(OR(H387="Zero",I387="Debit/Credit"),"",IF(OR(AND(H387="Saldo Debit",I387="Debit"),AND(H387="Saldo Kredit",OR(I387="Credit",I387="Kredit"))),"","⚠️ JO NORMALE")))</f>
        <v/>
      </c>
    </row>
    <row r="388" customFormat="false" ht="12.75" hidden="false" customHeight="true" outlineLevel="0" collapsed="false">
      <c r="A388" s="172" t="str">
        <f aca="false">IF(AND(PLANI_LLOGARIVE!$A382&lt;&gt;"",PLANI_LLOGARIVE!$J382=TRUE()),PLANI_LLOGARIVE!$A382&amp;"","")</f>
        <v/>
      </c>
      <c r="B388" s="172" t="str">
        <f aca="false">IF($A388="","",IFERROR(VLOOKUP($A388,PLANI_LLOGARIVE!$A$2:$I$500,2,FALSE()),""))</f>
        <v/>
      </c>
      <c r="C388" s="172" t="str">
        <f aca="false">IF($A388="","",IFERROR(VLOOKUP($A388,PLANI_LLOGARIVE!$A$2:$I$500,4,FALSE()),""))</f>
        <v/>
      </c>
      <c r="D388" s="173" t="str">
        <f aca="false">IF($A388="","",SUMIFS(DITARI!$F$6:$F$550,DITARI!$D$6:$D$550,$A388))</f>
        <v/>
      </c>
      <c r="E388" s="173" t="str">
        <f aca="false">IF($A388="","",SUMIFS(DITARI!$G$6:$G$550,DITARI!$D$6:$D$550,$A388))</f>
        <v/>
      </c>
      <c r="F388" s="173" t="str">
        <f aca="false">IF($A388="","",MAX($D388-$E388,0))</f>
        <v/>
      </c>
      <c r="G388" s="173" t="str">
        <f aca="false">IF($A388="","",MAX($E388-$D388,0))</f>
        <v/>
      </c>
      <c r="H388" s="172" t="str">
        <f aca="false">IF($A388="","",IF($F388&gt;0,"Saldo Debit",IF($G388&gt;0,"Saldo Kredit","Zero")))</f>
        <v/>
      </c>
      <c r="I388" s="172" t="str">
        <f aca="false">IF($A388="","",IFERROR(VLOOKUP($A388,PLANI_LLOGARIVE!$A$2:$I$500,9,FALSE()),""))</f>
        <v/>
      </c>
      <c r="J388" s="101" t="str">
        <f aca="false">IF(A388="","",IF(OR(H388="Zero",I388="Debit/Credit"),"",IF(OR(AND(H388="Saldo Debit",I388="Debit"),AND(H388="Saldo Kredit",OR(I388="Credit",I388="Kredit"))),"","⚠️ JO NORMALE")))</f>
        <v/>
      </c>
    </row>
    <row r="389" customFormat="false" ht="12.75" hidden="false" customHeight="true" outlineLevel="0" collapsed="false">
      <c r="A389" s="174" t="str">
        <f aca="false">IF(AND(PLANI_LLOGARIVE!$A383&lt;&gt;"",PLANI_LLOGARIVE!$J383=TRUE()),PLANI_LLOGARIVE!$A383&amp;"","")</f>
        <v/>
      </c>
      <c r="B389" s="174" t="str">
        <f aca="false">IF($A389="","",IFERROR(VLOOKUP($A389,PLANI_LLOGARIVE!$A$2:$I$500,2,FALSE()),""))</f>
        <v/>
      </c>
      <c r="C389" s="174" t="str">
        <f aca="false">IF($A389="","",IFERROR(VLOOKUP($A389,PLANI_LLOGARIVE!$A$2:$I$500,4,FALSE()),""))</f>
        <v/>
      </c>
      <c r="D389" s="175" t="str">
        <f aca="false">IF($A389="","",SUMIFS(DITARI!$F$6:$F$550,DITARI!$D$6:$D$550,$A389))</f>
        <v/>
      </c>
      <c r="E389" s="175" t="str">
        <f aca="false">IF($A389="","",SUMIFS(DITARI!$G$6:$G$550,DITARI!$D$6:$D$550,$A389))</f>
        <v/>
      </c>
      <c r="F389" s="175" t="str">
        <f aca="false">IF($A389="","",MAX($D389-$E389,0))</f>
        <v/>
      </c>
      <c r="G389" s="175" t="str">
        <f aca="false">IF($A389="","",MAX($E389-$D389,0))</f>
        <v/>
      </c>
      <c r="H389" s="174" t="str">
        <f aca="false">IF($A389="","",IF($F389&gt;0,"Saldo Debit",IF($G389&gt;0,"Saldo Kredit","Zero")))</f>
        <v/>
      </c>
      <c r="I389" s="174" t="str">
        <f aca="false">IF($A389="","",IFERROR(VLOOKUP($A389,PLANI_LLOGARIVE!$A$2:$I$500,9,FALSE()),""))</f>
        <v/>
      </c>
      <c r="J389" s="101" t="str">
        <f aca="false">IF(A389="","",IF(OR(H389="Zero",I389="Debit/Credit"),"",IF(OR(AND(H389="Saldo Debit",I389="Debit"),AND(H389="Saldo Kredit",OR(I389="Credit",I389="Kredit"))),"","⚠️ JO NORMALE")))</f>
        <v/>
      </c>
    </row>
    <row r="390" customFormat="false" ht="12.75" hidden="false" customHeight="true" outlineLevel="0" collapsed="false">
      <c r="A390" s="172" t="str">
        <f aca="false">IF(AND(PLANI_LLOGARIVE!$A384&lt;&gt;"",PLANI_LLOGARIVE!$J384=TRUE()),PLANI_LLOGARIVE!$A384&amp;"","")</f>
        <v/>
      </c>
      <c r="B390" s="172" t="str">
        <f aca="false">IF($A390="","",IFERROR(VLOOKUP($A390,PLANI_LLOGARIVE!$A$2:$I$500,2,FALSE()),""))</f>
        <v/>
      </c>
      <c r="C390" s="172" t="str">
        <f aca="false">IF($A390="","",IFERROR(VLOOKUP($A390,PLANI_LLOGARIVE!$A$2:$I$500,4,FALSE()),""))</f>
        <v/>
      </c>
      <c r="D390" s="173" t="str">
        <f aca="false">IF($A390="","",SUMIFS(DITARI!$F$6:$F$550,DITARI!$D$6:$D$550,$A390))</f>
        <v/>
      </c>
      <c r="E390" s="173" t="str">
        <f aca="false">IF($A390="","",SUMIFS(DITARI!$G$6:$G$550,DITARI!$D$6:$D$550,$A390))</f>
        <v/>
      </c>
      <c r="F390" s="173" t="str">
        <f aca="false">IF($A390="","",MAX($D390-$E390,0))</f>
        <v/>
      </c>
      <c r="G390" s="173" t="str">
        <f aca="false">IF($A390="","",MAX($E390-$D390,0))</f>
        <v/>
      </c>
      <c r="H390" s="172" t="str">
        <f aca="false">IF($A390="","",IF($F390&gt;0,"Saldo Debit",IF($G390&gt;0,"Saldo Kredit","Zero")))</f>
        <v/>
      </c>
      <c r="I390" s="172" t="str">
        <f aca="false">IF($A390="","",IFERROR(VLOOKUP($A390,PLANI_LLOGARIVE!$A$2:$I$500,9,FALSE()),""))</f>
        <v/>
      </c>
      <c r="J390" s="101" t="str">
        <f aca="false">IF(A390="","",IF(OR(H390="Zero",I390="Debit/Credit"),"",IF(OR(AND(H390="Saldo Debit",I390="Debit"),AND(H390="Saldo Kredit",OR(I390="Credit",I390="Kredit"))),"","⚠️ JO NORMALE")))</f>
        <v/>
      </c>
    </row>
    <row r="391" customFormat="false" ht="12.75" hidden="false" customHeight="true" outlineLevel="0" collapsed="false">
      <c r="A391" s="174" t="str">
        <f aca="false">IF(AND(PLANI_LLOGARIVE!$A385&lt;&gt;"",PLANI_LLOGARIVE!$J385=TRUE()),PLANI_LLOGARIVE!$A385&amp;"","")</f>
        <v/>
      </c>
      <c r="B391" s="174" t="str">
        <f aca="false">IF($A391="","",IFERROR(VLOOKUP($A391,PLANI_LLOGARIVE!$A$2:$I$500,2,FALSE()),""))</f>
        <v/>
      </c>
      <c r="C391" s="174" t="str">
        <f aca="false">IF($A391="","",IFERROR(VLOOKUP($A391,PLANI_LLOGARIVE!$A$2:$I$500,4,FALSE()),""))</f>
        <v/>
      </c>
      <c r="D391" s="175" t="str">
        <f aca="false">IF($A391="","",SUMIFS(DITARI!$F$6:$F$550,DITARI!$D$6:$D$550,$A391))</f>
        <v/>
      </c>
      <c r="E391" s="175" t="str">
        <f aca="false">IF($A391="","",SUMIFS(DITARI!$G$6:$G$550,DITARI!$D$6:$D$550,$A391))</f>
        <v/>
      </c>
      <c r="F391" s="175" t="str">
        <f aca="false">IF($A391="","",MAX($D391-$E391,0))</f>
        <v/>
      </c>
      <c r="G391" s="175" t="str">
        <f aca="false">IF($A391="","",MAX($E391-$D391,0))</f>
        <v/>
      </c>
      <c r="H391" s="174" t="str">
        <f aca="false">IF($A391="","",IF($F391&gt;0,"Saldo Debit",IF($G391&gt;0,"Saldo Kredit","Zero")))</f>
        <v/>
      </c>
      <c r="I391" s="174" t="str">
        <f aca="false">IF($A391="","",IFERROR(VLOOKUP($A391,PLANI_LLOGARIVE!$A$2:$I$500,9,FALSE()),""))</f>
        <v/>
      </c>
      <c r="J391" s="101" t="str">
        <f aca="false">IF(A391="","",IF(OR(H391="Zero",I391="Debit/Credit"),"",IF(OR(AND(H391="Saldo Debit",I391="Debit"),AND(H391="Saldo Kredit",OR(I391="Credit",I391="Kredit"))),"","⚠️ JO NORMALE")))</f>
        <v/>
      </c>
    </row>
    <row r="392" customFormat="false" ht="12.75" hidden="false" customHeight="true" outlineLevel="0" collapsed="false">
      <c r="A392" s="172" t="str">
        <f aca="false">IF(AND(PLANI_LLOGARIVE!$A386&lt;&gt;"",PLANI_LLOGARIVE!$J386=TRUE()),PLANI_LLOGARIVE!$A386&amp;"","")</f>
        <v/>
      </c>
      <c r="B392" s="172" t="str">
        <f aca="false">IF($A392="","",IFERROR(VLOOKUP($A392,PLANI_LLOGARIVE!$A$2:$I$500,2,FALSE()),""))</f>
        <v/>
      </c>
      <c r="C392" s="172" t="str">
        <f aca="false">IF($A392="","",IFERROR(VLOOKUP($A392,PLANI_LLOGARIVE!$A$2:$I$500,4,FALSE()),""))</f>
        <v/>
      </c>
      <c r="D392" s="173" t="str">
        <f aca="false">IF($A392="","",SUMIFS(DITARI!$F$6:$F$550,DITARI!$D$6:$D$550,$A392))</f>
        <v/>
      </c>
      <c r="E392" s="173" t="str">
        <f aca="false">IF($A392="","",SUMIFS(DITARI!$G$6:$G$550,DITARI!$D$6:$D$550,$A392))</f>
        <v/>
      </c>
      <c r="F392" s="173" t="str">
        <f aca="false">IF($A392="","",MAX($D392-$E392,0))</f>
        <v/>
      </c>
      <c r="G392" s="173" t="str">
        <f aca="false">IF($A392="","",MAX($E392-$D392,0))</f>
        <v/>
      </c>
      <c r="H392" s="172" t="str">
        <f aca="false">IF($A392="","",IF($F392&gt;0,"Saldo Debit",IF($G392&gt;0,"Saldo Kredit","Zero")))</f>
        <v/>
      </c>
      <c r="I392" s="172" t="str">
        <f aca="false">IF($A392="","",IFERROR(VLOOKUP($A392,PLANI_LLOGARIVE!$A$2:$I$500,9,FALSE()),""))</f>
        <v/>
      </c>
      <c r="J392" s="101" t="str">
        <f aca="false">IF(A392="","",IF(OR(H392="Zero",I392="Debit/Credit"),"",IF(OR(AND(H392="Saldo Debit",I392="Debit"),AND(H392="Saldo Kredit",OR(I392="Credit",I392="Kredit"))),"","⚠️ JO NORMALE")))</f>
        <v/>
      </c>
    </row>
    <row r="393" customFormat="false" ht="12.75" hidden="false" customHeight="true" outlineLevel="0" collapsed="false">
      <c r="A393" s="174" t="str">
        <f aca="false">IF(AND(PLANI_LLOGARIVE!$A387&lt;&gt;"",PLANI_LLOGARIVE!$J387=TRUE()),PLANI_LLOGARIVE!$A387&amp;"","")</f>
        <v/>
      </c>
      <c r="B393" s="174" t="str">
        <f aca="false">IF($A393="","",IFERROR(VLOOKUP($A393,PLANI_LLOGARIVE!$A$2:$I$500,2,FALSE()),""))</f>
        <v/>
      </c>
      <c r="C393" s="174" t="str">
        <f aca="false">IF($A393="","",IFERROR(VLOOKUP($A393,PLANI_LLOGARIVE!$A$2:$I$500,4,FALSE()),""))</f>
        <v/>
      </c>
      <c r="D393" s="175" t="str">
        <f aca="false">IF($A393="","",SUMIFS(DITARI!$F$6:$F$550,DITARI!$D$6:$D$550,$A393))</f>
        <v/>
      </c>
      <c r="E393" s="175" t="str">
        <f aca="false">IF($A393="","",SUMIFS(DITARI!$G$6:$G$550,DITARI!$D$6:$D$550,$A393))</f>
        <v/>
      </c>
      <c r="F393" s="175" t="str">
        <f aca="false">IF($A393="","",MAX($D393-$E393,0))</f>
        <v/>
      </c>
      <c r="G393" s="175" t="str">
        <f aca="false">IF($A393="","",MAX($E393-$D393,0))</f>
        <v/>
      </c>
      <c r="H393" s="174" t="str">
        <f aca="false">IF($A393="","",IF($F393&gt;0,"Saldo Debit",IF($G393&gt;0,"Saldo Kredit","Zero")))</f>
        <v/>
      </c>
      <c r="I393" s="174" t="str">
        <f aca="false">IF($A393="","",IFERROR(VLOOKUP($A393,PLANI_LLOGARIVE!$A$2:$I$500,9,FALSE()),""))</f>
        <v/>
      </c>
      <c r="J393" s="101" t="str">
        <f aca="false">IF(A393="","",IF(OR(H393="Zero",I393="Debit/Credit"),"",IF(OR(AND(H393="Saldo Debit",I393="Debit"),AND(H393="Saldo Kredit",OR(I393="Credit",I393="Kredit"))),"","⚠️ JO NORMALE")))</f>
        <v/>
      </c>
    </row>
    <row r="394" customFormat="false" ht="12.75" hidden="false" customHeight="true" outlineLevel="0" collapsed="false">
      <c r="A394" s="172" t="str">
        <f aca="false">IF(AND(PLANI_LLOGARIVE!$A388&lt;&gt;"",PLANI_LLOGARIVE!$J388=TRUE()),PLANI_LLOGARIVE!$A388&amp;"","")</f>
        <v/>
      </c>
      <c r="B394" s="172" t="str">
        <f aca="false">IF($A394="","",IFERROR(VLOOKUP($A394,PLANI_LLOGARIVE!$A$2:$I$500,2,FALSE()),""))</f>
        <v/>
      </c>
      <c r="C394" s="172" t="str">
        <f aca="false">IF($A394="","",IFERROR(VLOOKUP($A394,PLANI_LLOGARIVE!$A$2:$I$500,4,FALSE()),""))</f>
        <v/>
      </c>
      <c r="D394" s="173" t="str">
        <f aca="false">IF($A394="","",SUMIFS(DITARI!$F$6:$F$550,DITARI!$D$6:$D$550,$A394))</f>
        <v/>
      </c>
      <c r="E394" s="173" t="str">
        <f aca="false">IF($A394="","",SUMIFS(DITARI!$G$6:$G$550,DITARI!$D$6:$D$550,$A394))</f>
        <v/>
      </c>
      <c r="F394" s="173" t="str">
        <f aca="false">IF($A394="","",MAX($D394-$E394,0))</f>
        <v/>
      </c>
      <c r="G394" s="173" t="str">
        <f aca="false">IF($A394="","",MAX($E394-$D394,0))</f>
        <v/>
      </c>
      <c r="H394" s="172" t="str">
        <f aca="false">IF($A394="","",IF($F394&gt;0,"Saldo Debit",IF($G394&gt;0,"Saldo Kredit","Zero")))</f>
        <v/>
      </c>
      <c r="I394" s="172" t="str">
        <f aca="false">IF($A394="","",IFERROR(VLOOKUP($A394,PLANI_LLOGARIVE!$A$2:$I$500,9,FALSE()),""))</f>
        <v/>
      </c>
      <c r="J394" s="101" t="str">
        <f aca="false">IF(A394="","",IF(OR(H394="Zero",I394="Debit/Credit"),"",IF(OR(AND(H394="Saldo Debit",I394="Debit"),AND(H394="Saldo Kredit",OR(I394="Credit",I394="Kredit"))),"","⚠️ JO NORMALE")))</f>
        <v/>
      </c>
    </row>
    <row r="395" customFormat="false" ht="12.75" hidden="false" customHeight="true" outlineLevel="0" collapsed="false">
      <c r="A395" s="174" t="str">
        <f aca="false">IF(AND(PLANI_LLOGARIVE!$A389&lt;&gt;"",PLANI_LLOGARIVE!$J389=TRUE()),PLANI_LLOGARIVE!$A389&amp;"","")</f>
        <v/>
      </c>
      <c r="B395" s="174" t="str">
        <f aca="false">IF($A395="","",IFERROR(VLOOKUP($A395,PLANI_LLOGARIVE!$A$2:$I$500,2,FALSE()),""))</f>
        <v/>
      </c>
      <c r="C395" s="174" t="str">
        <f aca="false">IF($A395="","",IFERROR(VLOOKUP($A395,PLANI_LLOGARIVE!$A$2:$I$500,4,FALSE()),""))</f>
        <v/>
      </c>
      <c r="D395" s="175" t="str">
        <f aca="false">IF($A395="","",SUMIFS(DITARI!$F$6:$F$550,DITARI!$D$6:$D$550,$A395))</f>
        <v/>
      </c>
      <c r="E395" s="175" t="str">
        <f aca="false">IF($A395="","",SUMIFS(DITARI!$G$6:$G$550,DITARI!$D$6:$D$550,$A395))</f>
        <v/>
      </c>
      <c r="F395" s="175" t="str">
        <f aca="false">IF($A395="","",MAX($D395-$E395,0))</f>
        <v/>
      </c>
      <c r="G395" s="175" t="str">
        <f aca="false">IF($A395="","",MAX($E395-$D395,0))</f>
        <v/>
      </c>
      <c r="H395" s="174" t="str">
        <f aca="false">IF($A395="","",IF($F395&gt;0,"Saldo Debit",IF($G395&gt;0,"Saldo Kredit","Zero")))</f>
        <v/>
      </c>
      <c r="I395" s="174" t="str">
        <f aca="false">IF($A395="","",IFERROR(VLOOKUP($A395,PLANI_LLOGARIVE!$A$2:$I$500,9,FALSE()),""))</f>
        <v/>
      </c>
      <c r="J395" s="101" t="str">
        <f aca="false">IF(A395="","",IF(OR(H395="Zero",I395="Debit/Credit"),"",IF(OR(AND(H395="Saldo Debit",I395="Debit"),AND(H395="Saldo Kredit",OR(I395="Credit",I395="Kredit"))),"","⚠️ JO NORMALE")))</f>
        <v/>
      </c>
    </row>
    <row r="396" customFormat="false" ht="12.75" hidden="false" customHeight="true" outlineLevel="0" collapsed="false">
      <c r="A396" s="172" t="str">
        <f aca="false">IF(AND(PLANI_LLOGARIVE!$A390&lt;&gt;"",PLANI_LLOGARIVE!$J390=TRUE()),PLANI_LLOGARIVE!$A390&amp;"","")</f>
        <v/>
      </c>
      <c r="B396" s="172" t="str">
        <f aca="false">IF($A396="","",IFERROR(VLOOKUP($A396,PLANI_LLOGARIVE!$A$2:$I$500,2,FALSE()),""))</f>
        <v/>
      </c>
      <c r="C396" s="172" t="str">
        <f aca="false">IF($A396="","",IFERROR(VLOOKUP($A396,PLANI_LLOGARIVE!$A$2:$I$500,4,FALSE()),""))</f>
        <v/>
      </c>
      <c r="D396" s="173" t="str">
        <f aca="false">IF($A396="","",SUMIFS(DITARI!$F$6:$F$550,DITARI!$D$6:$D$550,$A396))</f>
        <v/>
      </c>
      <c r="E396" s="173" t="str">
        <f aca="false">IF($A396="","",SUMIFS(DITARI!$G$6:$G$550,DITARI!$D$6:$D$550,$A396))</f>
        <v/>
      </c>
      <c r="F396" s="173" t="str">
        <f aca="false">IF($A396="","",MAX($D396-$E396,0))</f>
        <v/>
      </c>
      <c r="G396" s="173" t="str">
        <f aca="false">IF($A396="","",MAX($E396-$D396,0))</f>
        <v/>
      </c>
      <c r="H396" s="172" t="str">
        <f aca="false">IF($A396="","",IF($F396&gt;0,"Saldo Debit",IF($G396&gt;0,"Saldo Kredit","Zero")))</f>
        <v/>
      </c>
      <c r="I396" s="172" t="str">
        <f aca="false">IF($A396="","",IFERROR(VLOOKUP($A396,PLANI_LLOGARIVE!$A$2:$I$500,9,FALSE()),""))</f>
        <v/>
      </c>
      <c r="J396" s="101" t="str">
        <f aca="false">IF(A396="","",IF(OR(H396="Zero",I396="Debit/Credit"),"",IF(OR(AND(H396="Saldo Debit",I396="Debit"),AND(H396="Saldo Kredit",OR(I396="Credit",I396="Kredit"))),"","⚠️ JO NORMALE")))</f>
        <v/>
      </c>
    </row>
    <row r="397" customFormat="false" ht="12.75" hidden="false" customHeight="true" outlineLevel="0" collapsed="false">
      <c r="A397" s="174" t="str">
        <f aca="false">IF(AND(PLANI_LLOGARIVE!$A391&lt;&gt;"",PLANI_LLOGARIVE!$J391=TRUE()),PLANI_LLOGARIVE!$A391&amp;"","")</f>
        <v/>
      </c>
      <c r="B397" s="174" t="str">
        <f aca="false">IF($A397="","",IFERROR(VLOOKUP($A397,PLANI_LLOGARIVE!$A$2:$I$500,2,FALSE()),""))</f>
        <v/>
      </c>
      <c r="C397" s="174" t="str">
        <f aca="false">IF($A397="","",IFERROR(VLOOKUP($A397,PLANI_LLOGARIVE!$A$2:$I$500,4,FALSE()),""))</f>
        <v/>
      </c>
      <c r="D397" s="175" t="str">
        <f aca="false">IF($A397="","",SUMIFS(DITARI!$F$6:$F$550,DITARI!$D$6:$D$550,$A397))</f>
        <v/>
      </c>
      <c r="E397" s="175" t="str">
        <f aca="false">IF($A397="","",SUMIFS(DITARI!$G$6:$G$550,DITARI!$D$6:$D$550,$A397))</f>
        <v/>
      </c>
      <c r="F397" s="175" t="str">
        <f aca="false">IF($A397="","",MAX($D397-$E397,0))</f>
        <v/>
      </c>
      <c r="G397" s="175" t="str">
        <f aca="false">IF($A397="","",MAX($E397-$D397,0))</f>
        <v/>
      </c>
      <c r="H397" s="174" t="str">
        <f aca="false">IF($A397="","",IF($F397&gt;0,"Saldo Debit",IF($G397&gt;0,"Saldo Kredit","Zero")))</f>
        <v/>
      </c>
      <c r="I397" s="174" t="str">
        <f aca="false">IF($A397="","",IFERROR(VLOOKUP($A397,PLANI_LLOGARIVE!$A$2:$I$500,9,FALSE()),""))</f>
        <v/>
      </c>
      <c r="J397" s="101" t="str">
        <f aca="false">IF(A397="","",IF(OR(H397="Zero",I397="Debit/Credit"),"",IF(OR(AND(H397="Saldo Debit",I397="Debit"),AND(H397="Saldo Kredit",OR(I397="Credit",I397="Kredit"))),"","⚠️ JO NORMALE")))</f>
        <v/>
      </c>
    </row>
    <row r="398" customFormat="false" ht="12.75" hidden="false" customHeight="true" outlineLevel="0" collapsed="false">
      <c r="A398" s="172" t="str">
        <f aca="false">IF(AND(PLANI_LLOGARIVE!$A392&lt;&gt;"",PLANI_LLOGARIVE!$J392=TRUE()),PLANI_LLOGARIVE!$A392&amp;"","")</f>
        <v/>
      </c>
      <c r="B398" s="172" t="str">
        <f aca="false">IF($A398="","",IFERROR(VLOOKUP($A398,PLANI_LLOGARIVE!$A$2:$I$500,2,FALSE()),""))</f>
        <v/>
      </c>
      <c r="C398" s="172" t="str">
        <f aca="false">IF($A398="","",IFERROR(VLOOKUP($A398,PLANI_LLOGARIVE!$A$2:$I$500,4,FALSE()),""))</f>
        <v/>
      </c>
      <c r="D398" s="173" t="str">
        <f aca="false">IF($A398="","",SUMIFS(DITARI!$F$6:$F$550,DITARI!$D$6:$D$550,$A398))</f>
        <v/>
      </c>
      <c r="E398" s="173" t="str">
        <f aca="false">IF($A398="","",SUMIFS(DITARI!$G$6:$G$550,DITARI!$D$6:$D$550,$A398))</f>
        <v/>
      </c>
      <c r="F398" s="173" t="str">
        <f aca="false">IF($A398="","",MAX($D398-$E398,0))</f>
        <v/>
      </c>
      <c r="G398" s="173" t="str">
        <f aca="false">IF($A398="","",MAX($E398-$D398,0))</f>
        <v/>
      </c>
      <c r="H398" s="172" t="str">
        <f aca="false">IF($A398="","",IF($F398&gt;0,"Saldo Debit",IF($G398&gt;0,"Saldo Kredit","Zero")))</f>
        <v/>
      </c>
      <c r="I398" s="172" t="str">
        <f aca="false">IF($A398="","",IFERROR(VLOOKUP($A398,PLANI_LLOGARIVE!$A$2:$I$500,9,FALSE()),""))</f>
        <v/>
      </c>
      <c r="J398" s="101" t="str">
        <f aca="false">IF(A398="","",IF(OR(H398="Zero",I398="Debit/Credit"),"",IF(OR(AND(H398="Saldo Debit",I398="Debit"),AND(H398="Saldo Kredit",OR(I398="Credit",I398="Kredit"))),"","⚠️ JO NORMALE")))</f>
        <v/>
      </c>
    </row>
    <row r="399" customFormat="false" ht="12.75" hidden="false" customHeight="true" outlineLevel="0" collapsed="false">
      <c r="A399" s="174" t="str">
        <f aca="false">IF(AND(PLANI_LLOGARIVE!$A393&lt;&gt;"",PLANI_LLOGARIVE!$J393=TRUE()),PLANI_LLOGARIVE!$A393&amp;"","")</f>
        <v/>
      </c>
      <c r="B399" s="174" t="str">
        <f aca="false">IF($A399="","",IFERROR(VLOOKUP($A399,PLANI_LLOGARIVE!$A$2:$I$500,2,FALSE()),""))</f>
        <v/>
      </c>
      <c r="C399" s="174" t="str">
        <f aca="false">IF($A399="","",IFERROR(VLOOKUP($A399,PLANI_LLOGARIVE!$A$2:$I$500,4,FALSE()),""))</f>
        <v/>
      </c>
      <c r="D399" s="175" t="str">
        <f aca="false">IF($A399="","",SUMIFS(DITARI!$F$6:$F$550,DITARI!$D$6:$D$550,$A399))</f>
        <v/>
      </c>
      <c r="E399" s="175" t="str">
        <f aca="false">IF($A399="","",SUMIFS(DITARI!$G$6:$G$550,DITARI!$D$6:$D$550,$A399))</f>
        <v/>
      </c>
      <c r="F399" s="175" t="str">
        <f aca="false">IF($A399="","",MAX($D399-$E399,0))</f>
        <v/>
      </c>
      <c r="G399" s="175" t="str">
        <f aca="false">IF($A399="","",MAX($E399-$D399,0))</f>
        <v/>
      </c>
      <c r="H399" s="174" t="str">
        <f aca="false">IF($A399="","",IF($F399&gt;0,"Saldo Debit",IF($G399&gt;0,"Saldo Kredit","Zero")))</f>
        <v/>
      </c>
      <c r="I399" s="174" t="str">
        <f aca="false">IF($A399="","",IFERROR(VLOOKUP($A399,PLANI_LLOGARIVE!$A$2:$I$500,9,FALSE()),""))</f>
        <v/>
      </c>
      <c r="J399" s="101" t="str">
        <f aca="false">IF(A399="","",IF(OR(H399="Zero",I399="Debit/Credit"),"",IF(OR(AND(H399="Saldo Debit",I399="Debit"),AND(H399="Saldo Kredit",OR(I399="Credit",I399="Kredit"))),"","⚠️ JO NORMALE")))</f>
        <v/>
      </c>
    </row>
    <row r="400" customFormat="false" ht="12.75" hidden="false" customHeight="true" outlineLevel="0" collapsed="false">
      <c r="A400" s="172" t="str">
        <f aca="false">IF(AND(PLANI_LLOGARIVE!$A394&lt;&gt;"",PLANI_LLOGARIVE!$J394=TRUE()),PLANI_LLOGARIVE!$A394&amp;"","")</f>
        <v/>
      </c>
      <c r="B400" s="172" t="str">
        <f aca="false">IF($A400="","",IFERROR(VLOOKUP($A400,PLANI_LLOGARIVE!$A$2:$I$500,2,FALSE()),""))</f>
        <v/>
      </c>
      <c r="C400" s="172" t="str">
        <f aca="false">IF($A400="","",IFERROR(VLOOKUP($A400,PLANI_LLOGARIVE!$A$2:$I$500,4,FALSE()),""))</f>
        <v/>
      </c>
      <c r="D400" s="173" t="str">
        <f aca="false">IF($A400="","",SUMIFS(DITARI!$F$6:$F$550,DITARI!$D$6:$D$550,$A400))</f>
        <v/>
      </c>
      <c r="E400" s="173" t="str">
        <f aca="false">IF($A400="","",SUMIFS(DITARI!$G$6:$G$550,DITARI!$D$6:$D$550,$A400))</f>
        <v/>
      </c>
      <c r="F400" s="173" t="str">
        <f aca="false">IF($A400="","",MAX($D400-$E400,0))</f>
        <v/>
      </c>
      <c r="G400" s="173" t="str">
        <f aca="false">IF($A400="","",MAX($E400-$D400,0))</f>
        <v/>
      </c>
      <c r="H400" s="172" t="str">
        <f aca="false">IF($A400="","",IF($F400&gt;0,"Saldo Debit",IF($G400&gt;0,"Saldo Kredit","Zero")))</f>
        <v/>
      </c>
      <c r="I400" s="172" t="str">
        <f aca="false">IF($A400="","",IFERROR(VLOOKUP($A400,PLANI_LLOGARIVE!$A$2:$I$500,9,FALSE()),""))</f>
        <v/>
      </c>
      <c r="J400" s="101" t="str">
        <f aca="false">IF(A400="","",IF(OR(H400="Zero",I400="Debit/Credit"),"",IF(OR(AND(H400="Saldo Debit",I400="Debit"),AND(H400="Saldo Kredit",OR(I400="Credit",I400="Kredit"))),"","⚠️ JO NORMALE")))</f>
        <v/>
      </c>
    </row>
    <row r="401" customFormat="false" ht="12.75" hidden="false" customHeight="true" outlineLevel="0" collapsed="false">
      <c r="A401" s="174" t="str">
        <f aca="false">IF(AND(PLANI_LLOGARIVE!$A395&lt;&gt;"",PLANI_LLOGARIVE!$J395=TRUE()),PLANI_LLOGARIVE!$A395&amp;"","")</f>
        <v/>
      </c>
      <c r="B401" s="174" t="str">
        <f aca="false">IF($A401="","",IFERROR(VLOOKUP($A401,PLANI_LLOGARIVE!$A$2:$I$500,2,FALSE()),""))</f>
        <v/>
      </c>
      <c r="C401" s="174" t="str">
        <f aca="false">IF($A401="","",IFERROR(VLOOKUP($A401,PLANI_LLOGARIVE!$A$2:$I$500,4,FALSE()),""))</f>
        <v/>
      </c>
      <c r="D401" s="175" t="str">
        <f aca="false">IF($A401="","",SUMIFS(DITARI!$F$6:$F$550,DITARI!$D$6:$D$550,$A401))</f>
        <v/>
      </c>
      <c r="E401" s="175" t="str">
        <f aca="false">IF($A401="","",SUMIFS(DITARI!$G$6:$G$550,DITARI!$D$6:$D$550,$A401))</f>
        <v/>
      </c>
      <c r="F401" s="175" t="str">
        <f aca="false">IF($A401="","",MAX($D401-$E401,0))</f>
        <v/>
      </c>
      <c r="G401" s="175" t="str">
        <f aca="false">IF($A401="","",MAX($E401-$D401,0))</f>
        <v/>
      </c>
      <c r="H401" s="174" t="str">
        <f aca="false">IF($A401="","",IF($F401&gt;0,"Saldo Debit",IF($G401&gt;0,"Saldo Kredit","Zero")))</f>
        <v/>
      </c>
      <c r="I401" s="174" t="str">
        <f aca="false">IF($A401="","",IFERROR(VLOOKUP($A401,PLANI_LLOGARIVE!$A$2:$I$500,9,FALSE()),""))</f>
        <v/>
      </c>
      <c r="J401" s="101" t="str">
        <f aca="false">IF(A401="","",IF(OR(H401="Zero",I401="Debit/Credit"),"",IF(OR(AND(H401="Saldo Debit",I401="Debit"),AND(H401="Saldo Kredit",OR(I401="Credit",I401="Kredit"))),"","⚠️ JO NORMALE")))</f>
        <v/>
      </c>
    </row>
    <row r="402" customFormat="false" ht="12.75" hidden="false" customHeight="true" outlineLevel="0" collapsed="false">
      <c r="A402" s="172" t="str">
        <f aca="false">IF(AND(PLANI_LLOGARIVE!$A396&lt;&gt;"",PLANI_LLOGARIVE!$J396=TRUE()),PLANI_LLOGARIVE!$A396&amp;"","")</f>
        <v/>
      </c>
      <c r="B402" s="172" t="str">
        <f aca="false">IF($A402="","",IFERROR(VLOOKUP($A402,PLANI_LLOGARIVE!$A$2:$I$500,2,FALSE()),""))</f>
        <v/>
      </c>
      <c r="C402" s="172" t="str">
        <f aca="false">IF($A402="","",IFERROR(VLOOKUP($A402,PLANI_LLOGARIVE!$A$2:$I$500,4,FALSE()),""))</f>
        <v/>
      </c>
      <c r="D402" s="173" t="str">
        <f aca="false">IF($A402="","",SUMIFS(DITARI!$F$6:$F$550,DITARI!$D$6:$D$550,$A402))</f>
        <v/>
      </c>
      <c r="E402" s="173" t="str">
        <f aca="false">IF($A402="","",SUMIFS(DITARI!$G$6:$G$550,DITARI!$D$6:$D$550,$A402))</f>
        <v/>
      </c>
      <c r="F402" s="173" t="str">
        <f aca="false">IF($A402="","",MAX($D402-$E402,0))</f>
        <v/>
      </c>
      <c r="G402" s="173" t="str">
        <f aca="false">IF($A402="","",MAX($E402-$D402,0))</f>
        <v/>
      </c>
      <c r="H402" s="172" t="str">
        <f aca="false">IF($A402="","",IF($F402&gt;0,"Saldo Debit",IF($G402&gt;0,"Saldo Kredit","Zero")))</f>
        <v/>
      </c>
      <c r="I402" s="172" t="str">
        <f aca="false">IF($A402="","",IFERROR(VLOOKUP($A402,PLANI_LLOGARIVE!$A$2:$I$500,9,FALSE()),""))</f>
        <v/>
      </c>
      <c r="J402" s="101" t="str">
        <f aca="false">IF(A402="","",IF(OR(H402="Zero",I402="Debit/Credit"),"",IF(OR(AND(H402="Saldo Debit",I402="Debit"),AND(H402="Saldo Kredit",OR(I402="Credit",I402="Kredit"))),"","⚠️ JO NORMALE")))</f>
        <v/>
      </c>
    </row>
    <row r="403" customFormat="false" ht="12.75" hidden="false" customHeight="true" outlineLevel="0" collapsed="false">
      <c r="A403" s="174" t="str">
        <f aca="false">IF(AND(PLANI_LLOGARIVE!$A397&lt;&gt;"",PLANI_LLOGARIVE!$J397=TRUE()),PLANI_LLOGARIVE!$A397&amp;"","")</f>
        <v/>
      </c>
      <c r="B403" s="174" t="str">
        <f aca="false">IF($A403="","",IFERROR(VLOOKUP($A403,PLANI_LLOGARIVE!$A$2:$I$500,2,FALSE()),""))</f>
        <v/>
      </c>
      <c r="C403" s="174" t="str">
        <f aca="false">IF($A403="","",IFERROR(VLOOKUP($A403,PLANI_LLOGARIVE!$A$2:$I$500,4,FALSE()),""))</f>
        <v/>
      </c>
      <c r="D403" s="175" t="str">
        <f aca="false">IF($A403="","",SUMIFS(DITARI!$F$6:$F$550,DITARI!$D$6:$D$550,$A403))</f>
        <v/>
      </c>
      <c r="E403" s="175" t="str">
        <f aca="false">IF($A403="","",SUMIFS(DITARI!$G$6:$G$550,DITARI!$D$6:$D$550,$A403))</f>
        <v/>
      </c>
      <c r="F403" s="175" t="str">
        <f aca="false">IF($A403="","",MAX($D403-$E403,0))</f>
        <v/>
      </c>
      <c r="G403" s="175" t="str">
        <f aca="false">IF($A403="","",MAX($E403-$D403,0))</f>
        <v/>
      </c>
      <c r="H403" s="174" t="str">
        <f aca="false">IF($A403="","",IF($F403&gt;0,"Saldo Debit",IF($G403&gt;0,"Saldo Kredit","Zero")))</f>
        <v/>
      </c>
      <c r="I403" s="174" t="str">
        <f aca="false">IF($A403="","",IFERROR(VLOOKUP($A403,PLANI_LLOGARIVE!$A$2:$I$500,9,FALSE()),""))</f>
        <v/>
      </c>
      <c r="J403" s="101" t="str">
        <f aca="false">IF(A403="","",IF(OR(H403="Zero",I403="Debit/Credit"),"",IF(OR(AND(H403="Saldo Debit",I403="Debit"),AND(H403="Saldo Kredit",OR(I403="Credit",I403="Kredit"))),"","⚠️ JO NORMALE")))</f>
        <v/>
      </c>
    </row>
    <row r="404" customFormat="false" ht="12.75" hidden="false" customHeight="true" outlineLevel="0" collapsed="false">
      <c r="A404" s="172" t="str">
        <f aca="false">IF(AND(PLANI_LLOGARIVE!$A398&lt;&gt;"",PLANI_LLOGARIVE!$J398=TRUE()),PLANI_LLOGARIVE!$A398&amp;"","")</f>
        <v/>
      </c>
      <c r="B404" s="172" t="str">
        <f aca="false">IF($A404="","",IFERROR(VLOOKUP($A404,PLANI_LLOGARIVE!$A$2:$I$500,2,FALSE()),""))</f>
        <v/>
      </c>
      <c r="C404" s="172" t="str">
        <f aca="false">IF($A404="","",IFERROR(VLOOKUP($A404,PLANI_LLOGARIVE!$A$2:$I$500,4,FALSE()),""))</f>
        <v/>
      </c>
      <c r="D404" s="173" t="str">
        <f aca="false">IF($A404="","",SUMIFS(DITARI!$F$6:$F$550,DITARI!$D$6:$D$550,$A404))</f>
        <v/>
      </c>
      <c r="E404" s="173" t="str">
        <f aca="false">IF($A404="","",SUMIFS(DITARI!$G$6:$G$550,DITARI!$D$6:$D$550,$A404))</f>
        <v/>
      </c>
      <c r="F404" s="173" t="str">
        <f aca="false">IF($A404="","",MAX($D404-$E404,0))</f>
        <v/>
      </c>
      <c r="G404" s="173" t="str">
        <f aca="false">IF($A404="","",MAX($E404-$D404,0))</f>
        <v/>
      </c>
      <c r="H404" s="172" t="str">
        <f aca="false">IF($A404="","",IF($F404&gt;0,"Saldo Debit",IF($G404&gt;0,"Saldo Kredit","Zero")))</f>
        <v/>
      </c>
      <c r="I404" s="172" t="str">
        <f aca="false">IF($A404="","",IFERROR(VLOOKUP($A404,PLANI_LLOGARIVE!$A$2:$I$500,9,FALSE()),""))</f>
        <v/>
      </c>
      <c r="J404" s="101" t="str">
        <f aca="false">IF(A404="","",IF(OR(H404="Zero",I404="Debit/Credit"),"",IF(OR(AND(H404="Saldo Debit",I404="Debit"),AND(H404="Saldo Kredit",OR(I404="Credit",I404="Kredit"))),"","⚠️ JO NORMALE")))</f>
        <v/>
      </c>
    </row>
    <row r="405" customFormat="false" ht="12.75" hidden="false" customHeight="true" outlineLevel="0" collapsed="false">
      <c r="A405" s="174" t="str">
        <f aca="false">IF(AND(PLANI_LLOGARIVE!$A399&lt;&gt;"",PLANI_LLOGARIVE!$J399=TRUE()),PLANI_LLOGARIVE!$A399&amp;"","")</f>
        <v/>
      </c>
      <c r="B405" s="174" t="str">
        <f aca="false">IF($A405="","",IFERROR(VLOOKUP($A405,PLANI_LLOGARIVE!$A$2:$I$500,2,FALSE()),""))</f>
        <v/>
      </c>
      <c r="C405" s="174" t="str">
        <f aca="false">IF($A405="","",IFERROR(VLOOKUP($A405,PLANI_LLOGARIVE!$A$2:$I$500,4,FALSE()),""))</f>
        <v/>
      </c>
      <c r="D405" s="175" t="str">
        <f aca="false">IF($A405="","",SUMIFS(DITARI!$F$6:$F$550,DITARI!$D$6:$D$550,$A405))</f>
        <v/>
      </c>
      <c r="E405" s="175" t="str">
        <f aca="false">IF($A405="","",SUMIFS(DITARI!$G$6:$G$550,DITARI!$D$6:$D$550,$A405))</f>
        <v/>
      </c>
      <c r="F405" s="175" t="str">
        <f aca="false">IF($A405="","",MAX($D405-$E405,0))</f>
        <v/>
      </c>
      <c r="G405" s="175" t="str">
        <f aca="false">IF($A405="","",MAX($E405-$D405,0))</f>
        <v/>
      </c>
      <c r="H405" s="174" t="str">
        <f aca="false">IF($A405="","",IF($F405&gt;0,"Saldo Debit",IF($G405&gt;0,"Saldo Kredit","Zero")))</f>
        <v/>
      </c>
      <c r="I405" s="174" t="str">
        <f aca="false">IF($A405="","",IFERROR(VLOOKUP($A405,PLANI_LLOGARIVE!$A$2:$I$500,9,FALSE()),""))</f>
        <v/>
      </c>
      <c r="J405" s="101" t="str">
        <f aca="false">IF(A405="","",IF(OR(H405="Zero",I405="Debit/Credit"),"",IF(OR(AND(H405="Saldo Debit",I405="Debit"),AND(H405="Saldo Kredit",OR(I405="Credit",I405="Kredit"))),"","⚠️ JO NORMALE")))</f>
        <v/>
      </c>
    </row>
    <row r="406" customFormat="false" ht="12.75" hidden="false" customHeight="true" outlineLevel="0" collapsed="false">
      <c r="A406" s="172" t="str">
        <f aca="false">IF(AND(PLANI_LLOGARIVE!$A400&lt;&gt;"",PLANI_LLOGARIVE!$J400=TRUE()),PLANI_LLOGARIVE!$A400&amp;"","")</f>
        <v/>
      </c>
      <c r="B406" s="172" t="str">
        <f aca="false">IF($A406="","",IFERROR(VLOOKUP($A406,PLANI_LLOGARIVE!$A$2:$I$500,2,FALSE()),""))</f>
        <v/>
      </c>
      <c r="C406" s="172" t="str">
        <f aca="false">IF($A406="","",IFERROR(VLOOKUP($A406,PLANI_LLOGARIVE!$A$2:$I$500,4,FALSE()),""))</f>
        <v/>
      </c>
      <c r="D406" s="173" t="str">
        <f aca="false">IF($A406="","",SUMIFS(DITARI!$F$6:$F$550,DITARI!$D$6:$D$550,$A406))</f>
        <v/>
      </c>
      <c r="E406" s="173" t="str">
        <f aca="false">IF($A406="","",SUMIFS(DITARI!$G$6:$G$550,DITARI!$D$6:$D$550,$A406))</f>
        <v/>
      </c>
      <c r="F406" s="173" t="str">
        <f aca="false">IF($A406="","",MAX($D406-$E406,0))</f>
        <v/>
      </c>
      <c r="G406" s="173" t="str">
        <f aca="false">IF($A406="","",MAX($E406-$D406,0))</f>
        <v/>
      </c>
      <c r="H406" s="172" t="str">
        <f aca="false">IF($A406="","",IF($F406&gt;0,"Saldo Debit",IF($G406&gt;0,"Saldo Kredit","Zero")))</f>
        <v/>
      </c>
      <c r="I406" s="172" t="str">
        <f aca="false">IF($A406="","",IFERROR(VLOOKUP($A406,PLANI_LLOGARIVE!$A$2:$I$500,9,FALSE()),""))</f>
        <v/>
      </c>
      <c r="J406" s="101" t="str">
        <f aca="false">IF(A406="","",IF(OR(H406="Zero",I406="Debit/Credit"),"",IF(OR(AND(H406="Saldo Debit",I406="Debit"),AND(H406="Saldo Kredit",OR(I406="Credit",I406="Kredit"))),"","⚠️ JO NORMALE")))</f>
        <v/>
      </c>
    </row>
    <row r="407" customFormat="false" ht="12.75" hidden="false" customHeight="true" outlineLevel="0" collapsed="false">
      <c r="A407" s="174" t="str">
        <f aca="false">IF(AND(PLANI_LLOGARIVE!$A401&lt;&gt;"",PLANI_LLOGARIVE!$J401=TRUE()),PLANI_LLOGARIVE!$A401&amp;"","")</f>
        <v/>
      </c>
      <c r="B407" s="174" t="str">
        <f aca="false">IF($A407="","",IFERROR(VLOOKUP($A407,PLANI_LLOGARIVE!$A$2:$I$500,2,FALSE()),""))</f>
        <v/>
      </c>
      <c r="C407" s="174" t="str">
        <f aca="false">IF($A407="","",IFERROR(VLOOKUP($A407,PLANI_LLOGARIVE!$A$2:$I$500,4,FALSE()),""))</f>
        <v/>
      </c>
      <c r="D407" s="175" t="str">
        <f aca="false">IF($A407="","",SUMIFS(DITARI!$F$6:$F$550,DITARI!$D$6:$D$550,$A407))</f>
        <v/>
      </c>
      <c r="E407" s="175" t="str">
        <f aca="false">IF($A407="","",SUMIFS(DITARI!$G$6:$G$550,DITARI!$D$6:$D$550,$A407))</f>
        <v/>
      </c>
      <c r="F407" s="175" t="str">
        <f aca="false">IF($A407="","",MAX($D407-$E407,0))</f>
        <v/>
      </c>
      <c r="G407" s="175" t="str">
        <f aca="false">IF($A407="","",MAX($E407-$D407,0))</f>
        <v/>
      </c>
      <c r="H407" s="174" t="str">
        <f aca="false">IF($A407="","",IF($F407&gt;0,"Saldo Debit",IF($G407&gt;0,"Saldo Kredit","Zero")))</f>
        <v/>
      </c>
      <c r="I407" s="174" t="str">
        <f aca="false">IF($A407="","",IFERROR(VLOOKUP($A407,PLANI_LLOGARIVE!$A$2:$I$500,9,FALSE()),""))</f>
        <v/>
      </c>
      <c r="J407" s="101" t="str">
        <f aca="false">IF(A407="","",IF(OR(H407="Zero",I407="Debit/Credit"),"",IF(OR(AND(H407="Saldo Debit",I407="Debit"),AND(H407="Saldo Kredit",OR(I407="Credit",I407="Kredit"))),"","⚠️ JO NORMALE")))</f>
        <v/>
      </c>
    </row>
    <row r="408" customFormat="false" ht="12.75" hidden="false" customHeight="true" outlineLevel="0" collapsed="false">
      <c r="A408" s="172" t="str">
        <f aca="false">IF(AND(PLANI_LLOGARIVE!$A402&lt;&gt;"",PLANI_LLOGARIVE!$J402=TRUE()),PLANI_LLOGARIVE!$A402&amp;"","")</f>
        <v/>
      </c>
      <c r="B408" s="172" t="str">
        <f aca="false">IF($A408="","",IFERROR(VLOOKUP($A408,PLANI_LLOGARIVE!$A$2:$I$500,2,FALSE()),""))</f>
        <v/>
      </c>
      <c r="C408" s="172" t="str">
        <f aca="false">IF($A408="","",IFERROR(VLOOKUP($A408,PLANI_LLOGARIVE!$A$2:$I$500,4,FALSE()),""))</f>
        <v/>
      </c>
      <c r="D408" s="173" t="str">
        <f aca="false">IF($A408="","",SUMIFS(DITARI!$F$6:$F$550,DITARI!$D$6:$D$550,$A408))</f>
        <v/>
      </c>
      <c r="E408" s="173" t="str">
        <f aca="false">IF($A408="","",SUMIFS(DITARI!$G$6:$G$550,DITARI!$D$6:$D$550,$A408))</f>
        <v/>
      </c>
      <c r="F408" s="173" t="str">
        <f aca="false">IF($A408="","",MAX($D408-$E408,0))</f>
        <v/>
      </c>
      <c r="G408" s="173" t="str">
        <f aca="false">IF($A408="","",MAX($E408-$D408,0))</f>
        <v/>
      </c>
      <c r="H408" s="172" t="str">
        <f aca="false">IF($A408="","",IF($F408&gt;0,"Saldo Debit",IF($G408&gt;0,"Saldo Kredit","Zero")))</f>
        <v/>
      </c>
      <c r="I408" s="172" t="str">
        <f aca="false">IF($A408="","",IFERROR(VLOOKUP($A408,PLANI_LLOGARIVE!$A$2:$I$500,9,FALSE()),""))</f>
        <v/>
      </c>
      <c r="J408" s="101" t="str">
        <f aca="false">IF(A408="","",IF(OR(H408="Zero",I408="Debit/Credit"),"",IF(OR(AND(H408="Saldo Debit",I408="Debit"),AND(H408="Saldo Kredit",OR(I408="Credit",I408="Kredit"))),"","⚠️ JO NORMALE")))</f>
        <v/>
      </c>
    </row>
    <row r="409" customFormat="false" ht="12.75" hidden="false" customHeight="true" outlineLevel="0" collapsed="false">
      <c r="A409" s="174" t="str">
        <f aca="false">IF(AND(PLANI_LLOGARIVE!$A403&lt;&gt;"",PLANI_LLOGARIVE!$J403=TRUE()),PLANI_LLOGARIVE!$A403&amp;"","")</f>
        <v/>
      </c>
      <c r="B409" s="174" t="str">
        <f aca="false">IF($A409="","",IFERROR(VLOOKUP($A409,PLANI_LLOGARIVE!$A$2:$I$500,2,FALSE()),""))</f>
        <v/>
      </c>
      <c r="C409" s="174" t="str">
        <f aca="false">IF($A409="","",IFERROR(VLOOKUP($A409,PLANI_LLOGARIVE!$A$2:$I$500,4,FALSE()),""))</f>
        <v/>
      </c>
      <c r="D409" s="175" t="str">
        <f aca="false">IF($A409="","",SUMIFS(DITARI!$F$6:$F$550,DITARI!$D$6:$D$550,$A409))</f>
        <v/>
      </c>
      <c r="E409" s="175" t="str">
        <f aca="false">IF($A409="","",SUMIFS(DITARI!$G$6:$G$550,DITARI!$D$6:$D$550,$A409))</f>
        <v/>
      </c>
      <c r="F409" s="175" t="str">
        <f aca="false">IF($A409="","",MAX($D409-$E409,0))</f>
        <v/>
      </c>
      <c r="G409" s="175" t="str">
        <f aca="false">IF($A409="","",MAX($E409-$D409,0))</f>
        <v/>
      </c>
      <c r="H409" s="174" t="str">
        <f aca="false">IF($A409="","",IF($F409&gt;0,"Saldo Debit",IF($G409&gt;0,"Saldo Kredit","Zero")))</f>
        <v/>
      </c>
      <c r="I409" s="174" t="str">
        <f aca="false">IF($A409="","",IFERROR(VLOOKUP($A409,PLANI_LLOGARIVE!$A$2:$I$500,9,FALSE()),""))</f>
        <v/>
      </c>
      <c r="J409" s="101" t="str">
        <f aca="false">IF(A409="","",IF(OR(H409="Zero",I409="Debit/Credit"),"",IF(OR(AND(H409="Saldo Debit",I409="Debit"),AND(H409="Saldo Kredit",OR(I409="Credit",I409="Kredit"))),"","⚠️ JO NORMALE")))</f>
        <v/>
      </c>
    </row>
    <row r="410" customFormat="false" ht="12.75" hidden="false" customHeight="true" outlineLevel="0" collapsed="false">
      <c r="A410" s="172" t="str">
        <f aca="false">IF(AND(PLANI_LLOGARIVE!$A404&lt;&gt;"",PLANI_LLOGARIVE!$J404=TRUE()),PLANI_LLOGARIVE!$A404&amp;"","")</f>
        <v/>
      </c>
      <c r="B410" s="172" t="str">
        <f aca="false">IF($A410="","",IFERROR(VLOOKUP($A410,PLANI_LLOGARIVE!$A$2:$I$500,2,FALSE()),""))</f>
        <v/>
      </c>
      <c r="C410" s="172" t="str">
        <f aca="false">IF($A410="","",IFERROR(VLOOKUP($A410,PLANI_LLOGARIVE!$A$2:$I$500,4,FALSE()),""))</f>
        <v/>
      </c>
      <c r="D410" s="173" t="str">
        <f aca="false">IF($A410="","",SUMIFS(DITARI!$F$6:$F$550,DITARI!$D$6:$D$550,$A410))</f>
        <v/>
      </c>
      <c r="E410" s="173" t="str">
        <f aca="false">IF($A410="","",SUMIFS(DITARI!$G$6:$G$550,DITARI!$D$6:$D$550,$A410))</f>
        <v/>
      </c>
      <c r="F410" s="173" t="str">
        <f aca="false">IF($A410="","",MAX($D410-$E410,0))</f>
        <v/>
      </c>
      <c r="G410" s="173" t="str">
        <f aca="false">IF($A410="","",MAX($E410-$D410,0))</f>
        <v/>
      </c>
      <c r="H410" s="172" t="str">
        <f aca="false">IF($A410="","",IF($F410&gt;0,"Saldo Debit",IF($G410&gt;0,"Saldo Kredit","Zero")))</f>
        <v/>
      </c>
      <c r="I410" s="172" t="str">
        <f aca="false">IF($A410="","",IFERROR(VLOOKUP($A410,PLANI_LLOGARIVE!$A$2:$I$500,9,FALSE()),""))</f>
        <v/>
      </c>
      <c r="J410" s="101" t="str">
        <f aca="false">IF(A410="","",IF(OR(H410="Zero",I410="Debit/Credit"),"",IF(OR(AND(H410="Saldo Debit",I410="Debit"),AND(H410="Saldo Kredit",OR(I410="Credit",I410="Kredit"))),"","⚠️ JO NORMALE")))</f>
        <v/>
      </c>
    </row>
    <row r="411" customFormat="false" ht="12.75" hidden="false" customHeight="true" outlineLevel="0" collapsed="false">
      <c r="A411" s="174" t="str">
        <f aca="false">IF(AND(PLANI_LLOGARIVE!$A405&lt;&gt;"",PLANI_LLOGARIVE!$J405=TRUE()),PLANI_LLOGARIVE!$A405&amp;"","")</f>
        <v/>
      </c>
      <c r="B411" s="174" t="str">
        <f aca="false">IF($A411="","",IFERROR(VLOOKUP($A411,PLANI_LLOGARIVE!$A$2:$I$500,2,FALSE()),""))</f>
        <v/>
      </c>
      <c r="C411" s="174" t="str">
        <f aca="false">IF($A411="","",IFERROR(VLOOKUP($A411,PLANI_LLOGARIVE!$A$2:$I$500,4,FALSE()),""))</f>
        <v/>
      </c>
      <c r="D411" s="175" t="str">
        <f aca="false">IF($A411="","",SUMIFS(DITARI!$F$6:$F$550,DITARI!$D$6:$D$550,$A411))</f>
        <v/>
      </c>
      <c r="E411" s="175" t="str">
        <f aca="false">IF($A411="","",SUMIFS(DITARI!$G$6:$G$550,DITARI!$D$6:$D$550,$A411))</f>
        <v/>
      </c>
      <c r="F411" s="175" t="str">
        <f aca="false">IF($A411="","",MAX($D411-$E411,0))</f>
        <v/>
      </c>
      <c r="G411" s="175" t="str">
        <f aca="false">IF($A411="","",MAX($E411-$D411,0))</f>
        <v/>
      </c>
      <c r="H411" s="174" t="str">
        <f aca="false">IF($A411="","",IF($F411&gt;0,"Saldo Debit",IF($G411&gt;0,"Saldo Kredit","Zero")))</f>
        <v/>
      </c>
      <c r="I411" s="174" t="str">
        <f aca="false">IF($A411="","",IFERROR(VLOOKUP($A411,PLANI_LLOGARIVE!$A$2:$I$500,9,FALSE()),""))</f>
        <v/>
      </c>
      <c r="J411" s="101" t="str">
        <f aca="false">IF(A411="","",IF(OR(H411="Zero",I411="Debit/Credit"),"",IF(OR(AND(H411="Saldo Debit",I411="Debit"),AND(H411="Saldo Kredit",OR(I411="Credit",I411="Kredit"))),"","⚠️ JO NORMALE")))</f>
        <v/>
      </c>
    </row>
    <row r="412" customFormat="false" ht="12.75" hidden="false" customHeight="true" outlineLevel="0" collapsed="false">
      <c r="A412" s="172" t="str">
        <f aca="false">IF(AND(PLANI_LLOGARIVE!$A406&lt;&gt;"",PLANI_LLOGARIVE!$J406=TRUE()),PLANI_LLOGARIVE!$A406&amp;"","")</f>
        <v/>
      </c>
      <c r="B412" s="172" t="str">
        <f aca="false">IF($A412="","",IFERROR(VLOOKUP($A412,PLANI_LLOGARIVE!$A$2:$I$500,2,FALSE()),""))</f>
        <v/>
      </c>
      <c r="C412" s="172" t="str">
        <f aca="false">IF($A412="","",IFERROR(VLOOKUP($A412,PLANI_LLOGARIVE!$A$2:$I$500,4,FALSE()),""))</f>
        <v/>
      </c>
      <c r="D412" s="173" t="str">
        <f aca="false">IF($A412="","",SUMIFS(DITARI!$F$6:$F$550,DITARI!$D$6:$D$550,$A412))</f>
        <v/>
      </c>
      <c r="E412" s="173" t="str">
        <f aca="false">IF($A412="","",SUMIFS(DITARI!$G$6:$G$550,DITARI!$D$6:$D$550,$A412))</f>
        <v/>
      </c>
      <c r="F412" s="173" t="str">
        <f aca="false">IF($A412="","",MAX($D412-$E412,0))</f>
        <v/>
      </c>
      <c r="G412" s="173" t="str">
        <f aca="false">IF($A412="","",MAX($E412-$D412,0))</f>
        <v/>
      </c>
      <c r="H412" s="172" t="str">
        <f aca="false">IF($A412="","",IF($F412&gt;0,"Saldo Debit",IF($G412&gt;0,"Saldo Kredit","Zero")))</f>
        <v/>
      </c>
      <c r="I412" s="172" t="str">
        <f aca="false">IF($A412="","",IFERROR(VLOOKUP($A412,PLANI_LLOGARIVE!$A$2:$I$500,9,FALSE()),""))</f>
        <v/>
      </c>
      <c r="J412" s="101" t="str">
        <f aca="false">IF(A412="","",IF(OR(H412="Zero",I412="Debit/Credit"),"",IF(OR(AND(H412="Saldo Debit",I412="Debit"),AND(H412="Saldo Kredit",OR(I412="Credit",I412="Kredit"))),"","⚠️ JO NORMALE")))</f>
        <v/>
      </c>
    </row>
    <row r="413" customFormat="false" ht="12.75" hidden="false" customHeight="true" outlineLevel="0" collapsed="false">
      <c r="A413" s="174" t="str">
        <f aca="false">IF(AND(PLANI_LLOGARIVE!$A407&lt;&gt;"",PLANI_LLOGARIVE!$J407=TRUE()),PLANI_LLOGARIVE!$A407&amp;"","")</f>
        <v/>
      </c>
      <c r="B413" s="174" t="str">
        <f aca="false">IF($A413="","",IFERROR(VLOOKUP($A413,PLANI_LLOGARIVE!$A$2:$I$500,2,FALSE()),""))</f>
        <v/>
      </c>
      <c r="C413" s="174" t="str">
        <f aca="false">IF($A413="","",IFERROR(VLOOKUP($A413,PLANI_LLOGARIVE!$A$2:$I$500,4,FALSE()),""))</f>
        <v/>
      </c>
      <c r="D413" s="175" t="str">
        <f aca="false">IF($A413="","",SUMIFS(DITARI!$F$6:$F$550,DITARI!$D$6:$D$550,$A413))</f>
        <v/>
      </c>
      <c r="E413" s="175" t="str">
        <f aca="false">IF($A413="","",SUMIFS(DITARI!$G$6:$G$550,DITARI!$D$6:$D$550,$A413))</f>
        <v/>
      </c>
      <c r="F413" s="175" t="str">
        <f aca="false">IF($A413="","",MAX($D413-$E413,0))</f>
        <v/>
      </c>
      <c r="G413" s="175" t="str">
        <f aca="false">IF($A413="","",MAX($E413-$D413,0))</f>
        <v/>
      </c>
      <c r="H413" s="174" t="str">
        <f aca="false">IF($A413="","",IF($F413&gt;0,"Saldo Debit",IF($G413&gt;0,"Saldo Kredit","Zero")))</f>
        <v/>
      </c>
      <c r="I413" s="174" t="str">
        <f aca="false">IF($A413="","",IFERROR(VLOOKUP($A413,PLANI_LLOGARIVE!$A$2:$I$500,9,FALSE()),""))</f>
        <v/>
      </c>
      <c r="J413" s="101" t="str">
        <f aca="false">IF(A413="","",IF(OR(H413="Zero",I413="Debit/Credit"),"",IF(OR(AND(H413="Saldo Debit",I413="Debit"),AND(H413="Saldo Kredit",OR(I413="Credit",I413="Kredit"))),"","⚠️ JO NORMALE")))</f>
        <v/>
      </c>
    </row>
    <row r="414" customFormat="false" ht="12.75" hidden="false" customHeight="true" outlineLevel="0" collapsed="false">
      <c r="A414" s="172" t="str">
        <f aca="false">IF(AND(PLANI_LLOGARIVE!$A408&lt;&gt;"",PLANI_LLOGARIVE!$J408=TRUE()),PLANI_LLOGARIVE!$A408&amp;"","")</f>
        <v/>
      </c>
      <c r="B414" s="172" t="str">
        <f aca="false">IF($A414="","",IFERROR(VLOOKUP($A414,PLANI_LLOGARIVE!$A$2:$I$500,2,FALSE()),""))</f>
        <v/>
      </c>
      <c r="C414" s="172" t="str">
        <f aca="false">IF($A414="","",IFERROR(VLOOKUP($A414,PLANI_LLOGARIVE!$A$2:$I$500,4,FALSE()),""))</f>
        <v/>
      </c>
      <c r="D414" s="173" t="str">
        <f aca="false">IF($A414="","",SUMIFS(DITARI!$F$6:$F$550,DITARI!$D$6:$D$550,$A414))</f>
        <v/>
      </c>
      <c r="E414" s="173" t="str">
        <f aca="false">IF($A414="","",SUMIFS(DITARI!$G$6:$G$550,DITARI!$D$6:$D$550,$A414))</f>
        <v/>
      </c>
      <c r="F414" s="173" t="str">
        <f aca="false">IF($A414="","",MAX($D414-$E414,0))</f>
        <v/>
      </c>
      <c r="G414" s="173" t="str">
        <f aca="false">IF($A414="","",MAX($E414-$D414,0))</f>
        <v/>
      </c>
      <c r="H414" s="172" t="str">
        <f aca="false">IF($A414="","",IF($F414&gt;0,"Saldo Debit",IF($G414&gt;0,"Saldo Kredit","Zero")))</f>
        <v/>
      </c>
      <c r="I414" s="172" t="str">
        <f aca="false">IF($A414="","",IFERROR(VLOOKUP($A414,PLANI_LLOGARIVE!$A$2:$I$500,9,FALSE()),""))</f>
        <v/>
      </c>
      <c r="J414" s="101" t="str">
        <f aca="false">IF(A414="","",IF(OR(H414="Zero",I414="Debit/Credit"),"",IF(OR(AND(H414="Saldo Debit",I414="Debit"),AND(H414="Saldo Kredit",OR(I414="Credit",I414="Kredit"))),"","⚠️ JO NORMALE")))</f>
        <v/>
      </c>
    </row>
    <row r="415" customFormat="false" ht="12.75" hidden="false" customHeight="true" outlineLevel="0" collapsed="false">
      <c r="A415" s="174" t="str">
        <f aca="false">IF(AND(PLANI_LLOGARIVE!$A409&lt;&gt;"",PLANI_LLOGARIVE!$J409=TRUE()),PLANI_LLOGARIVE!$A409&amp;"","")</f>
        <v/>
      </c>
      <c r="B415" s="174" t="str">
        <f aca="false">IF($A415="","",IFERROR(VLOOKUP($A415,PLANI_LLOGARIVE!$A$2:$I$500,2,FALSE()),""))</f>
        <v/>
      </c>
      <c r="C415" s="174" t="str">
        <f aca="false">IF($A415="","",IFERROR(VLOOKUP($A415,PLANI_LLOGARIVE!$A$2:$I$500,4,FALSE()),""))</f>
        <v/>
      </c>
      <c r="D415" s="175" t="str">
        <f aca="false">IF($A415="","",SUMIFS(DITARI!$F$6:$F$550,DITARI!$D$6:$D$550,$A415))</f>
        <v/>
      </c>
      <c r="E415" s="175" t="str">
        <f aca="false">IF($A415="","",SUMIFS(DITARI!$G$6:$G$550,DITARI!$D$6:$D$550,$A415))</f>
        <v/>
      </c>
      <c r="F415" s="175" t="str">
        <f aca="false">IF($A415="","",MAX($D415-$E415,0))</f>
        <v/>
      </c>
      <c r="G415" s="175" t="str">
        <f aca="false">IF($A415="","",MAX($E415-$D415,0))</f>
        <v/>
      </c>
      <c r="H415" s="174" t="str">
        <f aca="false">IF($A415="","",IF($F415&gt;0,"Saldo Debit",IF($G415&gt;0,"Saldo Kredit","Zero")))</f>
        <v/>
      </c>
      <c r="I415" s="174" t="str">
        <f aca="false">IF($A415="","",IFERROR(VLOOKUP($A415,PLANI_LLOGARIVE!$A$2:$I$500,9,FALSE()),""))</f>
        <v/>
      </c>
      <c r="J415" s="101" t="str">
        <f aca="false">IF(A415="","",IF(OR(H415="Zero",I415="Debit/Credit"),"",IF(OR(AND(H415="Saldo Debit",I415="Debit"),AND(H415="Saldo Kredit",OR(I415="Credit",I415="Kredit"))),"","⚠️ JO NORMALE")))</f>
        <v/>
      </c>
    </row>
    <row r="416" customFormat="false" ht="12.75" hidden="false" customHeight="true" outlineLevel="0" collapsed="false">
      <c r="A416" s="172" t="str">
        <f aca="false">IF(AND(PLANI_LLOGARIVE!$A410&lt;&gt;"",PLANI_LLOGARIVE!$J410=TRUE()),PLANI_LLOGARIVE!$A410&amp;"","")</f>
        <v/>
      </c>
      <c r="B416" s="172" t="str">
        <f aca="false">IF($A416="","",IFERROR(VLOOKUP($A416,PLANI_LLOGARIVE!$A$2:$I$500,2,FALSE()),""))</f>
        <v/>
      </c>
      <c r="C416" s="172" t="str">
        <f aca="false">IF($A416="","",IFERROR(VLOOKUP($A416,PLANI_LLOGARIVE!$A$2:$I$500,4,FALSE()),""))</f>
        <v/>
      </c>
      <c r="D416" s="173" t="str">
        <f aca="false">IF($A416="","",SUMIFS(DITARI!$F$6:$F$550,DITARI!$D$6:$D$550,$A416))</f>
        <v/>
      </c>
      <c r="E416" s="173" t="str">
        <f aca="false">IF($A416="","",SUMIFS(DITARI!$G$6:$G$550,DITARI!$D$6:$D$550,$A416))</f>
        <v/>
      </c>
      <c r="F416" s="173" t="str">
        <f aca="false">IF($A416="","",MAX($D416-$E416,0))</f>
        <v/>
      </c>
      <c r="G416" s="173" t="str">
        <f aca="false">IF($A416="","",MAX($E416-$D416,0))</f>
        <v/>
      </c>
      <c r="H416" s="172" t="str">
        <f aca="false">IF($A416="","",IF($F416&gt;0,"Saldo Debit",IF($G416&gt;0,"Saldo Kredit","Zero")))</f>
        <v/>
      </c>
      <c r="I416" s="172" t="str">
        <f aca="false">IF($A416="","",IFERROR(VLOOKUP($A416,PLANI_LLOGARIVE!$A$2:$I$500,9,FALSE()),""))</f>
        <v/>
      </c>
      <c r="J416" s="101" t="str">
        <f aca="false">IF(A416="","",IF(OR(H416="Zero",I416="Debit/Credit"),"",IF(OR(AND(H416="Saldo Debit",I416="Debit"),AND(H416="Saldo Kredit",OR(I416="Credit",I416="Kredit"))),"","⚠️ JO NORMALE")))</f>
        <v/>
      </c>
    </row>
    <row r="417" customFormat="false" ht="12.75" hidden="false" customHeight="true" outlineLevel="0" collapsed="false">
      <c r="A417" s="174" t="str">
        <f aca="false">IF(AND(PLANI_LLOGARIVE!$A411&lt;&gt;"",PLANI_LLOGARIVE!$J411=TRUE()),PLANI_LLOGARIVE!$A411&amp;"","")</f>
        <v/>
      </c>
      <c r="B417" s="174" t="str">
        <f aca="false">IF($A417="","",IFERROR(VLOOKUP($A417,PLANI_LLOGARIVE!$A$2:$I$500,2,FALSE()),""))</f>
        <v/>
      </c>
      <c r="C417" s="174" t="str">
        <f aca="false">IF($A417="","",IFERROR(VLOOKUP($A417,PLANI_LLOGARIVE!$A$2:$I$500,4,FALSE()),""))</f>
        <v/>
      </c>
      <c r="D417" s="175" t="str">
        <f aca="false">IF($A417="","",SUMIFS(DITARI!$F$6:$F$550,DITARI!$D$6:$D$550,$A417))</f>
        <v/>
      </c>
      <c r="E417" s="175" t="str">
        <f aca="false">IF($A417="","",SUMIFS(DITARI!$G$6:$G$550,DITARI!$D$6:$D$550,$A417))</f>
        <v/>
      </c>
      <c r="F417" s="175" t="str">
        <f aca="false">IF($A417="","",MAX($D417-$E417,0))</f>
        <v/>
      </c>
      <c r="G417" s="175" t="str">
        <f aca="false">IF($A417="","",MAX($E417-$D417,0))</f>
        <v/>
      </c>
      <c r="H417" s="174" t="str">
        <f aca="false">IF($A417="","",IF($F417&gt;0,"Saldo Debit",IF($G417&gt;0,"Saldo Kredit","Zero")))</f>
        <v/>
      </c>
      <c r="I417" s="174" t="str">
        <f aca="false">IF($A417="","",IFERROR(VLOOKUP($A417,PLANI_LLOGARIVE!$A$2:$I$500,9,FALSE()),""))</f>
        <v/>
      </c>
      <c r="J417" s="101" t="str">
        <f aca="false">IF(A417="","",IF(OR(H417="Zero",I417="Debit/Credit"),"",IF(OR(AND(H417="Saldo Debit",I417="Debit"),AND(H417="Saldo Kredit",OR(I417="Credit",I417="Kredit"))),"","⚠️ JO NORMALE")))</f>
        <v/>
      </c>
    </row>
    <row r="418" customFormat="false" ht="12.75" hidden="false" customHeight="true" outlineLevel="0" collapsed="false">
      <c r="A418" s="172" t="str">
        <f aca="false">IF(AND(PLANI_LLOGARIVE!$A412&lt;&gt;"",PLANI_LLOGARIVE!$J412=TRUE()),PLANI_LLOGARIVE!$A412&amp;"","")</f>
        <v/>
      </c>
      <c r="B418" s="172" t="str">
        <f aca="false">IF($A418="","",IFERROR(VLOOKUP($A418,PLANI_LLOGARIVE!$A$2:$I$500,2,FALSE()),""))</f>
        <v/>
      </c>
      <c r="C418" s="172" t="str">
        <f aca="false">IF($A418="","",IFERROR(VLOOKUP($A418,PLANI_LLOGARIVE!$A$2:$I$500,4,FALSE()),""))</f>
        <v/>
      </c>
      <c r="D418" s="173" t="str">
        <f aca="false">IF($A418="","",SUMIFS(DITARI!$F$6:$F$550,DITARI!$D$6:$D$550,$A418))</f>
        <v/>
      </c>
      <c r="E418" s="173" t="str">
        <f aca="false">IF($A418="","",SUMIFS(DITARI!$G$6:$G$550,DITARI!$D$6:$D$550,$A418))</f>
        <v/>
      </c>
      <c r="F418" s="173" t="str">
        <f aca="false">IF($A418="","",MAX($D418-$E418,0))</f>
        <v/>
      </c>
      <c r="G418" s="173" t="str">
        <f aca="false">IF($A418="","",MAX($E418-$D418,0))</f>
        <v/>
      </c>
      <c r="H418" s="172" t="str">
        <f aca="false">IF($A418="","",IF($F418&gt;0,"Saldo Debit",IF($G418&gt;0,"Saldo Kredit","Zero")))</f>
        <v/>
      </c>
      <c r="I418" s="172" t="str">
        <f aca="false">IF($A418="","",IFERROR(VLOOKUP($A418,PLANI_LLOGARIVE!$A$2:$I$500,9,FALSE()),""))</f>
        <v/>
      </c>
      <c r="J418" s="101" t="str">
        <f aca="false">IF(A418="","",IF(OR(H418="Zero",I418="Debit/Credit"),"",IF(OR(AND(H418="Saldo Debit",I418="Debit"),AND(H418="Saldo Kredit",OR(I418="Credit",I418="Kredit"))),"","⚠️ JO NORMALE")))</f>
        <v/>
      </c>
    </row>
    <row r="419" customFormat="false" ht="12.75" hidden="false" customHeight="true" outlineLevel="0" collapsed="false">
      <c r="A419" s="174" t="str">
        <f aca="false">IF(AND(PLANI_LLOGARIVE!$A413&lt;&gt;"",PLANI_LLOGARIVE!$J413=TRUE()),PLANI_LLOGARIVE!$A413&amp;"","")</f>
        <v/>
      </c>
      <c r="B419" s="174" t="str">
        <f aca="false">IF($A419="","",IFERROR(VLOOKUP($A419,PLANI_LLOGARIVE!$A$2:$I$500,2,FALSE()),""))</f>
        <v/>
      </c>
      <c r="C419" s="174" t="str">
        <f aca="false">IF($A419="","",IFERROR(VLOOKUP($A419,PLANI_LLOGARIVE!$A$2:$I$500,4,FALSE()),""))</f>
        <v/>
      </c>
      <c r="D419" s="175" t="str">
        <f aca="false">IF($A419="","",SUMIFS(DITARI!$F$6:$F$550,DITARI!$D$6:$D$550,$A419))</f>
        <v/>
      </c>
      <c r="E419" s="175" t="str">
        <f aca="false">IF($A419="","",SUMIFS(DITARI!$G$6:$G$550,DITARI!$D$6:$D$550,$A419))</f>
        <v/>
      </c>
      <c r="F419" s="175" t="str">
        <f aca="false">IF($A419="","",MAX($D419-$E419,0))</f>
        <v/>
      </c>
      <c r="G419" s="175" t="str">
        <f aca="false">IF($A419="","",MAX($E419-$D419,0))</f>
        <v/>
      </c>
      <c r="H419" s="174" t="str">
        <f aca="false">IF($A419="","",IF($F419&gt;0,"Saldo Debit",IF($G419&gt;0,"Saldo Kredit","Zero")))</f>
        <v/>
      </c>
      <c r="I419" s="174" t="str">
        <f aca="false">IF($A419="","",IFERROR(VLOOKUP($A419,PLANI_LLOGARIVE!$A$2:$I$500,9,FALSE()),""))</f>
        <v/>
      </c>
      <c r="J419" s="101" t="str">
        <f aca="false">IF(A419="","",IF(OR(H419="Zero",I419="Debit/Credit"),"",IF(OR(AND(H419="Saldo Debit",I419="Debit"),AND(H419="Saldo Kredit",OR(I419="Credit",I419="Kredit"))),"","⚠️ JO NORMALE")))</f>
        <v/>
      </c>
    </row>
    <row r="420" customFormat="false" ht="12.75" hidden="false" customHeight="true" outlineLevel="0" collapsed="false">
      <c r="A420" s="172" t="str">
        <f aca="false">IF(AND(PLANI_LLOGARIVE!$A414&lt;&gt;"",PLANI_LLOGARIVE!$J414=TRUE()),PLANI_LLOGARIVE!$A414&amp;"","")</f>
        <v/>
      </c>
      <c r="B420" s="172" t="str">
        <f aca="false">IF($A420="","",IFERROR(VLOOKUP($A420,PLANI_LLOGARIVE!$A$2:$I$500,2,FALSE()),""))</f>
        <v/>
      </c>
      <c r="C420" s="172" t="str">
        <f aca="false">IF($A420="","",IFERROR(VLOOKUP($A420,PLANI_LLOGARIVE!$A$2:$I$500,4,FALSE()),""))</f>
        <v/>
      </c>
      <c r="D420" s="173" t="str">
        <f aca="false">IF($A420="","",SUMIFS(DITARI!$F$6:$F$550,DITARI!$D$6:$D$550,$A420))</f>
        <v/>
      </c>
      <c r="E420" s="173" t="str">
        <f aca="false">IF($A420="","",SUMIFS(DITARI!$G$6:$G$550,DITARI!$D$6:$D$550,$A420))</f>
        <v/>
      </c>
      <c r="F420" s="173" t="str">
        <f aca="false">IF($A420="","",MAX($D420-$E420,0))</f>
        <v/>
      </c>
      <c r="G420" s="173" t="str">
        <f aca="false">IF($A420="","",MAX($E420-$D420,0))</f>
        <v/>
      </c>
      <c r="H420" s="172" t="str">
        <f aca="false">IF($A420="","",IF($F420&gt;0,"Saldo Debit",IF($G420&gt;0,"Saldo Kredit","Zero")))</f>
        <v/>
      </c>
      <c r="I420" s="172" t="str">
        <f aca="false">IF($A420="","",IFERROR(VLOOKUP($A420,PLANI_LLOGARIVE!$A$2:$I$500,9,FALSE()),""))</f>
        <v/>
      </c>
      <c r="J420" s="101" t="str">
        <f aca="false">IF(A420="","",IF(OR(H420="Zero",I420="Debit/Credit"),"",IF(OR(AND(H420="Saldo Debit",I420="Debit"),AND(H420="Saldo Kredit",OR(I420="Credit",I420="Kredit"))),"","⚠️ JO NORMALE")))</f>
        <v/>
      </c>
    </row>
    <row r="421" customFormat="false" ht="12.75" hidden="false" customHeight="true" outlineLevel="0" collapsed="false">
      <c r="A421" s="174" t="str">
        <f aca="false">IF(AND(PLANI_LLOGARIVE!$A415&lt;&gt;"",PLANI_LLOGARIVE!$J415=TRUE()),PLANI_LLOGARIVE!$A415&amp;"","")</f>
        <v/>
      </c>
      <c r="B421" s="174" t="str">
        <f aca="false">IF($A421="","",IFERROR(VLOOKUP($A421,PLANI_LLOGARIVE!$A$2:$I$500,2,FALSE()),""))</f>
        <v/>
      </c>
      <c r="C421" s="174" t="str">
        <f aca="false">IF($A421="","",IFERROR(VLOOKUP($A421,PLANI_LLOGARIVE!$A$2:$I$500,4,FALSE()),""))</f>
        <v/>
      </c>
      <c r="D421" s="175" t="str">
        <f aca="false">IF($A421="","",SUMIFS(DITARI!$F$6:$F$550,DITARI!$D$6:$D$550,$A421))</f>
        <v/>
      </c>
      <c r="E421" s="175" t="str">
        <f aca="false">IF($A421="","",SUMIFS(DITARI!$G$6:$G$550,DITARI!$D$6:$D$550,$A421))</f>
        <v/>
      </c>
      <c r="F421" s="175" t="str">
        <f aca="false">IF($A421="","",MAX($D421-$E421,0))</f>
        <v/>
      </c>
      <c r="G421" s="175" t="str">
        <f aca="false">IF($A421="","",MAX($E421-$D421,0))</f>
        <v/>
      </c>
      <c r="H421" s="174" t="str">
        <f aca="false">IF($A421="","",IF($F421&gt;0,"Saldo Debit",IF($G421&gt;0,"Saldo Kredit","Zero")))</f>
        <v/>
      </c>
      <c r="I421" s="174" t="str">
        <f aca="false">IF($A421="","",IFERROR(VLOOKUP($A421,PLANI_LLOGARIVE!$A$2:$I$500,9,FALSE()),""))</f>
        <v/>
      </c>
      <c r="J421" s="101" t="str">
        <f aca="false">IF(A421="","",IF(OR(H421="Zero",I421="Debit/Credit"),"",IF(OR(AND(H421="Saldo Debit",I421="Debit"),AND(H421="Saldo Kredit",OR(I421="Credit",I421="Kredit"))),"","⚠️ JO NORMALE")))</f>
        <v/>
      </c>
    </row>
    <row r="422" customFormat="false" ht="12.75" hidden="false" customHeight="true" outlineLevel="0" collapsed="false">
      <c r="A422" s="172" t="str">
        <f aca="false">IF(AND(PLANI_LLOGARIVE!$A416&lt;&gt;"",PLANI_LLOGARIVE!$J416=TRUE()),PLANI_LLOGARIVE!$A416&amp;"","")</f>
        <v/>
      </c>
      <c r="B422" s="172" t="str">
        <f aca="false">IF($A422="","",IFERROR(VLOOKUP($A422,PLANI_LLOGARIVE!$A$2:$I$500,2,FALSE()),""))</f>
        <v/>
      </c>
      <c r="C422" s="172" t="str">
        <f aca="false">IF($A422="","",IFERROR(VLOOKUP($A422,PLANI_LLOGARIVE!$A$2:$I$500,4,FALSE()),""))</f>
        <v/>
      </c>
      <c r="D422" s="173" t="str">
        <f aca="false">IF($A422="","",SUMIFS(DITARI!$F$6:$F$550,DITARI!$D$6:$D$550,$A422))</f>
        <v/>
      </c>
      <c r="E422" s="173" t="str">
        <f aca="false">IF($A422="","",SUMIFS(DITARI!$G$6:$G$550,DITARI!$D$6:$D$550,$A422))</f>
        <v/>
      </c>
      <c r="F422" s="173" t="str">
        <f aca="false">IF($A422="","",MAX($D422-$E422,0))</f>
        <v/>
      </c>
      <c r="G422" s="173" t="str">
        <f aca="false">IF($A422="","",MAX($E422-$D422,0))</f>
        <v/>
      </c>
      <c r="H422" s="172" t="str">
        <f aca="false">IF($A422="","",IF($F422&gt;0,"Saldo Debit",IF($G422&gt;0,"Saldo Kredit","Zero")))</f>
        <v/>
      </c>
      <c r="I422" s="172" t="str">
        <f aca="false">IF($A422="","",IFERROR(VLOOKUP($A422,PLANI_LLOGARIVE!$A$2:$I$500,9,FALSE()),""))</f>
        <v/>
      </c>
      <c r="J422" s="101" t="str">
        <f aca="false">IF(A422="","",IF(OR(H422="Zero",I422="Debit/Credit"),"",IF(OR(AND(H422="Saldo Debit",I422="Debit"),AND(H422="Saldo Kredit",OR(I422="Credit",I422="Kredit"))),"","⚠️ JO NORMALE")))</f>
        <v/>
      </c>
    </row>
    <row r="423" customFormat="false" ht="12.75" hidden="false" customHeight="true" outlineLevel="0" collapsed="false">
      <c r="A423" s="174" t="str">
        <f aca="false">IF(AND(PLANI_LLOGARIVE!$A417&lt;&gt;"",PLANI_LLOGARIVE!$J417=TRUE()),PLANI_LLOGARIVE!$A417&amp;"","")</f>
        <v/>
      </c>
      <c r="B423" s="174" t="str">
        <f aca="false">IF($A423="","",IFERROR(VLOOKUP($A423,PLANI_LLOGARIVE!$A$2:$I$500,2,FALSE()),""))</f>
        <v/>
      </c>
      <c r="C423" s="174" t="str">
        <f aca="false">IF($A423="","",IFERROR(VLOOKUP($A423,PLANI_LLOGARIVE!$A$2:$I$500,4,FALSE()),""))</f>
        <v/>
      </c>
      <c r="D423" s="175" t="str">
        <f aca="false">IF($A423="","",SUMIFS(DITARI!$F$6:$F$550,DITARI!$D$6:$D$550,$A423))</f>
        <v/>
      </c>
      <c r="E423" s="175" t="str">
        <f aca="false">IF($A423="","",SUMIFS(DITARI!$G$6:$G$550,DITARI!$D$6:$D$550,$A423))</f>
        <v/>
      </c>
      <c r="F423" s="175" t="str">
        <f aca="false">IF($A423="","",MAX($D423-$E423,0))</f>
        <v/>
      </c>
      <c r="G423" s="175" t="str">
        <f aca="false">IF($A423="","",MAX($E423-$D423,0))</f>
        <v/>
      </c>
      <c r="H423" s="174" t="str">
        <f aca="false">IF($A423="","",IF($F423&gt;0,"Saldo Debit",IF($G423&gt;0,"Saldo Kredit","Zero")))</f>
        <v/>
      </c>
      <c r="I423" s="174" t="str">
        <f aca="false">IF($A423="","",IFERROR(VLOOKUP($A423,PLANI_LLOGARIVE!$A$2:$I$500,9,FALSE()),""))</f>
        <v/>
      </c>
      <c r="J423" s="101" t="str">
        <f aca="false">IF(A423="","",IF(OR(H423="Zero",I423="Debit/Credit"),"",IF(OR(AND(H423="Saldo Debit",I423="Debit"),AND(H423="Saldo Kredit",OR(I423="Credit",I423="Kredit"))),"","⚠️ JO NORMALE")))</f>
        <v/>
      </c>
    </row>
    <row r="424" customFormat="false" ht="12.75" hidden="false" customHeight="true" outlineLevel="0" collapsed="false">
      <c r="A424" s="172" t="str">
        <f aca="false">IF(AND(PLANI_LLOGARIVE!$A418&lt;&gt;"",PLANI_LLOGARIVE!$J418=TRUE()),PLANI_LLOGARIVE!$A418&amp;"","")</f>
        <v/>
      </c>
      <c r="B424" s="172" t="str">
        <f aca="false">IF($A424="","",IFERROR(VLOOKUP($A424,PLANI_LLOGARIVE!$A$2:$I$500,2,FALSE()),""))</f>
        <v/>
      </c>
      <c r="C424" s="172" t="str">
        <f aca="false">IF($A424="","",IFERROR(VLOOKUP($A424,PLANI_LLOGARIVE!$A$2:$I$500,4,FALSE()),""))</f>
        <v/>
      </c>
      <c r="D424" s="173" t="str">
        <f aca="false">IF($A424="","",SUMIFS(DITARI!$F$6:$F$550,DITARI!$D$6:$D$550,$A424))</f>
        <v/>
      </c>
      <c r="E424" s="173" t="str">
        <f aca="false">IF($A424="","",SUMIFS(DITARI!$G$6:$G$550,DITARI!$D$6:$D$550,$A424))</f>
        <v/>
      </c>
      <c r="F424" s="173" t="str">
        <f aca="false">IF($A424="","",MAX($D424-$E424,0))</f>
        <v/>
      </c>
      <c r="G424" s="173" t="str">
        <f aca="false">IF($A424="","",MAX($E424-$D424,0))</f>
        <v/>
      </c>
      <c r="H424" s="172" t="str">
        <f aca="false">IF($A424="","",IF($F424&gt;0,"Saldo Debit",IF($G424&gt;0,"Saldo Kredit","Zero")))</f>
        <v/>
      </c>
      <c r="I424" s="172" t="str">
        <f aca="false">IF($A424="","",IFERROR(VLOOKUP($A424,PLANI_LLOGARIVE!$A$2:$I$500,9,FALSE()),""))</f>
        <v/>
      </c>
      <c r="J424" s="101" t="str">
        <f aca="false">IF(A424="","",IF(OR(H424="Zero",I424="Debit/Credit"),"",IF(OR(AND(H424="Saldo Debit",I424="Debit"),AND(H424="Saldo Kredit",OR(I424="Credit",I424="Kredit"))),"","⚠️ JO NORMALE")))</f>
        <v/>
      </c>
    </row>
    <row r="425" customFormat="false" ht="12.75" hidden="false" customHeight="true" outlineLevel="0" collapsed="false">
      <c r="A425" s="174" t="str">
        <f aca="false">IF(AND(PLANI_LLOGARIVE!$A419&lt;&gt;"",PLANI_LLOGARIVE!$J419=TRUE()),PLANI_LLOGARIVE!$A419&amp;"","")</f>
        <v/>
      </c>
      <c r="B425" s="174" t="str">
        <f aca="false">IF($A425="","",IFERROR(VLOOKUP($A425,PLANI_LLOGARIVE!$A$2:$I$500,2,FALSE()),""))</f>
        <v/>
      </c>
      <c r="C425" s="174" t="str">
        <f aca="false">IF($A425="","",IFERROR(VLOOKUP($A425,PLANI_LLOGARIVE!$A$2:$I$500,4,FALSE()),""))</f>
        <v/>
      </c>
      <c r="D425" s="175" t="str">
        <f aca="false">IF($A425="","",SUMIFS(DITARI!$F$6:$F$550,DITARI!$D$6:$D$550,$A425))</f>
        <v/>
      </c>
      <c r="E425" s="175" t="str">
        <f aca="false">IF($A425="","",SUMIFS(DITARI!$G$6:$G$550,DITARI!$D$6:$D$550,$A425))</f>
        <v/>
      </c>
      <c r="F425" s="175" t="str">
        <f aca="false">IF($A425="","",MAX($D425-$E425,0))</f>
        <v/>
      </c>
      <c r="G425" s="175" t="str">
        <f aca="false">IF($A425="","",MAX($E425-$D425,0))</f>
        <v/>
      </c>
      <c r="H425" s="174" t="str">
        <f aca="false">IF($A425="","",IF($F425&gt;0,"Saldo Debit",IF($G425&gt;0,"Saldo Kredit","Zero")))</f>
        <v/>
      </c>
      <c r="I425" s="174" t="str">
        <f aca="false">IF($A425="","",IFERROR(VLOOKUP($A425,PLANI_LLOGARIVE!$A$2:$I$500,9,FALSE()),""))</f>
        <v/>
      </c>
      <c r="J425" s="101" t="str">
        <f aca="false">IF(A425="","",IF(OR(H425="Zero",I425="Debit/Credit"),"",IF(OR(AND(H425="Saldo Debit",I425="Debit"),AND(H425="Saldo Kredit",OR(I425="Credit",I425="Kredit"))),"","⚠️ JO NORMALE")))</f>
        <v/>
      </c>
    </row>
    <row r="426" customFormat="false" ht="12.75" hidden="false" customHeight="true" outlineLevel="0" collapsed="false">
      <c r="A426" s="172" t="str">
        <f aca="false">IF(AND(PLANI_LLOGARIVE!$A420&lt;&gt;"",PLANI_LLOGARIVE!$J420=TRUE()),PLANI_LLOGARIVE!$A420&amp;"","")</f>
        <v/>
      </c>
      <c r="B426" s="172" t="str">
        <f aca="false">IF($A426="","",IFERROR(VLOOKUP($A426,PLANI_LLOGARIVE!$A$2:$I$500,2,FALSE()),""))</f>
        <v/>
      </c>
      <c r="C426" s="172" t="str">
        <f aca="false">IF($A426="","",IFERROR(VLOOKUP($A426,PLANI_LLOGARIVE!$A$2:$I$500,4,FALSE()),""))</f>
        <v/>
      </c>
      <c r="D426" s="173" t="str">
        <f aca="false">IF($A426="","",SUMIFS(DITARI!$F$6:$F$550,DITARI!$D$6:$D$550,$A426))</f>
        <v/>
      </c>
      <c r="E426" s="173" t="str">
        <f aca="false">IF($A426="","",SUMIFS(DITARI!$G$6:$G$550,DITARI!$D$6:$D$550,$A426))</f>
        <v/>
      </c>
      <c r="F426" s="173" t="str">
        <f aca="false">IF($A426="","",MAX($D426-$E426,0))</f>
        <v/>
      </c>
      <c r="G426" s="173" t="str">
        <f aca="false">IF($A426="","",MAX($E426-$D426,0))</f>
        <v/>
      </c>
      <c r="H426" s="172" t="str">
        <f aca="false">IF($A426="","",IF($F426&gt;0,"Saldo Debit",IF($G426&gt;0,"Saldo Kredit","Zero")))</f>
        <v/>
      </c>
      <c r="I426" s="172" t="str">
        <f aca="false">IF($A426="","",IFERROR(VLOOKUP($A426,PLANI_LLOGARIVE!$A$2:$I$500,9,FALSE()),""))</f>
        <v/>
      </c>
      <c r="J426" s="101" t="str">
        <f aca="false">IF(A426="","",IF(OR(H426="Zero",I426="Debit/Credit"),"",IF(OR(AND(H426="Saldo Debit",I426="Debit"),AND(H426="Saldo Kredit",OR(I426="Credit",I426="Kredit"))),"","⚠️ JO NORMALE")))</f>
        <v/>
      </c>
    </row>
    <row r="427" customFormat="false" ht="12.75" hidden="false" customHeight="true" outlineLevel="0" collapsed="false">
      <c r="A427" s="174" t="str">
        <f aca="false">IF(AND(PLANI_LLOGARIVE!$A421&lt;&gt;"",PLANI_LLOGARIVE!$J421=TRUE()),PLANI_LLOGARIVE!$A421&amp;"","")</f>
        <v/>
      </c>
      <c r="B427" s="174" t="str">
        <f aca="false">IF($A427="","",IFERROR(VLOOKUP($A427,PLANI_LLOGARIVE!$A$2:$I$500,2,FALSE()),""))</f>
        <v/>
      </c>
      <c r="C427" s="174" t="str">
        <f aca="false">IF($A427="","",IFERROR(VLOOKUP($A427,PLANI_LLOGARIVE!$A$2:$I$500,4,FALSE()),""))</f>
        <v/>
      </c>
      <c r="D427" s="175" t="str">
        <f aca="false">IF($A427="","",SUMIFS(DITARI!$F$6:$F$550,DITARI!$D$6:$D$550,$A427))</f>
        <v/>
      </c>
      <c r="E427" s="175" t="str">
        <f aca="false">IF($A427="","",SUMIFS(DITARI!$G$6:$G$550,DITARI!$D$6:$D$550,$A427))</f>
        <v/>
      </c>
      <c r="F427" s="175" t="str">
        <f aca="false">IF($A427="","",MAX($D427-$E427,0))</f>
        <v/>
      </c>
      <c r="G427" s="175" t="str">
        <f aca="false">IF($A427="","",MAX($E427-$D427,0))</f>
        <v/>
      </c>
      <c r="H427" s="174" t="str">
        <f aca="false">IF($A427="","",IF($F427&gt;0,"Saldo Debit",IF($G427&gt;0,"Saldo Kredit","Zero")))</f>
        <v/>
      </c>
      <c r="I427" s="174" t="str">
        <f aca="false">IF($A427="","",IFERROR(VLOOKUP($A427,PLANI_LLOGARIVE!$A$2:$I$500,9,FALSE()),""))</f>
        <v/>
      </c>
      <c r="J427" s="101" t="str">
        <f aca="false">IF(A427="","",IF(OR(H427="Zero",I427="Debit/Credit"),"",IF(OR(AND(H427="Saldo Debit",I427="Debit"),AND(H427="Saldo Kredit",OR(I427="Credit",I427="Kredit"))),"","⚠️ JO NORMALE")))</f>
        <v/>
      </c>
    </row>
    <row r="428" customFormat="false" ht="12.75" hidden="false" customHeight="true" outlineLevel="0" collapsed="false">
      <c r="A428" s="172" t="str">
        <f aca="false">IF(AND(PLANI_LLOGARIVE!$A422&lt;&gt;"",PLANI_LLOGARIVE!$J422=TRUE()),PLANI_LLOGARIVE!$A422&amp;"","")</f>
        <v/>
      </c>
      <c r="B428" s="172" t="str">
        <f aca="false">IF($A428="","",IFERROR(VLOOKUP($A428,PLANI_LLOGARIVE!$A$2:$I$500,2,FALSE()),""))</f>
        <v/>
      </c>
      <c r="C428" s="172" t="str">
        <f aca="false">IF($A428="","",IFERROR(VLOOKUP($A428,PLANI_LLOGARIVE!$A$2:$I$500,4,FALSE()),""))</f>
        <v/>
      </c>
      <c r="D428" s="173" t="str">
        <f aca="false">IF($A428="","",SUMIFS(DITARI!$F$6:$F$550,DITARI!$D$6:$D$550,$A428))</f>
        <v/>
      </c>
      <c r="E428" s="173" t="str">
        <f aca="false">IF($A428="","",SUMIFS(DITARI!$G$6:$G$550,DITARI!$D$6:$D$550,$A428))</f>
        <v/>
      </c>
      <c r="F428" s="173" t="str">
        <f aca="false">IF($A428="","",MAX($D428-$E428,0))</f>
        <v/>
      </c>
      <c r="G428" s="173" t="str">
        <f aca="false">IF($A428="","",MAX($E428-$D428,0))</f>
        <v/>
      </c>
      <c r="H428" s="172" t="str">
        <f aca="false">IF($A428="","",IF($F428&gt;0,"Saldo Debit",IF($G428&gt;0,"Saldo Kredit","Zero")))</f>
        <v/>
      </c>
      <c r="I428" s="172" t="str">
        <f aca="false">IF($A428="","",IFERROR(VLOOKUP($A428,PLANI_LLOGARIVE!$A$2:$I$500,9,FALSE()),""))</f>
        <v/>
      </c>
      <c r="J428" s="101" t="str">
        <f aca="false">IF(A428="","",IF(OR(H428="Zero",I428="Debit/Credit"),"",IF(OR(AND(H428="Saldo Debit",I428="Debit"),AND(H428="Saldo Kredit",OR(I428="Credit",I428="Kredit"))),"","⚠️ JO NORMALE")))</f>
        <v/>
      </c>
    </row>
    <row r="429" customFormat="false" ht="12.75" hidden="false" customHeight="true" outlineLevel="0" collapsed="false">
      <c r="A429" s="174" t="str">
        <f aca="false">IF(AND(PLANI_LLOGARIVE!$A423&lt;&gt;"",PLANI_LLOGARIVE!$J423=TRUE()),PLANI_LLOGARIVE!$A423&amp;"","")</f>
        <v/>
      </c>
      <c r="B429" s="174" t="str">
        <f aca="false">IF($A429="","",IFERROR(VLOOKUP($A429,PLANI_LLOGARIVE!$A$2:$I$500,2,FALSE()),""))</f>
        <v/>
      </c>
      <c r="C429" s="174" t="str">
        <f aca="false">IF($A429="","",IFERROR(VLOOKUP($A429,PLANI_LLOGARIVE!$A$2:$I$500,4,FALSE()),""))</f>
        <v/>
      </c>
      <c r="D429" s="175" t="str">
        <f aca="false">IF($A429="","",SUMIFS(DITARI!$F$6:$F$550,DITARI!$D$6:$D$550,$A429))</f>
        <v/>
      </c>
      <c r="E429" s="175" t="str">
        <f aca="false">IF($A429="","",SUMIFS(DITARI!$G$6:$G$550,DITARI!$D$6:$D$550,$A429))</f>
        <v/>
      </c>
      <c r="F429" s="175" t="str">
        <f aca="false">IF($A429="","",MAX($D429-$E429,0))</f>
        <v/>
      </c>
      <c r="G429" s="175" t="str">
        <f aca="false">IF($A429="","",MAX($E429-$D429,0))</f>
        <v/>
      </c>
      <c r="H429" s="174" t="str">
        <f aca="false">IF($A429="","",IF($F429&gt;0,"Saldo Debit",IF($G429&gt;0,"Saldo Kredit","Zero")))</f>
        <v/>
      </c>
      <c r="I429" s="174" t="str">
        <f aca="false">IF($A429="","",IFERROR(VLOOKUP($A429,PLANI_LLOGARIVE!$A$2:$I$500,9,FALSE()),""))</f>
        <v/>
      </c>
      <c r="J429" s="101" t="str">
        <f aca="false">IF(A429="","",IF(OR(H429="Zero",I429="Debit/Credit"),"",IF(OR(AND(H429="Saldo Debit",I429="Debit"),AND(H429="Saldo Kredit",OR(I429="Credit",I429="Kredit"))),"","⚠️ JO NORMALE")))</f>
        <v/>
      </c>
    </row>
    <row r="430" customFormat="false" ht="12.75" hidden="false" customHeight="true" outlineLevel="0" collapsed="false">
      <c r="A430" s="172" t="str">
        <f aca="false">IF(AND(PLANI_LLOGARIVE!$A424&lt;&gt;"",PLANI_LLOGARIVE!$J424=TRUE()),PLANI_LLOGARIVE!$A424&amp;"","")</f>
        <v/>
      </c>
      <c r="B430" s="172" t="str">
        <f aca="false">IF($A430="","",IFERROR(VLOOKUP($A430,PLANI_LLOGARIVE!$A$2:$I$500,2,FALSE()),""))</f>
        <v/>
      </c>
      <c r="C430" s="172" t="str">
        <f aca="false">IF($A430="","",IFERROR(VLOOKUP($A430,PLANI_LLOGARIVE!$A$2:$I$500,4,FALSE()),""))</f>
        <v/>
      </c>
      <c r="D430" s="173" t="str">
        <f aca="false">IF($A430="","",SUMIFS(DITARI!$F$6:$F$550,DITARI!$D$6:$D$550,$A430))</f>
        <v/>
      </c>
      <c r="E430" s="173" t="str">
        <f aca="false">IF($A430="","",SUMIFS(DITARI!$G$6:$G$550,DITARI!$D$6:$D$550,$A430))</f>
        <v/>
      </c>
      <c r="F430" s="173" t="str">
        <f aca="false">IF($A430="","",MAX($D430-$E430,0))</f>
        <v/>
      </c>
      <c r="G430" s="173" t="str">
        <f aca="false">IF($A430="","",MAX($E430-$D430,0))</f>
        <v/>
      </c>
      <c r="H430" s="172" t="str">
        <f aca="false">IF($A430="","",IF($F430&gt;0,"Saldo Debit",IF($G430&gt;0,"Saldo Kredit","Zero")))</f>
        <v/>
      </c>
      <c r="I430" s="172" t="str">
        <f aca="false">IF($A430="","",IFERROR(VLOOKUP($A430,PLANI_LLOGARIVE!$A$2:$I$500,9,FALSE()),""))</f>
        <v/>
      </c>
      <c r="J430" s="101" t="str">
        <f aca="false">IF(A430="","",IF(OR(H430="Zero",I430="Debit/Credit"),"",IF(OR(AND(H430="Saldo Debit",I430="Debit"),AND(H430="Saldo Kredit",OR(I430="Credit",I430="Kredit"))),"","⚠️ JO NORMALE")))</f>
        <v/>
      </c>
    </row>
    <row r="431" customFormat="false" ht="12.75" hidden="false" customHeight="true" outlineLevel="0" collapsed="false">
      <c r="A431" s="174" t="str">
        <f aca="false">IF(AND(PLANI_LLOGARIVE!$A425&lt;&gt;"",PLANI_LLOGARIVE!$J425=TRUE()),PLANI_LLOGARIVE!$A425&amp;"","")</f>
        <v/>
      </c>
      <c r="B431" s="174" t="str">
        <f aca="false">IF($A431="","",IFERROR(VLOOKUP($A431,PLANI_LLOGARIVE!$A$2:$I$500,2,FALSE()),""))</f>
        <v/>
      </c>
      <c r="C431" s="174" t="str">
        <f aca="false">IF($A431="","",IFERROR(VLOOKUP($A431,PLANI_LLOGARIVE!$A$2:$I$500,4,FALSE()),""))</f>
        <v/>
      </c>
      <c r="D431" s="175" t="str">
        <f aca="false">IF($A431="","",SUMIFS(DITARI!$F$6:$F$550,DITARI!$D$6:$D$550,$A431))</f>
        <v/>
      </c>
      <c r="E431" s="175" t="str">
        <f aca="false">IF($A431="","",SUMIFS(DITARI!$G$6:$G$550,DITARI!$D$6:$D$550,$A431))</f>
        <v/>
      </c>
      <c r="F431" s="175" t="str">
        <f aca="false">IF($A431="","",MAX($D431-$E431,0))</f>
        <v/>
      </c>
      <c r="G431" s="175" t="str">
        <f aca="false">IF($A431="","",MAX($E431-$D431,0))</f>
        <v/>
      </c>
      <c r="H431" s="174" t="str">
        <f aca="false">IF($A431="","",IF($F431&gt;0,"Saldo Debit",IF($G431&gt;0,"Saldo Kredit","Zero")))</f>
        <v/>
      </c>
      <c r="I431" s="174" t="str">
        <f aca="false">IF($A431="","",IFERROR(VLOOKUP($A431,PLANI_LLOGARIVE!$A$2:$I$500,9,FALSE()),""))</f>
        <v/>
      </c>
      <c r="J431" s="101" t="str">
        <f aca="false">IF(A431="","",IF(OR(H431="Zero",I431="Debit/Credit"),"",IF(OR(AND(H431="Saldo Debit",I431="Debit"),AND(H431="Saldo Kredit",OR(I431="Credit",I431="Kredit"))),"","⚠️ JO NORMALE")))</f>
        <v/>
      </c>
    </row>
    <row r="432" customFormat="false" ht="12.75" hidden="false" customHeight="true" outlineLevel="0" collapsed="false">
      <c r="A432" s="172" t="str">
        <f aca="false">IF(AND(PLANI_LLOGARIVE!$A426&lt;&gt;"",PLANI_LLOGARIVE!$J426=TRUE()),PLANI_LLOGARIVE!$A426&amp;"","")</f>
        <v/>
      </c>
      <c r="B432" s="172" t="str">
        <f aca="false">IF($A432="","",IFERROR(VLOOKUP($A432,PLANI_LLOGARIVE!$A$2:$I$500,2,FALSE()),""))</f>
        <v/>
      </c>
      <c r="C432" s="172" t="str">
        <f aca="false">IF($A432="","",IFERROR(VLOOKUP($A432,PLANI_LLOGARIVE!$A$2:$I$500,4,FALSE()),""))</f>
        <v/>
      </c>
      <c r="D432" s="173" t="str">
        <f aca="false">IF($A432="","",SUMIFS(DITARI!$F$6:$F$550,DITARI!$D$6:$D$550,$A432))</f>
        <v/>
      </c>
      <c r="E432" s="173" t="str">
        <f aca="false">IF($A432="","",SUMIFS(DITARI!$G$6:$G$550,DITARI!$D$6:$D$550,$A432))</f>
        <v/>
      </c>
      <c r="F432" s="173" t="str">
        <f aca="false">IF($A432="","",MAX($D432-$E432,0))</f>
        <v/>
      </c>
      <c r="G432" s="173" t="str">
        <f aca="false">IF($A432="","",MAX($E432-$D432,0))</f>
        <v/>
      </c>
      <c r="H432" s="172" t="str">
        <f aca="false">IF($A432="","",IF($F432&gt;0,"Saldo Debit",IF($G432&gt;0,"Saldo Kredit","Zero")))</f>
        <v/>
      </c>
      <c r="I432" s="172" t="str">
        <f aca="false">IF($A432="","",IFERROR(VLOOKUP($A432,PLANI_LLOGARIVE!$A$2:$I$500,9,FALSE()),""))</f>
        <v/>
      </c>
      <c r="J432" s="101" t="str">
        <f aca="false">IF(A432="","",IF(OR(H432="Zero",I432="Debit/Credit"),"",IF(OR(AND(H432="Saldo Debit",I432="Debit"),AND(H432="Saldo Kredit",OR(I432="Credit",I432="Kredit"))),"","⚠️ JO NORMALE")))</f>
        <v/>
      </c>
    </row>
    <row r="433" customFormat="false" ht="12.75" hidden="false" customHeight="true" outlineLevel="0" collapsed="false">
      <c r="A433" s="174" t="str">
        <f aca="false">IF(AND(PLANI_LLOGARIVE!$A427&lt;&gt;"",PLANI_LLOGARIVE!$J427=TRUE()),PLANI_LLOGARIVE!$A427&amp;"","")</f>
        <v/>
      </c>
      <c r="B433" s="174" t="str">
        <f aca="false">IF($A433="","",IFERROR(VLOOKUP($A433,PLANI_LLOGARIVE!$A$2:$I$500,2,FALSE()),""))</f>
        <v/>
      </c>
      <c r="C433" s="174" t="str">
        <f aca="false">IF($A433="","",IFERROR(VLOOKUP($A433,PLANI_LLOGARIVE!$A$2:$I$500,4,FALSE()),""))</f>
        <v/>
      </c>
      <c r="D433" s="175" t="str">
        <f aca="false">IF($A433="","",SUMIFS(DITARI!$F$6:$F$550,DITARI!$D$6:$D$550,$A433))</f>
        <v/>
      </c>
      <c r="E433" s="175" t="str">
        <f aca="false">IF($A433="","",SUMIFS(DITARI!$G$6:$G$550,DITARI!$D$6:$D$550,$A433))</f>
        <v/>
      </c>
      <c r="F433" s="175" t="str">
        <f aca="false">IF($A433="","",MAX($D433-$E433,0))</f>
        <v/>
      </c>
      <c r="G433" s="175" t="str">
        <f aca="false">IF($A433="","",MAX($E433-$D433,0))</f>
        <v/>
      </c>
      <c r="H433" s="174" t="str">
        <f aca="false">IF($A433="","",IF($F433&gt;0,"Saldo Debit",IF($G433&gt;0,"Saldo Kredit","Zero")))</f>
        <v/>
      </c>
      <c r="I433" s="174" t="str">
        <f aca="false">IF($A433="","",IFERROR(VLOOKUP($A433,PLANI_LLOGARIVE!$A$2:$I$500,9,FALSE()),""))</f>
        <v/>
      </c>
      <c r="J433" s="101" t="str">
        <f aca="false">IF(A433="","",IF(OR(H433="Zero",I433="Debit/Credit"),"",IF(OR(AND(H433="Saldo Debit",I433="Debit"),AND(H433="Saldo Kredit",OR(I433="Credit",I433="Kredit"))),"","⚠️ JO NORMALE")))</f>
        <v/>
      </c>
    </row>
    <row r="434" customFormat="false" ht="12.75" hidden="false" customHeight="true" outlineLevel="0" collapsed="false">
      <c r="A434" s="172" t="str">
        <f aca="false">IF(AND(PLANI_LLOGARIVE!$A428&lt;&gt;"",PLANI_LLOGARIVE!$J428=TRUE()),PLANI_LLOGARIVE!$A428&amp;"","")</f>
        <v/>
      </c>
      <c r="B434" s="172" t="str">
        <f aca="false">IF($A434="","",IFERROR(VLOOKUP($A434,PLANI_LLOGARIVE!$A$2:$I$500,2,FALSE()),""))</f>
        <v/>
      </c>
      <c r="C434" s="172" t="str">
        <f aca="false">IF($A434="","",IFERROR(VLOOKUP($A434,PLANI_LLOGARIVE!$A$2:$I$500,4,FALSE()),""))</f>
        <v/>
      </c>
      <c r="D434" s="173" t="str">
        <f aca="false">IF($A434="","",SUMIFS(DITARI!$F$6:$F$550,DITARI!$D$6:$D$550,$A434))</f>
        <v/>
      </c>
      <c r="E434" s="173" t="str">
        <f aca="false">IF($A434="","",SUMIFS(DITARI!$G$6:$G$550,DITARI!$D$6:$D$550,$A434))</f>
        <v/>
      </c>
      <c r="F434" s="173" t="str">
        <f aca="false">IF($A434="","",MAX($D434-$E434,0))</f>
        <v/>
      </c>
      <c r="G434" s="173" t="str">
        <f aca="false">IF($A434="","",MAX($E434-$D434,0))</f>
        <v/>
      </c>
      <c r="H434" s="172" t="str">
        <f aca="false">IF($A434="","",IF($F434&gt;0,"Saldo Debit",IF($G434&gt;0,"Saldo Kredit","Zero")))</f>
        <v/>
      </c>
      <c r="I434" s="172" t="str">
        <f aca="false">IF($A434="","",IFERROR(VLOOKUP($A434,PLANI_LLOGARIVE!$A$2:$I$500,9,FALSE()),""))</f>
        <v/>
      </c>
      <c r="J434" s="101" t="str">
        <f aca="false">IF(A434="","",IF(OR(H434="Zero",I434="Debit/Credit"),"",IF(OR(AND(H434="Saldo Debit",I434="Debit"),AND(H434="Saldo Kredit",OR(I434="Credit",I434="Kredit"))),"","⚠️ JO NORMALE")))</f>
        <v/>
      </c>
    </row>
    <row r="435" customFormat="false" ht="12.75" hidden="false" customHeight="true" outlineLevel="0" collapsed="false">
      <c r="A435" s="174" t="str">
        <f aca="false">IF(AND(PLANI_LLOGARIVE!$A429&lt;&gt;"",PLANI_LLOGARIVE!$J429=TRUE()),PLANI_LLOGARIVE!$A429&amp;"","")</f>
        <v/>
      </c>
      <c r="B435" s="174" t="str">
        <f aca="false">IF($A435="","",IFERROR(VLOOKUP($A435,PLANI_LLOGARIVE!$A$2:$I$500,2,FALSE()),""))</f>
        <v/>
      </c>
      <c r="C435" s="174" t="str">
        <f aca="false">IF($A435="","",IFERROR(VLOOKUP($A435,PLANI_LLOGARIVE!$A$2:$I$500,4,FALSE()),""))</f>
        <v/>
      </c>
      <c r="D435" s="175" t="str">
        <f aca="false">IF($A435="","",SUMIFS(DITARI!$F$6:$F$550,DITARI!$D$6:$D$550,$A435))</f>
        <v/>
      </c>
      <c r="E435" s="175" t="str">
        <f aca="false">IF($A435="","",SUMIFS(DITARI!$G$6:$G$550,DITARI!$D$6:$D$550,$A435))</f>
        <v/>
      </c>
      <c r="F435" s="175" t="str">
        <f aca="false">IF($A435="","",MAX($D435-$E435,0))</f>
        <v/>
      </c>
      <c r="G435" s="175" t="str">
        <f aca="false">IF($A435="","",MAX($E435-$D435,0))</f>
        <v/>
      </c>
      <c r="H435" s="174" t="str">
        <f aca="false">IF($A435="","",IF($F435&gt;0,"Saldo Debit",IF($G435&gt;0,"Saldo Kredit","Zero")))</f>
        <v/>
      </c>
      <c r="I435" s="174" t="str">
        <f aca="false">IF($A435="","",IFERROR(VLOOKUP($A435,PLANI_LLOGARIVE!$A$2:$I$500,9,FALSE()),""))</f>
        <v/>
      </c>
      <c r="J435" s="101" t="str">
        <f aca="false">IF(A435="","",IF(OR(H435="Zero",I435="Debit/Credit"),"",IF(OR(AND(H435="Saldo Debit",I435="Debit"),AND(H435="Saldo Kredit",OR(I435="Credit",I435="Kredit"))),"","⚠️ JO NORMALE")))</f>
        <v/>
      </c>
    </row>
    <row r="436" customFormat="false" ht="12.75" hidden="false" customHeight="true" outlineLevel="0" collapsed="false">
      <c r="A436" s="172" t="str">
        <f aca="false">IF(AND(PLANI_LLOGARIVE!$A430&lt;&gt;"",PLANI_LLOGARIVE!$J430=TRUE()),PLANI_LLOGARIVE!$A430&amp;"","")</f>
        <v/>
      </c>
      <c r="B436" s="172" t="str">
        <f aca="false">IF($A436="","",IFERROR(VLOOKUP($A436,PLANI_LLOGARIVE!$A$2:$I$500,2,FALSE()),""))</f>
        <v/>
      </c>
      <c r="C436" s="172" t="str">
        <f aca="false">IF($A436="","",IFERROR(VLOOKUP($A436,PLANI_LLOGARIVE!$A$2:$I$500,4,FALSE()),""))</f>
        <v/>
      </c>
      <c r="D436" s="173" t="str">
        <f aca="false">IF($A436="","",SUMIFS(DITARI!$F$6:$F$550,DITARI!$D$6:$D$550,$A436))</f>
        <v/>
      </c>
      <c r="E436" s="173" t="str">
        <f aca="false">IF($A436="","",SUMIFS(DITARI!$G$6:$G$550,DITARI!$D$6:$D$550,$A436))</f>
        <v/>
      </c>
      <c r="F436" s="173" t="str">
        <f aca="false">IF($A436="","",MAX($D436-$E436,0))</f>
        <v/>
      </c>
      <c r="G436" s="173" t="str">
        <f aca="false">IF($A436="","",MAX($E436-$D436,0))</f>
        <v/>
      </c>
      <c r="H436" s="172" t="str">
        <f aca="false">IF($A436="","",IF($F436&gt;0,"Saldo Debit",IF($G436&gt;0,"Saldo Kredit","Zero")))</f>
        <v/>
      </c>
      <c r="I436" s="172" t="str">
        <f aca="false">IF($A436="","",IFERROR(VLOOKUP($A436,PLANI_LLOGARIVE!$A$2:$I$500,9,FALSE()),""))</f>
        <v/>
      </c>
      <c r="J436" s="101" t="str">
        <f aca="false">IF(A436="","",IF(OR(H436="Zero",I436="Debit/Credit"),"",IF(OR(AND(H436="Saldo Debit",I436="Debit"),AND(H436="Saldo Kredit",OR(I436="Credit",I436="Kredit"))),"","⚠️ JO NORMALE")))</f>
        <v/>
      </c>
    </row>
    <row r="437" customFormat="false" ht="12.75" hidden="false" customHeight="true" outlineLevel="0" collapsed="false">
      <c r="A437" s="174" t="str">
        <f aca="false">IF(AND(PLANI_LLOGARIVE!$A431&lt;&gt;"",PLANI_LLOGARIVE!$J431=TRUE()),PLANI_LLOGARIVE!$A431&amp;"","")</f>
        <v/>
      </c>
      <c r="B437" s="174" t="str">
        <f aca="false">IF($A437="","",IFERROR(VLOOKUP($A437,PLANI_LLOGARIVE!$A$2:$I$500,2,FALSE()),""))</f>
        <v/>
      </c>
      <c r="C437" s="174" t="str">
        <f aca="false">IF($A437="","",IFERROR(VLOOKUP($A437,PLANI_LLOGARIVE!$A$2:$I$500,4,FALSE()),""))</f>
        <v/>
      </c>
      <c r="D437" s="175" t="str">
        <f aca="false">IF($A437="","",SUMIFS(DITARI!$F$6:$F$550,DITARI!$D$6:$D$550,$A437))</f>
        <v/>
      </c>
      <c r="E437" s="175" t="str">
        <f aca="false">IF($A437="","",SUMIFS(DITARI!$G$6:$G$550,DITARI!$D$6:$D$550,$A437))</f>
        <v/>
      </c>
      <c r="F437" s="175" t="str">
        <f aca="false">IF($A437="","",MAX($D437-$E437,0))</f>
        <v/>
      </c>
      <c r="G437" s="175" t="str">
        <f aca="false">IF($A437="","",MAX($E437-$D437,0))</f>
        <v/>
      </c>
      <c r="H437" s="174" t="str">
        <f aca="false">IF($A437="","",IF($F437&gt;0,"Saldo Debit",IF($G437&gt;0,"Saldo Kredit","Zero")))</f>
        <v/>
      </c>
      <c r="I437" s="174" t="str">
        <f aca="false">IF($A437="","",IFERROR(VLOOKUP($A437,PLANI_LLOGARIVE!$A$2:$I$500,9,FALSE()),""))</f>
        <v/>
      </c>
      <c r="J437" s="101" t="str">
        <f aca="false">IF(A437="","",IF(OR(H437="Zero",I437="Debit/Credit"),"",IF(OR(AND(H437="Saldo Debit",I437="Debit"),AND(H437="Saldo Kredit",OR(I437="Credit",I437="Kredit"))),"","⚠️ JO NORMALE")))</f>
        <v/>
      </c>
    </row>
    <row r="438" customFormat="false" ht="12.75" hidden="false" customHeight="true" outlineLevel="0" collapsed="false">
      <c r="A438" s="172" t="str">
        <f aca="false">IF(AND(PLANI_LLOGARIVE!$A432&lt;&gt;"",PLANI_LLOGARIVE!$J432=TRUE()),PLANI_LLOGARIVE!$A432&amp;"","")</f>
        <v/>
      </c>
      <c r="B438" s="172" t="str">
        <f aca="false">IF($A438="","",IFERROR(VLOOKUP($A438,PLANI_LLOGARIVE!$A$2:$I$500,2,FALSE()),""))</f>
        <v/>
      </c>
      <c r="C438" s="172" t="str">
        <f aca="false">IF($A438="","",IFERROR(VLOOKUP($A438,PLANI_LLOGARIVE!$A$2:$I$500,4,FALSE()),""))</f>
        <v/>
      </c>
      <c r="D438" s="173" t="str">
        <f aca="false">IF($A438="","",SUMIFS(DITARI!$F$6:$F$550,DITARI!$D$6:$D$550,$A438))</f>
        <v/>
      </c>
      <c r="E438" s="173" t="str">
        <f aca="false">IF($A438="","",SUMIFS(DITARI!$G$6:$G$550,DITARI!$D$6:$D$550,$A438))</f>
        <v/>
      </c>
      <c r="F438" s="173" t="str">
        <f aca="false">IF($A438="","",MAX($D438-$E438,0))</f>
        <v/>
      </c>
      <c r="G438" s="173" t="str">
        <f aca="false">IF($A438="","",MAX($E438-$D438,0))</f>
        <v/>
      </c>
      <c r="H438" s="172" t="str">
        <f aca="false">IF($A438="","",IF($F438&gt;0,"Saldo Debit",IF($G438&gt;0,"Saldo Kredit","Zero")))</f>
        <v/>
      </c>
      <c r="I438" s="172" t="str">
        <f aca="false">IF($A438="","",IFERROR(VLOOKUP($A438,PLANI_LLOGARIVE!$A$2:$I$500,9,FALSE()),""))</f>
        <v/>
      </c>
      <c r="J438" s="101" t="str">
        <f aca="false">IF(A438="","",IF(OR(H438="Zero",I438="Debit/Credit"),"",IF(OR(AND(H438="Saldo Debit",I438="Debit"),AND(H438="Saldo Kredit",OR(I438="Credit",I438="Kredit"))),"","⚠️ JO NORMALE")))</f>
        <v/>
      </c>
    </row>
    <row r="439" customFormat="false" ht="12.75" hidden="false" customHeight="true" outlineLevel="0" collapsed="false">
      <c r="A439" s="174" t="str">
        <f aca="false">IF(AND(PLANI_LLOGARIVE!$A433&lt;&gt;"",PLANI_LLOGARIVE!$J433=TRUE()),PLANI_LLOGARIVE!$A433&amp;"","")</f>
        <v/>
      </c>
      <c r="B439" s="174" t="str">
        <f aca="false">IF($A439="","",IFERROR(VLOOKUP($A439,PLANI_LLOGARIVE!$A$2:$I$500,2,FALSE()),""))</f>
        <v/>
      </c>
      <c r="C439" s="174" t="str">
        <f aca="false">IF($A439="","",IFERROR(VLOOKUP($A439,PLANI_LLOGARIVE!$A$2:$I$500,4,FALSE()),""))</f>
        <v/>
      </c>
      <c r="D439" s="175" t="str">
        <f aca="false">IF($A439="","",SUMIFS(DITARI!$F$6:$F$550,DITARI!$D$6:$D$550,$A439))</f>
        <v/>
      </c>
      <c r="E439" s="175" t="str">
        <f aca="false">IF($A439="","",SUMIFS(DITARI!$G$6:$G$550,DITARI!$D$6:$D$550,$A439))</f>
        <v/>
      </c>
      <c r="F439" s="175" t="str">
        <f aca="false">IF($A439="","",MAX($D439-$E439,0))</f>
        <v/>
      </c>
      <c r="G439" s="175" t="str">
        <f aca="false">IF($A439="","",MAX($E439-$D439,0))</f>
        <v/>
      </c>
      <c r="H439" s="174" t="str">
        <f aca="false">IF($A439="","",IF($F439&gt;0,"Saldo Debit",IF($G439&gt;0,"Saldo Kredit","Zero")))</f>
        <v/>
      </c>
      <c r="I439" s="174" t="str">
        <f aca="false">IF($A439="","",IFERROR(VLOOKUP($A439,PLANI_LLOGARIVE!$A$2:$I$500,9,FALSE()),""))</f>
        <v/>
      </c>
      <c r="J439" s="101" t="str">
        <f aca="false">IF(A439="","",IF(OR(H439="Zero",I439="Debit/Credit"),"",IF(OR(AND(H439="Saldo Debit",I439="Debit"),AND(H439="Saldo Kredit",OR(I439="Credit",I439="Kredit"))),"","⚠️ JO NORMALE")))</f>
        <v/>
      </c>
    </row>
    <row r="440" customFormat="false" ht="12.75" hidden="false" customHeight="true" outlineLevel="0" collapsed="false">
      <c r="A440" s="172" t="str">
        <f aca="false">IF(AND(PLANI_LLOGARIVE!$A434&lt;&gt;"",PLANI_LLOGARIVE!$J434=TRUE()),PLANI_LLOGARIVE!$A434&amp;"","")</f>
        <v/>
      </c>
      <c r="B440" s="172" t="str">
        <f aca="false">IF($A440="","",IFERROR(VLOOKUP($A440,PLANI_LLOGARIVE!$A$2:$I$500,2,FALSE()),""))</f>
        <v/>
      </c>
      <c r="C440" s="172" t="str">
        <f aca="false">IF($A440="","",IFERROR(VLOOKUP($A440,PLANI_LLOGARIVE!$A$2:$I$500,4,FALSE()),""))</f>
        <v/>
      </c>
      <c r="D440" s="173" t="str">
        <f aca="false">IF($A440="","",SUMIFS(DITARI!$F$6:$F$550,DITARI!$D$6:$D$550,$A440))</f>
        <v/>
      </c>
      <c r="E440" s="173" t="str">
        <f aca="false">IF($A440="","",SUMIFS(DITARI!$G$6:$G$550,DITARI!$D$6:$D$550,$A440))</f>
        <v/>
      </c>
      <c r="F440" s="173" t="str">
        <f aca="false">IF($A440="","",MAX($D440-$E440,0))</f>
        <v/>
      </c>
      <c r="G440" s="173" t="str">
        <f aca="false">IF($A440="","",MAX($E440-$D440,0))</f>
        <v/>
      </c>
      <c r="H440" s="172" t="str">
        <f aca="false">IF($A440="","",IF($F440&gt;0,"Saldo Debit",IF($G440&gt;0,"Saldo Kredit","Zero")))</f>
        <v/>
      </c>
      <c r="I440" s="172" t="str">
        <f aca="false">IF($A440="","",IFERROR(VLOOKUP($A440,PLANI_LLOGARIVE!$A$2:$I$500,9,FALSE()),""))</f>
        <v/>
      </c>
      <c r="J440" s="101" t="str">
        <f aca="false">IF(A440="","",IF(OR(H440="Zero",I440="Debit/Credit"),"",IF(OR(AND(H440="Saldo Debit",I440="Debit"),AND(H440="Saldo Kredit",OR(I440="Credit",I440="Kredit"))),"","⚠️ JO NORMALE")))</f>
        <v/>
      </c>
    </row>
    <row r="441" customFormat="false" ht="12.75" hidden="false" customHeight="true" outlineLevel="0" collapsed="false">
      <c r="A441" s="174" t="str">
        <f aca="false">IF(AND(PLANI_LLOGARIVE!$A435&lt;&gt;"",PLANI_LLOGARIVE!$J435=TRUE()),PLANI_LLOGARIVE!$A435&amp;"","")</f>
        <v/>
      </c>
      <c r="B441" s="174" t="str">
        <f aca="false">IF($A441="","",IFERROR(VLOOKUP($A441,PLANI_LLOGARIVE!$A$2:$I$500,2,FALSE()),""))</f>
        <v/>
      </c>
      <c r="C441" s="174" t="str">
        <f aca="false">IF($A441="","",IFERROR(VLOOKUP($A441,PLANI_LLOGARIVE!$A$2:$I$500,4,FALSE()),""))</f>
        <v/>
      </c>
      <c r="D441" s="175" t="str">
        <f aca="false">IF($A441="","",SUMIFS(DITARI!$F$6:$F$550,DITARI!$D$6:$D$550,$A441))</f>
        <v/>
      </c>
      <c r="E441" s="175" t="str">
        <f aca="false">IF($A441="","",SUMIFS(DITARI!$G$6:$G$550,DITARI!$D$6:$D$550,$A441))</f>
        <v/>
      </c>
      <c r="F441" s="175" t="str">
        <f aca="false">IF($A441="","",MAX($D441-$E441,0))</f>
        <v/>
      </c>
      <c r="G441" s="175" t="str">
        <f aca="false">IF($A441="","",MAX($E441-$D441,0))</f>
        <v/>
      </c>
      <c r="H441" s="174" t="str">
        <f aca="false">IF($A441="","",IF($F441&gt;0,"Saldo Debit",IF($G441&gt;0,"Saldo Kredit","Zero")))</f>
        <v/>
      </c>
      <c r="I441" s="174" t="str">
        <f aca="false">IF($A441="","",IFERROR(VLOOKUP($A441,PLANI_LLOGARIVE!$A$2:$I$500,9,FALSE()),""))</f>
        <v/>
      </c>
      <c r="J441" s="101" t="str">
        <f aca="false">IF(A441="","",IF(OR(H441="Zero",I441="Debit/Credit"),"",IF(OR(AND(H441="Saldo Debit",I441="Debit"),AND(H441="Saldo Kredit",OR(I441="Credit",I441="Kredit"))),"","⚠️ JO NORMALE")))</f>
        <v/>
      </c>
    </row>
    <row r="442" customFormat="false" ht="12.75" hidden="false" customHeight="true" outlineLevel="0" collapsed="false">
      <c r="A442" s="172" t="str">
        <f aca="false">IF(AND(PLANI_LLOGARIVE!$A436&lt;&gt;"",PLANI_LLOGARIVE!$J436=TRUE()),PLANI_LLOGARIVE!$A436&amp;"","")</f>
        <v/>
      </c>
      <c r="B442" s="172" t="str">
        <f aca="false">IF($A442="","",IFERROR(VLOOKUP($A442,PLANI_LLOGARIVE!$A$2:$I$500,2,FALSE()),""))</f>
        <v/>
      </c>
      <c r="C442" s="172" t="str">
        <f aca="false">IF($A442="","",IFERROR(VLOOKUP($A442,PLANI_LLOGARIVE!$A$2:$I$500,4,FALSE()),""))</f>
        <v/>
      </c>
      <c r="D442" s="173" t="str">
        <f aca="false">IF($A442="","",SUMIFS(DITARI!$F$6:$F$550,DITARI!$D$6:$D$550,$A442))</f>
        <v/>
      </c>
      <c r="E442" s="173" t="str">
        <f aca="false">IF($A442="","",SUMIFS(DITARI!$G$6:$G$550,DITARI!$D$6:$D$550,$A442))</f>
        <v/>
      </c>
      <c r="F442" s="173" t="str">
        <f aca="false">IF($A442="","",MAX($D442-$E442,0))</f>
        <v/>
      </c>
      <c r="G442" s="173" t="str">
        <f aca="false">IF($A442="","",MAX($E442-$D442,0))</f>
        <v/>
      </c>
      <c r="H442" s="172" t="str">
        <f aca="false">IF($A442="","",IF($F442&gt;0,"Saldo Debit",IF($G442&gt;0,"Saldo Kredit","Zero")))</f>
        <v/>
      </c>
      <c r="I442" s="172" t="str">
        <f aca="false">IF($A442="","",IFERROR(VLOOKUP($A442,PLANI_LLOGARIVE!$A$2:$I$500,9,FALSE()),""))</f>
        <v/>
      </c>
      <c r="J442" s="101" t="str">
        <f aca="false">IF(A442="","",IF(OR(H442="Zero",I442="Debit/Credit"),"",IF(OR(AND(H442="Saldo Debit",I442="Debit"),AND(H442="Saldo Kredit",OR(I442="Credit",I442="Kredit"))),"","⚠️ JO NORMALE")))</f>
        <v/>
      </c>
    </row>
    <row r="443" customFormat="false" ht="12.75" hidden="false" customHeight="true" outlineLevel="0" collapsed="false">
      <c r="A443" s="174" t="str">
        <f aca="false">IF(AND(PLANI_LLOGARIVE!$A437&lt;&gt;"",PLANI_LLOGARIVE!$J437=TRUE()),PLANI_LLOGARIVE!$A437&amp;"","")</f>
        <v/>
      </c>
      <c r="B443" s="174" t="str">
        <f aca="false">IF($A443="","",IFERROR(VLOOKUP($A443,PLANI_LLOGARIVE!$A$2:$I$500,2,FALSE()),""))</f>
        <v/>
      </c>
      <c r="C443" s="174" t="str">
        <f aca="false">IF($A443="","",IFERROR(VLOOKUP($A443,PLANI_LLOGARIVE!$A$2:$I$500,4,FALSE()),""))</f>
        <v/>
      </c>
      <c r="D443" s="175" t="str">
        <f aca="false">IF($A443="","",SUMIFS(DITARI!$F$6:$F$550,DITARI!$D$6:$D$550,$A443))</f>
        <v/>
      </c>
      <c r="E443" s="175" t="str">
        <f aca="false">IF($A443="","",SUMIFS(DITARI!$G$6:$G$550,DITARI!$D$6:$D$550,$A443))</f>
        <v/>
      </c>
      <c r="F443" s="175" t="str">
        <f aca="false">IF($A443="","",MAX($D443-$E443,0))</f>
        <v/>
      </c>
      <c r="G443" s="175" t="str">
        <f aca="false">IF($A443="","",MAX($E443-$D443,0))</f>
        <v/>
      </c>
      <c r="H443" s="174" t="str">
        <f aca="false">IF($A443="","",IF($F443&gt;0,"Saldo Debit",IF($G443&gt;0,"Saldo Kredit","Zero")))</f>
        <v/>
      </c>
      <c r="I443" s="174" t="str">
        <f aca="false">IF($A443="","",IFERROR(VLOOKUP($A443,PLANI_LLOGARIVE!$A$2:$I$500,9,FALSE()),""))</f>
        <v/>
      </c>
      <c r="J443" s="101" t="str">
        <f aca="false">IF(A443="","",IF(OR(H443="Zero",I443="Debit/Credit"),"",IF(OR(AND(H443="Saldo Debit",I443="Debit"),AND(H443="Saldo Kredit",OR(I443="Credit",I443="Kredit"))),"","⚠️ JO NORMALE")))</f>
        <v/>
      </c>
    </row>
    <row r="444" customFormat="false" ht="12.75" hidden="false" customHeight="true" outlineLevel="0" collapsed="false">
      <c r="A444" s="172" t="str">
        <f aca="false">IF(AND(PLANI_LLOGARIVE!$A438&lt;&gt;"",PLANI_LLOGARIVE!$J438=TRUE()),PLANI_LLOGARIVE!$A438&amp;"","")</f>
        <v/>
      </c>
      <c r="B444" s="172" t="str">
        <f aca="false">IF($A444="","",IFERROR(VLOOKUP($A444,PLANI_LLOGARIVE!$A$2:$I$500,2,FALSE()),""))</f>
        <v/>
      </c>
      <c r="C444" s="172" t="str">
        <f aca="false">IF($A444="","",IFERROR(VLOOKUP($A444,PLANI_LLOGARIVE!$A$2:$I$500,4,FALSE()),""))</f>
        <v/>
      </c>
      <c r="D444" s="173" t="str">
        <f aca="false">IF($A444="","",SUMIFS(DITARI!$F$6:$F$550,DITARI!$D$6:$D$550,$A444))</f>
        <v/>
      </c>
      <c r="E444" s="173" t="str">
        <f aca="false">IF($A444="","",SUMIFS(DITARI!$G$6:$G$550,DITARI!$D$6:$D$550,$A444))</f>
        <v/>
      </c>
      <c r="F444" s="173" t="str">
        <f aca="false">IF($A444="","",MAX($D444-$E444,0))</f>
        <v/>
      </c>
      <c r="G444" s="173" t="str">
        <f aca="false">IF($A444="","",MAX($E444-$D444,0))</f>
        <v/>
      </c>
      <c r="H444" s="172" t="str">
        <f aca="false">IF($A444="","",IF($F444&gt;0,"Saldo Debit",IF($G444&gt;0,"Saldo Kredit","Zero")))</f>
        <v/>
      </c>
      <c r="I444" s="172" t="str">
        <f aca="false">IF($A444="","",IFERROR(VLOOKUP($A444,PLANI_LLOGARIVE!$A$2:$I$500,9,FALSE()),""))</f>
        <v/>
      </c>
      <c r="J444" s="101" t="str">
        <f aca="false">IF(A444="","",IF(OR(H444="Zero",I444="Debit/Credit"),"",IF(OR(AND(H444="Saldo Debit",I444="Debit"),AND(H444="Saldo Kredit",OR(I444="Credit",I444="Kredit"))),"","⚠️ JO NORMALE")))</f>
        <v/>
      </c>
    </row>
    <row r="445" customFormat="false" ht="12.75" hidden="false" customHeight="true" outlineLevel="0" collapsed="false">
      <c r="A445" s="174" t="str">
        <f aca="false">IF(AND(PLANI_LLOGARIVE!$A439&lt;&gt;"",PLANI_LLOGARIVE!$J439=TRUE()),PLANI_LLOGARIVE!$A439&amp;"","")</f>
        <v/>
      </c>
      <c r="B445" s="174" t="str">
        <f aca="false">IF($A445="","",IFERROR(VLOOKUP($A445,PLANI_LLOGARIVE!$A$2:$I$500,2,FALSE()),""))</f>
        <v/>
      </c>
      <c r="C445" s="174" t="str">
        <f aca="false">IF($A445="","",IFERROR(VLOOKUP($A445,PLANI_LLOGARIVE!$A$2:$I$500,4,FALSE()),""))</f>
        <v/>
      </c>
      <c r="D445" s="175" t="str">
        <f aca="false">IF($A445="","",SUMIFS(DITARI!$F$6:$F$550,DITARI!$D$6:$D$550,$A445))</f>
        <v/>
      </c>
      <c r="E445" s="175" t="str">
        <f aca="false">IF($A445="","",SUMIFS(DITARI!$G$6:$G$550,DITARI!$D$6:$D$550,$A445))</f>
        <v/>
      </c>
      <c r="F445" s="175" t="str">
        <f aca="false">IF($A445="","",MAX($D445-$E445,0))</f>
        <v/>
      </c>
      <c r="G445" s="175" t="str">
        <f aca="false">IF($A445="","",MAX($E445-$D445,0))</f>
        <v/>
      </c>
      <c r="H445" s="174" t="str">
        <f aca="false">IF($A445="","",IF($F445&gt;0,"Saldo Debit",IF($G445&gt;0,"Saldo Kredit","Zero")))</f>
        <v/>
      </c>
      <c r="I445" s="174" t="str">
        <f aca="false">IF($A445="","",IFERROR(VLOOKUP($A445,PLANI_LLOGARIVE!$A$2:$I$500,9,FALSE()),""))</f>
        <v/>
      </c>
      <c r="J445" s="101" t="str">
        <f aca="false">IF(A445="","",IF(OR(H445="Zero",I445="Debit/Credit"),"",IF(OR(AND(H445="Saldo Debit",I445="Debit"),AND(H445="Saldo Kredit",OR(I445="Credit",I445="Kredit"))),"","⚠️ JO NORMALE")))</f>
        <v/>
      </c>
    </row>
    <row r="446" customFormat="false" ht="12.75" hidden="false" customHeight="true" outlineLevel="0" collapsed="false">
      <c r="A446" s="172" t="str">
        <f aca="false">IF(AND(PLANI_LLOGARIVE!$A440&lt;&gt;"",PLANI_LLOGARIVE!$J440=TRUE()),PLANI_LLOGARIVE!$A440&amp;"","")</f>
        <v/>
      </c>
      <c r="B446" s="172" t="str">
        <f aca="false">IF($A446="","",IFERROR(VLOOKUP($A446,PLANI_LLOGARIVE!$A$2:$I$500,2,FALSE()),""))</f>
        <v/>
      </c>
      <c r="C446" s="172" t="str">
        <f aca="false">IF($A446="","",IFERROR(VLOOKUP($A446,PLANI_LLOGARIVE!$A$2:$I$500,4,FALSE()),""))</f>
        <v/>
      </c>
      <c r="D446" s="173" t="str">
        <f aca="false">IF($A446="","",SUMIFS(DITARI!$F$6:$F$550,DITARI!$D$6:$D$550,$A446))</f>
        <v/>
      </c>
      <c r="E446" s="173" t="str">
        <f aca="false">IF($A446="","",SUMIFS(DITARI!$G$6:$G$550,DITARI!$D$6:$D$550,$A446))</f>
        <v/>
      </c>
      <c r="F446" s="173" t="str">
        <f aca="false">IF($A446="","",MAX($D446-$E446,0))</f>
        <v/>
      </c>
      <c r="G446" s="173" t="str">
        <f aca="false">IF($A446="","",MAX($E446-$D446,0))</f>
        <v/>
      </c>
      <c r="H446" s="172" t="str">
        <f aca="false">IF($A446="","",IF($F446&gt;0,"Saldo Debit",IF($G446&gt;0,"Saldo Kredit","Zero")))</f>
        <v/>
      </c>
      <c r="I446" s="172" t="str">
        <f aca="false">IF($A446="","",IFERROR(VLOOKUP($A446,PLANI_LLOGARIVE!$A$2:$I$500,9,FALSE()),""))</f>
        <v/>
      </c>
      <c r="J446" s="101" t="str">
        <f aca="false">IF(A446="","",IF(OR(H446="Zero",I446="Debit/Credit"),"",IF(OR(AND(H446="Saldo Debit",I446="Debit"),AND(H446="Saldo Kredit",OR(I446="Credit",I446="Kredit"))),"","⚠️ JO NORMALE")))</f>
        <v/>
      </c>
    </row>
    <row r="447" customFormat="false" ht="12.75" hidden="false" customHeight="true" outlineLevel="0" collapsed="false">
      <c r="A447" s="174" t="str">
        <f aca="false">IF(AND(PLANI_LLOGARIVE!$A441&lt;&gt;"",PLANI_LLOGARIVE!$J441=TRUE()),PLANI_LLOGARIVE!$A441&amp;"","")</f>
        <v/>
      </c>
      <c r="B447" s="174" t="str">
        <f aca="false">IF($A447="","",IFERROR(VLOOKUP($A447,PLANI_LLOGARIVE!$A$2:$I$500,2,FALSE()),""))</f>
        <v/>
      </c>
      <c r="C447" s="174" t="str">
        <f aca="false">IF($A447="","",IFERROR(VLOOKUP($A447,PLANI_LLOGARIVE!$A$2:$I$500,4,FALSE()),""))</f>
        <v/>
      </c>
      <c r="D447" s="175" t="str">
        <f aca="false">IF($A447="","",SUMIFS(DITARI!$F$6:$F$550,DITARI!$D$6:$D$550,$A447))</f>
        <v/>
      </c>
      <c r="E447" s="175" t="str">
        <f aca="false">IF($A447="","",SUMIFS(DITARI!$G$6:$G$550,DITARI!$D$6:$D$550,$A447))</f>
        <v/>
      </c>
      <c r="F447" s="175" t="str">
        <f aca="false">IF($A447="","",MAX($D447-$E447,0))</f>
        <v/>
      </c>
      <c r="G447" s="175" t="str">
        <f aca="false">IF($A447="","",MAX($E447-$D447,0))</f>
        <v/>
      </c>
      <c r="H447" s="174" t="str">
        <f aca="false">IF($A447="","",IF($F447&gt;0,"Saldo Debit",IF($G447&gt;0,"Saldo Kredit","Zero")))</f>
        <v/>
      </c>
      <c r="I447" s="174" t="str">
        <f aca="false">IF($A447="","",IFERROR(VLOOKUP($A447,PLANI_LLOGARIVE!$A$2:$I$500,9,FALSE()),""))</f>
        <v/>
      </c>
      <c r="J447" s="101" t="str">
        <f aca="false">IF(A447="","",IF(OR(H447="Zero",I447="Debit/Credit"),"",IF(OR(AND(H447="Saldo Debit",I447="Debit"),AND(H447="Saldo Kredit",OR(I447="Credit",I447="Kredit"))),"","⚠️ JO NORMALE")))</f>
        <v/>
      </c>
    </row>
    <row r="448" customFormat="false" ht="12.75" hidden="false" customHeight="true" outlineLevel="0" collapsed="false">
      <c r="A448" s="172" t="str">
        <f aca="false">IF(AND(PLANI_LLOGARIVE!$A442&lt;&gt;"",PLANI_LLOGARIVE!$J442=TRUE()),PLANI_LLOGARIVE!$A442&amp;"","")</f>
        <v/>
      </c>
      <c r="B448" s="172" t="str">
        <f aca="false">IF($A448="","",IFERROR(VLOOKUP($A448,PLANI_LLOGARIVE!$A$2:$I$500,2,FALSE()),""))</f>
        <v/>
      </c>
      <c r="C448" s="172" t="str">
        <f aca="false">IF($A448="","",IFERROR(VLOOKUP($A448,PLANI_LLOGARIVE!$A$2:$I$500,4,FALSE()),""))</f>
        <v/>
      </c>
      <c r="D448" s="173" t="str">
        <f aca="false">IF($A448="","",SUMIFS(DITARI!$F$6:$F$550,DITARI!$D$6:$D$550,$A448))</f>
        <v/>
      </c>
      <c r="E448" s="173" t="str">
        <f aca="false">IF($A448="","",SUMIFS(DITARI!$G$6:$G$550,DITARI!$D$6:$D$550,$A448))</f>
        <v/>
      </c>
      <c r="F448" s="173" t="str">
        <f aca="false">IF($A448="","",MAX($D448-$E448,0))</f>
        <v/>
      </c>
      <c r="G448" s="173" t="str">
        <f aca="false">IF($A448="","",MAX($E448-$D448,0))</f>
        <v/>
      </c>
      <c r="H448" s="172" t="str">
        <f aca="false">IF($A448="","",IF($F448&gt;0,"Saldo Debit",IF($G448&gt;0,"Saldo Kredit","Zero")))</f>
        <v/>
      </c>
      <c r="I448" s="172" t="str">
        <f aca="false">IF($A448="","",IFERROR(VLOOKUP($A448,PLANI_LLOGARIVE!$A$2:$I$500,9,FALSE()),""))</f>
        <v/>
      </c>
      <c r="J448" s="101" t="str">
        <f aca="false">IF(A448="","",IF(OR(H448="Zero",I448="Debit/Credit"),"",IF(OR(AND(H448="Saldo Debit",I448="Debit"),AND(H448="Saldo Kredit",OR(I448="Credit",I448="Kredit"))),"","⚠️ JO NORMALE")))</f>
        <v/>
      </c>
    </row>
    <row r="449" customFormat="false" ht="12.75" hidden="false" customHeight="true" outlineLevel="0" collapsed="false">
      <c r="A449" s="174" t="str">
        <f aca="false">IF(AND(PLANI_LLOGARIVE!$A443&lt;&gt;"",PLANI_LLOGARIVE!$J443=TRUE()),PLANI_LLOGARIVE!$A443&amp;"","")</f>
        <v/>
      </c>
      <c r="B449" s="174" t="str">
        <f aca="false">IF($A449="","",IFERROR(VLOOKUP($A449,PLANI_LLOGARIVE!$A$2:$I$500,2,FALSE()),""))</f>
        <v/>
      </c>
      <c r="C449" s="174" t="str">
        <f aca="false">IF($A449="","",IFERROR(VLOOKUP($A449,PLANI_LLOGARIVE!$A$2:$I$500,4,FALSE()),""))</f>
        <v/>
      </c>
      <c r="D449" s="175" t="str">
        <f aca="false">IF($A449="","",SUMIFS(DITARI!$F$6:$F$550,DITARI!$D$6:$D$550,$A449))</f>
        <v/>
      </c>
      <c r="E449" s="175" t="str">
        <f aca="false">IF($A449="","",SUMIFS(DITARI!$G$6:$G$550,DITARI!$D$6:$D$550,$A449))</f>
        <v/>
      </c>
      <c r="F449" s="175" t="str">
        <f aca="false">IF($A449="","",MAX($D449-$E449,0))</f>
        <v/>
      </c>
      <c r="G449" s="175" t="str">
        <f aca="false">IF($A449="","",MAX($E449-$D449,0))</f>
        <v/>
      </c>
      <c r="H449" s="174" t="str">
        <f aca="false">IF($A449="","",IF($F449&gt;0,"Saldo Debit",IF($G449&gt;0,"Saldo Kredit","Zero")))</f>
        <v/>
      </c>
      <c r="I449" s="174" t="str">
        <f aca="false">IF($A449="","",IFERROR(VLOOKUP($A449,PLANI_LLOGARIVE!$A$2:$I$500,9,FALSE()),""))</f>
        <v/>
      </c>
      <c r="J449" s="101" t="str">
        <f aca="false">IF(A449="","",IF(OR(H449="Zero",I449="Debit/Credit"),"",IF(OR(AND(H449="Saldo Debit",I449="Debit"),AND(H449="Saldo Kredit",OR(I449="Credit",I449="Kredit"))),"","⚠️ JO NORMALE")))</f>
        <v/>
      </c>
    </row>
    <row r="450" customFormat="false" ht="12.75" hidden="false" customHeight="true" outlineLevel="0" collapsed="false">
      <c r="A450" s="172" t="str">
        <f aca="false">IF(AND(PLANI_LLOGARIVE!$A444&lt;&gt;"",PLANI_LLOGARIVE!$J444=TRUE()),PLANI_LLOGARIVE!$A444&amp;"","")</f>
        <v/>
      </c>
      <c r="B450" s="172" t="str">
        <f aca="false">IF($A450="","",IFERROR(VLOOKUP($A450,PLANI_LLOGARIVE!$A$2:$I$500,2,FALSE()),""))</f>
        <v/>
      </c>
      <c r="C450" s="172" t="str">
        <f aca="false">IF($A450="","",IFERROR(VLOOKUP($A450,PLANI_LLOGARIVE!$A$2:$I$500,4,FALSE()),""))</f>
        <v/>
      </c>
      <c r="D450" s="173" t="str">
        <f aca="false">IF($A450="","",SUMIFS(DITARI!$F$6:$F$550,DITARI!$D$6:$D$550,$A450))</f>
        <v/>
      </c>
      <c r="E450" s="173" t="str">
        <f aca="false">IF($A450="","",SUMIFS(DITARI!$G$6:$G$550,DITARI!$D$6:$D$550,$A450))</f>
        <v/>
      </c>
      <c r="F450" s="173" t="str">
        <f aca="false">IF($A450="","",MAX($D450-$E450,0))</f>
        <v/>
      </c>
      <c r="G450" s="173" t="str">
        <f aca="false">IF($A450="","",MAX($E450-$D450,0))</f>
        <v/>
      </c>
      <c r="H450" s="172" t="str">
        <f aca="false">IF($A450="","",IF($F450&gt;0,"Saldo Debit",IF($G450&gt;0,"Saldo Kredit","Zero")))</f>
        <v/>
      </c>
      <c r="I450" s="172" t="str">
        <f aca="false">IF($A450="","",IFERROR(VLOOKUP($A450,PLANI_LLOGARIVE!$A$2:$I$500,9,FALSE()),""))</f>
        <v/>
      </c>
      <c r="J450" s="101" t="str">
        <f aca="false">IF(A450="","",IF(OR(H450="Zero",I450="Debit/Credit"),"",IF(OR(AND(H450="Saldo Debit",I450="Debit"),AND(H450="Saldo Kredit",OR(I450="Credit",I450="Kredit"))),"","⚠️ JO NORMALE")))</f>
        <v/>
      </c>
    </row>
    <row r="451" customFormat="false" ht="12.75" hidden="false" customHeight="true" outlineLevel="0" collapsed="false">
      <c r="A451" s="174" t="str">
        <f aca="false">IF(AND(PLANI_LLOGARIVE!$A445&lt;&gt;"",PLANI_LLOGARIVE!$J445=TRUE()),PLANI_LLOGARIVE!$A445&amp;"","")</f>
        <v/>
      </c>
      <c r="B451" s="174" t="str">
        <f aca="false">IF($A451="","",IFERROR(VLOOKUP($A451,PLANI_LLOGARIVE!$A$2:$I$500,2,FALSE()),""))</f>
        <v/>
      </c>
      <c r="C451" s="174" t="str">
        <f aca="false">IF($A451="","",IFERROR(VLOOKUP($A451,PLANI_LLOGARIVE!$A$2:$I$500,4,FALSE()),""))</f>
        <v/>
      </c>
      <c r="D451" s="175" t="str">
        <f aca="false">IF($A451="","",SUMIFS(DITARI!$F$6:$F$550,DITARI!$D$6:$D$550,$A451))</f>
        <v/>
      </c>
      <c r="E451" s="175" t="str">
        <f aca="false">IF($A451="","",SUMIFS(DITARI!$G$6:$G$550,DITARI!$D$6:$D$550,$A451))</f>
        <v/>
      </c>
      <c r="F451" s="175" t="str">
        <f aca="false">IF($A451="","",MAX($D451-$E451,0))</f>
        <v/>
      </c>
      <c r="G451" s="175" t="str">
        <f aca="false">IF($A451="","",MAX($E451-$D451,0))</f>
        <v/>
      </c>
      <c r="H451" s="174" t="str">
        <f aca="false">IF($A451="","",IF($F451&gt;0,"Saldo Debit",IF($G451&gt;0,"Saldo Kredit","Zero")))</f>
        <v/>
      </c>
      <c r="I451" s="174" t="str">
        <f aca="false">IF($A451="","",IFERROR(VLOOKUP($A451,PLANI_LLOGARIVE!$A$2:$I$500,9,FALSE()),""))</f>
        <v/>
      </c>
      <c r="J451" s="101" t="str">
        <f aca="false">IF(A451="","",IF(OR(H451="Zero",I451="Debit/Credit"),"",IF(OR(AND(H451="Saldo Debit",I451="Debit"),AND(H451="Saldo Kredit",OR(I451="Credit",I451="Kredit"))),"","⚠️ JO NORMALE")))</f>
        <v/>
      </c>
    </row>
    <row r="452" customFormat="false" ht="12.75" hidden="false" customHeight="true" outlineLevel="0" collapsed="false">
      <c r="A452" s="172" t="str">
        <f aca="false">IF(AND(PLANI_LLOGARIVE!$A446&lt;&gt;"",PLANI_LLOGARIVE!$J446=TRUE()),PLANI_LLOGARIVE!$A446&amp;"","")</f>
        <v/>
      </c>
      <c r="B452" s="172" t="str">
        <f aca="false">IF($A452="","",IFERROR(VLOOKUP($A452,PLANI_LLOGARIVE!$A$2:$I$500,2,FALSE()),""))</f>
        <v/>
      </c>
      <c r="C452" s="172" t="str">
        <f aca="false">IF($A452="","",IFERROR(VLOOKUP($A452,PLANI_LLOGARIVE!$A$2:$I$500,4,FALSE()),""))</f>
        <v/>
      </c>
      <c r="D452" s="173" t="str">
        <f aca="false">IF($A452="","",SUMIFS(DITARI!$F$6:$F$550,DITARI!$D$6:$D$550,$A452))</f>
        <v/>
      </c>
      <c r="E452" s="173" t="str">
        <f aca="false">IF($A452="","",SUMIFS(DITARI!$G$6:$G$550,DITARI!$D$6:$D$550,$A452))</f>
        <v/>
      </c>
      <c r="F452" s="173" t="str">
        <f aca="false">IF($A452="","",MAX($D452-$E452,0))</f>
        <v/>
      </c>
      <c r="G452" s="173" t="str">
        <f aca="false">IF($A452="","",MAX($E452-$D452,0))</f>
        <v/>
      </c>
      <c r="H452" s="172" t="str">
        <f aca="false">IF($A452="","",IF($F452&gt;0,"Saldo Debit",IF($G452&gt;0,"Saldo Kredit","Zero")))</f>
        <v/>
      </c>
      <c r="I452" s="172" t="str">
        <f aca="false">IF($A452="","",IFERROR(VLOOKUP($A452,PLANI_LLOGARIVE!$A$2:$I$500,9,FALSE()),""))</f>
        <v/>
      </c>
      <c r="J452" s="101" t="str">
        <f aca="false">IF(A452="","",IF(OR(H452="Zero",I452="Debit/Credit"),"",IF(OR(AND(H452="Saldo Debit",I452="Debit"),AND(H452="Saldo Kredit",OR(I452="Credit",I452="Kredit"))),"","⚠️ JO NORMALE")))</f>
        <v/>
      </c>
    </row>
    <row r="453" customFormat="false" ht="12.75" hidden="false" customHeight="true" outlineLevel="0" collapsed="false">
      <c r="A453" s="174" t="str">
        <f aca="false">IF(AND(PLANI_LLOGARIVE!$A447&lt;&gt;"",PLANI_LLOGARIVE!$J447=TRUE()),PLANI_LLOGARIVE!$A447&amp;"","")</f>
        <v/>
      </c>
      <c r="B453" s="174" t="str">
        <f aca="false">IF($A453="","",IFERROR(VLOOKUP($A453,PLANI_LLOGARIVE!$A$2:$I$500,2,FALSE()),""))</f>
        <v/>
      </c>
      <c r="C453" s="174" t="str">
        <f aca="false">IF($A453="","",IFERROR(VLOOKUP($A453,PLANI_LLOGARIVE!$A$2:$I$500,4,FALSE()),""))</f>
        <v/>
      </c>
      <c r="D453" s="175" t="str">
        <f aca="false">IF($A453="","",SUMIFS(DITARI!$F$6:$F$550,DITARI!$D$6:$D$550,$A453))</f>
        <v/>
      </c>
      <c r="E453" s="175" t="str">
        <f aca="false">IF($A453="","",SUMIFS(DITARI!$G$6:$G$550,DITARI!$D$6:$D$550,$A453))</f>
        <v/>
      </c>
      <c r="F453" s="175" t="str">
        <f aca="false">IF($A453="","",MAX($D453-$E453,0))</f>
        <v/>
      </c>
      <c r="G453" s="175" t="str">
        <f aca="false">IF($A453="","",MAX($E453-$D453,0))</f>
        <v/>
      </c>
      <c r="H453" s="174" t="str">
        <f aca="false">IF($A453="","",IF($F453&gt;0,"Saldo Debit",IF($G453&gt;0,"Saldo Kredit","Zero")))</f>
        <v/>
      </c>
      <c r="I453" s="174" t="str">
        <f aca="false">IF($A453="","",IFERROR(VLOOKUP($A453,PLANI_LLOGARIVE!$A$2:$I$500,9,FALSE()),""))</f>
        <v/>
      </c>
      <c r="J453" s="101" t="str">
        <f aca="false">IF(A453="","",IF(OR(H453="Zero",I453="Debit/Credit"),"",IF(OR(AND(H453="Saldo Debit",I453="Debit"),AND(H453="Saldo Kredit",OR(I453="Credit",I453="Kredit"))),"","⚠️ JO NORMALE")))</f>
        <v/>
      </c>
    </row>
    <row r="454" customFormat="false" ht="12.75" hidden="false" customHeight="true" outlineLevel="0" collapsed="false">
      <c r="A454" s="172" t="str">
        <f aca="false">IF(AND(PLANI_LLOGARIVE!$A448&lt;&gt;"",PLANI_LLOGARIVE!$J448=TRUE()),PLANI_LLOGARIVE!$A448&amp;"","")</f>
        <v/>
      </c>
      <c r="B454" s="172" t="str">
        <f aca="false">IF($A454="","",IFERROR(VLOOKUP($A454,PLANI_LLOGARIVE!$A$2:$I$500,2,FALSE()),""))</f>
        <v/>
      </c>
      <c r="C454" s="172" t="str">
        <f aca="false">IF($A454="","",IFERROR(VLOOKUP($A454,PLANI_LLOGARIVE!$A$2:$I$500,4,FALSE()),""))</f>
        <v/>
      </c>
      <c r="D454" s="173" t="str">
        <f aca="false">IF($A454="","",SUMIFS(DITARI!$F$6:$F$550,DITARI!$D$6:$D$550,$A454))</f>
        <v/>
      </c>
      <c r="E454" s="173" t="str">
        <f aca="false">IF($A454="","",SUMIFS(DITARI!$G$6:$G$550,DITARI!$D$6:$D$550,$A454))</f>
        <v/>
      </c>
      <c r="F454" s="173" t="str">
        <f aca="false">IF($A454="","",MAX($D454-$E454,0))</f>
        <v/>
      </c>
      <c r="G454" s="173" t="str">
        <f aca="false">IF($A454="","",MAX($E454-$D454,0))</f>
        <v/>
      </c>
      <c r="H454" s="172" t="str">
        <f aca="false">IF($A454="","",IF($F454&gt;0,"Saldo Debit",IF($G454&gt;0,"Saldo Kredit","Zero")))</f>
        <v/>
      </c>
      <c r="I454" s="172" t="str">
        <f aca="false">IF($A454="","",IFERROR(VLOOKUP($A454,PLANI_LLOGARIVE!$A$2:$I$500,9,FALSE()),""))</f>
        <v/>
      </c>
      <c r="J454" s="101" t="str">
        <f aca="false">IF(A454="","",IF(OR(H454="Zero",I454="Debit/Credit"),"",IF(OR(AND(H454="Saldo Debit",I454="Debit"),AND(H454="Saldo Kredit",OR(I454="Credit",I454="Kredit"))),"","⚠️ JO NORMALE")))</f>
        <v/>
      </c>
    </row>
    <row r="455" customFormat="false" ht="12.75" hidden="false" customHeight="true" outlineLevel="0" collapsed="false">
      <c r="A455" s="174" t="str">
        <f aca="false">IF(AND(PLANI_LLOGARIVE!$A449&lt;&gt;"",PLANI_LLOGARIVE!$J449=TRUE()),PLANI_LLOGARIVE!$A449&amp;"","")</f>
        <v/>
      </c>
      <c r="B455" s="174" t="str">
        <f aca="false">IF($A455="","",IFERROR(VLOOKUP($A455,PLANI_LLOGARIVE!$A$2:$I$500,2,FALSE()),""))</f>
        <v/>
      </c>
      <c r="C455" s="174" t="str">
        <f aca="false">IF($A455="","",IFERROR(VLOOKUP($A455,PLANI_LLOGARIVE!$A$2:$I$500,4,FALSE()),""))</f>
        <v/>
      </c>
      <c r="D455" s="175" t="str">
        <f aca="false">IF($A455="","",SUMIFS(DITARI!$F$6:$F$550,DITARI!$D$6:$D$550,$A455))</f>
        <v/>
      </c>
      <c r="E455" s="175" t="str">
        <f aca="false">IF($A455="","",SUMIFS(DITARI!$G$6:$G$550,DITARI!$D$6:$D$550,$A455))</f>
        <v/>
      </c>
      <c r="F455" s="175" t="str">
        <f aca="false">IF($A455="","",MAX($D455-$E455,0))</f>
        <v/>
      </c>
      <c r="G455" s="175" t="str">
        <f aca="false">IF($A455="","",MAX($E455-$D455,0))</f>
        <v/>
      </c>
      <c r="H455" s="174" t="str">
        <f aca="false">IF($A455="","",IF($F455&gt;0,"Saldo Debit",IF($G455&gt;0,"Saldo Kredit","Zero")))</f>
        <v/>
      </c>
      <c r="I455" s="174" t="str">
        <f aca="false">IF($A455="","",IFERROR(VLOOKUP($A455,PLANI_LLOGARIVE!$A$2:$I$500,9,FALSE()),""))</f>
        <v/>
      </c>
      <c r="J455" s="101" t="str">
        <f aca="false">IF(A455="","",IF(OR(H455="Zero",I455="Debit/Credit"),"",IF(OR(AND(H455="Saldo Debit",I455="Debit"),AND(H455="Saldo Kredit",OR(I455="Credit",I455="Kredit"))),"","⚠️ JO NORMALE")))</f>
        <v/>
      </c>
    </row>
    <row r="456" customFormat="false" ht="12.75" hidden="false" customHeight="true" outlineLevel="0" collapsed="false">
      <c r="A456" s="172" t="str">
        <f aca="false">IF(AND(PLANI_LLOGARIVE!$A450&lt;&gt;"",PLANI_LLOGARIVE!$J450=TRUE()),PLANI_LLOGARIVE!$A450&amp;"","")</f>
        <v/>
      </c>
      <c r="B456" s="172" t="str">
        <f aca="false">IF($A456="","",IFERROR(VLOOKUP($A456,PLANI_LLOGARIVE!$A$2:$I$500,2,FALSE()),""))</f>
        <v/>
      </c>
      <c r="C456" s="172" t="str">
        <f aca="false">IF($A456="","",IFERROR(VLOOKUP($A456,PLANI_LLOGARIVE!$A$2:$I$500,4,FALSE()),""))</f>
        <v/>
      </c>
      <c r="D456" s="173" t="str">
        <f aca="false">IF($A456="","",SUMIFS(DITARI!$F$6:$F$550,DITARI!$D$6:$D$550,$A456))</f>
        <v/>
      </c>
      <c r="E456" s="173" t="str">
        <f aca="false">IF($A456="","",SUMIFS(DITARI!$G$6:$G$550,DITARI!$D$6:$D$550,$A456))</f>
        <v/>
      </c>
      <c r="F456" s="173" t="str">
        <f aca="false">IF($A456="","",MAX($D456-$E456,0))</f>
        <v/>
      </c>
      <c r="G456" s="173" t="str">
        <f aca="false">IF($A456="","",MAX($E456-$D456,0))</f>
        <v/>
      </c>
      <c r="H456" s="172" t="str">
        <f aca="false">IF($A456="","",IF($F456&gt;0,"Saldo Debit",IF($G456&gt;0,"Saldo Kredit","Zero")))</f>
        <v/>
      </c>
      <c r="I456" s="172" t="str">
        <f aca="false">IF($A456="","",IFERROR(VLOOKUP($A456,PLANI_LLOGARIVE!$A$2:$I$500,9,FALSE()),""))</f>
        <v/>
      </c>
      <c r="J456" s="101" t="str">
        <f aca="false">IF(A456="","",IF(OR(H456="Zero",I456="Debit/Credit"),"",IF(OR(AND(H456="Saldo Debit",I456="Debit"),AND(H456="Saldo Kredit",OR(I456="Credit",I456="Kredit"))),"","⚠️ JO NORMALE")))</f>
        <v/>
      </c>
    </row>
    <row r="457" customFormat="false" ht="12.75" hidden="false" customHeight="true" outlineLevel="0" collapsed="false">
      <c r="A457" s="174" t="str">
        <f aca="false">IF(AND(PLANI_LLOGARIVE!$A451&lt;&gt;"",PLANI_LLOGARIVE!$J451=TRUE()),PLANI_LLOGARIVE!$A451&amp;"","")</f>
        <v/>
      </c>
      <c r="B457" s="174" t="str">
        <f aca="false">IF($A457="","",IFERROR(VLOOKUP($A457,PLANI_LLOGARIVE!$A$2:$I$500,2,FALSE()),""))</f>
        <v/>
      </c>
      <c r="C457" s="174" t="str">
        <f aca="false">IF($A457="","",IFERROR(VLOOKUP($A457,PLANI_LLOGARIVE!$A$2:$I$500,4,FALSE()),""))</f>
        <v/>
      </c>
      <c r="D457" s="175" t="str">
        <f aca="false">IF($A457="","",SUMIFS(DITARI!$F$6:$F$550,DITARI!$D$6:$D$550,$A457))</f>
        <v/>
      </c>
      <c r="E457" s="175" t="str">
        <f aca="false">IF($A457="","",SUMIFS(DITARI!$G$6:$G$550,DITARI!$D$6:$D$550,$A457))</f>
        <v/>
      </c>
      <c r="F457" s="175" t="str">
        <f aca="false">IF($A457="","",MAX($D457-$E457,0))</f>
        <v/>
      </c>
      <c r="G457" s="175" t="str">
        <f aca="false">IF($A457="","",MAX($E457-$D457,0))</f>
        <v/>
      </c>
      <c r="H457" s="174" t="str">
        <f aca="false">IF($A457="","",IF($F457&gt;0,"Saldo Debit",IF($G457&gt;0,"Saldo Kredit","Zero")))</f>
        <v/>
      </c>
      <c r="I457" s="174" t="str">
        <f aca="false">IF($A457="","",IFERROR(VLOOKUP($A457,PLANI_LLOGARIVE!$A$2:$I$500,9,FALSE()),""))</f>
        <v/>
      </c>
      <c r="J457" s="101" t="str">
        <f aca="false">IF(A457="","",IF(OR(H457="Zero",I457="Debit/Credit"),"",IF(OR(AND(H457="Saldo Debit",I457="Debit"),AND(H457="Saldo Kredit",OR(I457="Credit",I457="Kredit"))),"","⚠️ JO NORMALE")))</f>
        <v/>
      </c>
    </row>
    <row r="458" customFormat="false" ht="12.75" hidden="false" customHeight="true" outlineLevel="0" collapsed="false">
      <c r="A458" s="172" t="str">
        <f aca="false">IF(AND(PLANI_LLOGARIVE!$A452&lt;&gt;"",PLANI_LLOGARIVE!$J452=TRUE()),PLANI_LLOGARIVE!$A452&amp;"","")</f>
        <v/>
      </c>
      <c r="B458" s="172" t="str">
        <f aca="false">IF($A458="","",IFERROR(VLOOKUP($A458,PLANI_LLOGARIVE!$A$2:$I$500,2,FALSE()),""))</f>
        <v/>
      </c>
      <c r="C458" s="172" t="str">
        <f aca="false">IF($A458="","",IFERROR(VLOOKUP($A458,PLANI_LLOGARIVE!$A$2:$I$500,4,FALSE()),""))</f>
        <v/>
      </c>
      <c r="D458" s="173" t="str">
        <f aca="false">IF($A458="","",SUMIFS(DITARI!$F$6:$F$550,DITARI!$D$6:$D$550,$A458))</f>
        <v/>
      </c>
      <c r="E458" s="173" t="str">
        <f aca="false">IF($A458="","",SUMIFS(DITARI!$G$6:$G$550,DITARI!$D$6:$D$550,$A458))</f>
        <v/>
      </c>
      <c r="F458" s="173" t="str">
        <f aca="false">IF($A458="","",MAX($D458-$E458,0))</f>
        <v/>
      </c>
      <c r="G458" s="173" t="str">
        <f aca="false">IF($A458="","",MAX($E458-$D458,0))</f>
        <v/>
      </c>
      <c r="H458" s="172" t="str">
        <f aca="false">IF($A458="","",IF($F458&gt;0,"Saldo Debit",IF($G458&gt;0,"Saldo Kredit","Zero")))</f>
        <v/>
      </c>
      <c r="I458" s="172" t="str">
        <f aca="false">IF($A458="","",IFERROR(VLOOKUP($A458,PLANI_LLOGARIVE!$A$2:$I$500,9,FALSE()),""))</f>
        <v/>
      </c>
      <c r="J458" s="101" t="str">
        <f aca="false">IF(A458="","",IF(OR(H458="Zero",I458="Debit/Credit"),"",IF(OR(AND(H458="Saldo Debit",I458="Debit"),AND(H458="Saldo Kredit",OR(I458="Credit",I458="Kredit"))),"","⚠️ JO NORMALE")))</f>
        <v/>
      </c>
    </row>
    <row r="459" customFormat="false" ht="12.75" hidden="false" customHeight="true" outlineLevel="0" collapsed="false">
      <c r="A459" s="174" t="str">
        <f aca="false">IF(AND(PLANI_LLOGARIVE!$A453&lt;&gt;"",PLANI_LLOGARIVE!$J453=TRUE()),PLANI_LLOGARIVE!$A453&amp;"","")</f>
        <v/>
      </c>
      <c r="B459" s="174" t="str">
        <f aca="false">IF($A459="","",IFERROR(VLOOKUP($A459,PLANI_LLOGARIVE!$A$2:$I$500,2,FALSE()),""))</f>
        <v/>
      </c>
      <c r="C459" s="174" t="str">
        <f aca="false">IF($A459="","",IFERROR(VLOOKUP($A459,PLANI_LLOGARIVE!$A$2:$I$500,4,FALSE()),""))</f>
        <v/>
      </c>
      <c r="D459" s="175" t="str">
        <f aca="false">IF($A459="","",SUMIFS(DITARI!$F$6:$F$550,DITARI!$D$6:$D$550,$A459))</f>
        <v/>
      </c>
      <c r="E459" s="175" t="str">
        <f aca="false">IF($A459="","",SUMIFS(DITARI!$G$6:$G$550,DITARI!$D$6:$D$550,$A459))</f>
        <v/>
      </c>
      <c r="F459" s="175" t="str">
        <f aca="false">IF($A459="","",MAX($D459-$E459,0))</f>
        <v/>
      </c>
      <c r="G459" s="175" t="str">
        <f aca="false">IF($A459="","",MAX($E459-$D459,0))</f>
        <v/>
      </c>
      <c r="H459" s="174" t="str">
        <f aca="false">IF($A459="","",IF($F459&gt;0,"Saldo Debit",IF($G459&gt;0,"Saldo Kredit","Zero")))</f>
        <v/>
      </c>
      <c r="I459" s="174" t="str">
        <f aca="false">IF($A459="","",IFERROR(VLOOKUP($A459,PLANI_LLOGARIVE!$A$2:$I$500,9,FALSE()),""))</f>
        <v/>
      </c>
      <c r="J459" s="101" t="str">
        <f aca="false">IF(A459="","",IF(OR(H459="Zero",I459="Debit/Credit"),"",IF(OR(AND(H459="Saldo Debit",I459="Debit"),AND(H459="Saldo Kredit",OR(I459="Credit",I459="Kredit"))),"","⚠️ JO NORMALE")))</f>
        <v/>
      </c>
    </row>
    <row r="460" customFormat="false" ht="12.75" hidden="false" customHeight="true" outlineLevel="0" collapsed="false">
      <c r="A460" s="172" t="str">
        <f aca="false">IF(AND(PLANI_LLOGARIVE!$A454&lt;&gt;"",PLANI_LLOGARIVE!$J454=TRUE()),PLANI_LLOGARIVE!$A454&amp;"","")</f>
        <v/>
      </c>
      <c r="B460" s="172" t="str">
        <f aca="false">IF($A460="","",IFERROR(VLOOKUP($A460,PLANI_LLOGARIVE!$A$2:$I$500,2,FALSE()),""))</f>
        <v/>
      </c>
      <c r="C460" s="172" t="str">
        <f aca="false">IF($A460="","",IFERROR(VLOOKUP($A460,PLANI_LLOGARIVE!$A$2:$I$500,4,FALSE()),""))</f>
        <v/>
      </c>
      <c r="D460" s="173" t="str">
        <f aca="false">IF($A460="","",SUMIFS(DITARI!$F$6:$F$550,DITARI!$D$6:$D$550,$A460))</f>
        <v/>
      </c>
      <c r="E460" s="173" t="str">
        <f aca="false">IF($A460="","",SUMIFS(DITARI!$G$6:$G$550,DITARI!$D$6:$D$550,$A460))</f>
        <v/>
      </c>
      <c r="F460" s="173" t="str">
        <f aca="false">IF($A460="","",MAX($D460-$E460,0))</f>
        <v/>
      </c>
      <c r="G460" s="173" t="str">
        <f aca="false">IF($A460="","",MAX($E460-$D460,0))</f>
        <v/>
      </c>
      <c r="H460" s="172" t="str">
        <f aca="false">IF($A460="","",IF($F460&gt;0,"Saldo Debit",IF($G460&gt;0,"Saldo Kredit","Zero")))</f>
        <v/>
      </c>
      <c r="I460" s="172" t="str">
        <f aca="false">IF($A460="","",IFERROR(VLOOKUP($A460,PLANI_LLOGARIVE!$A$2:$I$500,9,FALSE()),""))</f>
        <v/>
      </c>
      <c r="J460" s="101" t="str">
        <f aca="false">IF(A460="","",IF(OR(H460="Zero",I460="Debit/Credit"),"",IF(OR(AND(H460="Saldo Debit",I460="Debit"),AND(H460="Saldo Kredit",OR(I460="Credit",I460="Kredit"))),"","⚠️ JO NORMALE")))</f>
        <v/>
      </c>
    </row>
    <row r="461" customFormat="false" ht="12.75" hidden="false" customHeight="true" outlineLevel="0" collapsed="false">
      <c r="A461" s="174" t="str">
        <f aca="false">IF(AND(PLANI_LLOGARIVE!$A455&lt;&gt;"",PLANI_LLOGARIVE!$J455=TRUE()),PLANI_LLOGARIVE!$A455&amp;"","")</f>
        <v/>
      </c>
      <c r="B461" s="174" t="str">
        <f aca="false">IF($A461="","",IFERROR(VLOOKUP($A461,PLANI_LLOGARIVE!$A$2:$I$500,2,FALSE()),""))</f>
        <v/>
      </c>
      <c r="C461" s="174" t="str">
        <f aca="false">IF($A461="","",IFERROR(VLOOKUP($A461,PLANI_LLOGARIVE!$A$2:$I$500,4,FALSE()),""))</f>
        <v/>
      </c>
      <c r="D461" s="175" t="str">
        <f aca="false">IF($A461="","",SUMIFS(DITARI!$F$6:$F$550,DITARI!$D$6:$D$550,$A461))</f>
        <v/>
      </c>
      <c r="E461" s="175" t="str">
        <f aca="false">IF($A461="","",SUMIFS(DITARI!$G$6:$G$550,DITARI!$D$6:$D$550,$A461))</f>
        <v/>
      </c>
      <c r="F461" s="175" t="str">
        <f aca="false">IF($A461="","",MAX($D461-$E461,0))</f>
        <v/>
      </c>
      <c r="G461" s="175" t="str">
        <f aca="false">IF($A461="","",MAX($E461-$D461,0))</f>
        <v/>
      </c>
      <c r="H461" s="174" t="str">
        <f aca="false">IF($A461="","",IF($F461&gt;0,"Saldo Debit",IF($G461&gt;0,"Saldo Kredit","Zero")))</f>
        <v/>
      </c>
      <c r="I461" s="174" t="str">
        <f aca="false">IF($A461="","",IFERROR(VLOOKUP($A461,PLANI_LLOGARIVE!$A$2:$I$500,9,FALSE()),""))</f>
        <v/>
      </c>
      <c r="J461" s="101" t="str">
        <f aca="false">IF(A461="","",IF(OR(H461="Zero",I461="Debit/Credit"),"",IF(OR(AND(H461="Saldo Debit",I461="Debit"),AND(H461="Saldo Kredit",OR(I461="Credit",I461="Kredit"))),"","⚠️ JO NORMALE")))</f>
        <v/>
      </c>
    </row>
    <row r="462" customFormat="false" ht="12.75" hidden="false" customHeight="true" outlineLevel="0" collapsed="false">
      <c r="A462" s="172" t="str">
        <f aca="false">IF(AND(PLANI_LLOGARIVE!$A456&lt;&gt;"",PLANI_LLOGARIVE!$J456=TRUE()),PLANI_LLOGARIVE!$A456&amp;"","")</f>
        <v/>
      </c>
      <c r="B462" s="172" t="str">
        <f aca="false">IF($A462="","",IFERROR(VLOOKUP($A462,PLANI_LLOGARIVE!$A$2:$I$500,2,FALSE()),""))</f>
        <v/>
      </c>
      <c r="C462" s="172" t="str">
        <f aca="false">IF($A462="","",IFERROR(VLOOKUP($A462,PLANI_LLOGARIVE!$A$2:$I$500,4,FALSE()),""))</f>
        <v/>
      </c>
      <c r="D462" s="173" t="str">
        <f aca="false">IF($A462="","",SUMIFS(DITARI!$F$6:$F$550,DITARI!$D$6:$D$550,$A462))</f>
        <v/>
      </c>
      <c r="E462" s="173" t="str">
        <f aca="false">IF($A462="","",SUMIFS(DITARI!$G$6:$G$550,DITARI!$D$6:$D$550,$A462))</f>
        <v/>
      </c>
      <c r="F462" s="173" t="str">
        <f aca="false">IF($A462="","",MAX($D462-$E462,0))</f>
        <v/>
      </c>
      <c r="G462" s="173" t="str">
        <f aca="false">IF($A462="","",MAX($E462-$D462,0))</f>
        <v/>
      </c>
      <c r="H462" s="172" t="str">
        <f aca="false">IF($A462="","",IF($F462&gt;0,"Saldo Debit",IF($G462&gt;0,"Saldo Kredit","Zero")))</f>
        <v/>
      </c>
      <c r="I462" s="172" t="str">
        <f aca="false">IF($A462="","",IFERROR(VLOOKUP($A462,PLANI_LLOGARIVE!$A$2:$I$500,9,FALSE()),""))</f>
        <v/>
      </c>
      <c r="J462" s="101" t="str">
        <f aca="false">IF(A462="","",IF(OR(H462="Zero",I462="Debit/Credit"),"",IF(OR(AND(H462="Saldo Debit",I462="Debit"),AND(H462="Saldo Kredit",OR(I462="Credit",I462="Kredit"))),"","⚠️ JO NORMALE")))</f>
        <v/>
      </c>
    </row>
    <row r="463" customFormat="false" ht="12.75" hidden="false" customHeight="true" outlineLevel="0" collapsed="false">
      <c r="A463" s="174" t="str">
        <f aca="false">IF(AND(PLANI_LLOGARIVE!$A457&lt;&gt;"",PLANI_LLOGARIVE!$J457=TRUE()),PLANI_LLOGARIVE!$A457&amp;"","")</f>
        <v/>
      </c>
      <c r="B463" s="174" t="str">
        <f aca="false">IF($A463="","",IFERROR(VLOOKUP($A463,PLANI_LLOGARIVE!$A$2:$I$500,2,FALSE()),""))</f>
        <v/>
      </c>
      <c r="C463" s="174" t="str">
        <f aca="false">IF($A463="","",IFERROR(VLOOKUP($A463,PLANI_LLOGARIVE!$A$2:$I$500,4,FALSE()),""))</f>
        <v/>
      </c>
      <c r="D463" s="175" t="str">
        <f aca="false">IF($A463="","",SUMIFS(DITARI!$F$6:$F$550,DITARI!$D$6:$D$550,$A463))</f>
        <v/>
      </c>
      <c r="E463" s="175" t="str">
        <f aca="false">IF($A463="","",SUMIFS(DITARI!$G$6:$G$550,DITARI!$D$6:$D$550,$A463))</f>
        <v/>
      </c>
      <c r="F463" s="175" t="str">
        <f aca="false">IF($A463="","",MAX($D463-$E463,0))</f>
        <v/>
      </c>
      <c r="G463" s="175" t="str">
        <f aca="false">IF($A463="","",MAX($E463-$D463,0))</f>
        <v/>
      </c>
      <c r="H463" s="174" t="str">
        <f aca="false">IF($A463="","",IF($F463&gt;0,"Saldo Debit",IF($G463&gt;0,"Saldo Kredit","Zero")))</f>
        <v/>
      </c>
      <c r="I463" s="174" t="str">
        <f aca="false">IF($A463="","",IFERROR(VLOOKUP($A463,PLANI_LLOGARIVE!$A$2:$I$500,9,FALSE()),""))</f>
        <v/>
      </c>
      <c r="J463" s="101" t="str">
        <f aca="false">IF(A463="","",IF(OR(H463="Zero",I463="Debit/Credit"),"",IF(OR(AND(H463="Saldo Debit",I463="Debit"),AND(H463="Saldo Kredit",OR(I463="Credit",I463="Kredit"))),"","⚠️ JO NORMALE")))</f>
        <v/>
      </c>
    </row>
    <row r="464" customFormat="false" ht="12.75" hidden="false" customHeight="true" outlineLevel="0" collapsed="false">
      <c r="A464" s="172" t="str">
        <f aca="false">IF(AND(PLANI_LLOGARIVE!$A458&lt;&gt;"",PLANI_LLOGARIVE!$J458=TRUE()),PLANI_LLOGARIVE!$A458&amp;"","")</f>
        <v/>
      </c>
      <c r="B464" s="172" t="str">
        <f aca="false">IF($A464="","",IFERROR(VLOOKUP($A464,PLANI_LLOGARIVE!$A$2:$I$500,2,FALSE()),""))</f>
        <v/>
      </c>
      <c r="C464" s="172" t="str">
        <f aca="false">IF($A464="","",IFERROR(VLOOKUP($A464,PLANI_LLOGARIVE!$A$2:$I$500,4,FALSE()),""))</f>
        <v/>
      </c>
      <c r="D464" s="173" t="str">
        <f aca="false">IF($A464="","",SUMIFS(DITARI!$F$6:$F$550,DITARI!$D$6:$D$550,$A464))</f>
        <v/>
      </c>
      <c r="E464" s="173" t="str">
        <f aca="false">IF($A464="","",SUMIFS(DITARI!$G$6:$G$550,DITARI!$D$6:$D$550,$A464))</f>
        <v/>
      </c>
      <c r="F464" s="173" t="str">
        <f aca="false">IF($A464="","",MAX($D464-$E464,0))</f>
        <v/>
      </c>
      <c r="G464" s="173" t="str">
        <f aca="false">IF($A464="","",MAX($E464-$D464,0))</f>
        <v/>
      </c>
      <c r="H464" s="172" t="str">
        <f aca="false">IF($A464="","",IF($F464&gt;0,"Saldo Debit",IF($G464&gt;0,"Saldo Kredit","Zero")))</f>
        <v/>
      </c>
      <c r="I464" s="172" t="str">
        <f aca="false">IF($A464="","",IFERROR(VLOOKUP($A464,PLANI_LLOGARIVE!$A$2:$I$500,9,FALSE()),""))</f>
        <v/>
      </c>
      <c r="J464" s="101" t="str">
        <f aca="false">IF(A464="","",IF(OR(H464="Zero",I464="Debit/Credit"),"",IF(OR(AND(H464="Saldo Debit",I464="Debit"),AND(H464="Saldo Kredit",OR(I464="Credit",I464="Kredit"))),"","⚠️ JO NORMALE")))</f>
        <v/>
      </c>
    </row>
    <row r="465" customFormat="false" ht="12.75" hidden="false" customHeight="true" outlineLevel="0" collapsed="false">
      <c r="A465" s="174" t="str">
        <f aca="false">IF(AND(PLANI_LLOGARIVE!$A459&lt;&gt;"",PLANI_LLOGARIVE!$J459=TRUE()),PLANI_LLOGARIVE!$A459&amp;"","")</f>
        <v/>
      </c>
      <c r="B465" s="174" t="str">
        <f aca="false">IF($A465="","",IFERROR(VLOOKUP($A465,PLANI_LLOGARIVE!$A$2:$I$500,2,FALSE()),""))</f>
        <v/>
      </c>
      <c r="C465" s="174" t="str">
        <f aca="false">IF($A465="","",IFERROR(VLOOKUP($A465,PLANI_LLOGARIVE!$A$2:$I$500,4,FALSE()),""))</f>
        <v/>
      </c>
      <c r="D465" s="175" t="str">
        <f aca="false">IF($A465="","",SUMIFS(DITARI!$F$6:$F$550,DITARI!$D$6:$D$550,$A465))</f>
        <v/>
      </c>
      <c r="E465" s="175" t="str">
        <f aca="false">IF($A465="","",SUMIFS(DITARI!$G$6:$G$550,DITARI!$D$6:$D$550,$A465))</f>
        <v/>
      </c>
      <c r="F465" s="175" t="str">
        <f aca="false">IF($A465="","",MAX($D465-$E465,0))</f>
        <v/>
      </c>
      <c r="G465" s="175" t="str">
        <f aca="false">IF($A465="","",MAX($E465-$D465,0))</f>
        <v/>
      </c>
      <c r="H465" s="174" t="str">
        <f aca="false">IF($A465="","",IF($F465&gt;0,"Saldo Debit",IF($G465&gt;0,"Saldo Kredit","Zero")))</f>
        <v/>
      </c>
      <c r="I465" s="174" t="str">
        <f aca="false">IF($A465="","",IFERROR(VLOOKUP($A465,PLANI_LLOGARIVE!$A$2:$I$500,9,FALSE()),""))</f>
        <v/>
      </c>
      <c r="J465" s="101" t="str">
        <f aca="false">IF(A465="","",IF(OR(H465="Zero",I465="Debit/Credit"),"",IF(OR(AND(H465="Saldo Debit",I465="Debit"),AND(H465="Saldo Kredit",OR(I465="Credit",I465="Kredit"))),"","⚠️ JO NORMALE")))</f>
        <v/>
      </c>
    </row>
    <row r="466" customFormat="false" ht="12.75" hidden="false" customHeight="true" outlineLevel="0" collapsed="false">
      <c r="A466" s="172" t="str">
        <f aca="false">IF(AND(PLANI_LLOGARIVE!$A460&lt;&gt;"",PLANI_LLOGARIVE!$J460=TRUE()),PLANI_LLOGARIVE!$A460&amp;"","")</f>
        <v/>
      </c>
      <c r="B466" s="172" t="str">
        <f aca="false">IF($A466="","",IFERROR(VLOOKUP($A466,PLANI_LLOGARIVE!$A$2:$I$500,2,FALSE()),""))</f>
        <v/>
      </c>
      <c r="C466" s="172" t="str">
        <f aca="false">IF($A466="","",IFERROR(VLOOKUP($A466,PLANI_LLOGARIVE!$A$2:$I$500,4,FALSE()),""))</f>
        <v/>
      </c>
      <c r="D466" s="173" t="str">
        <f aca="false">IF($A466="","",SUMIFS(DITARI!$F$6:$F$550,DITARI!$D$6:$D$550,$A466))</f>
        <v/>
      </c>
      <c r="E466" s="173" t="str">
        <f aca="false">IF($A466="","",SUMIFS(DITARI!$G$6:$G$550,DITARI!$D$6:$D$550,$A466))</f>
        <v/>
      </c>
      <c r="F466" s="173" t="str">
        <f aca="false">IF($A466="","",MAX($D466-$E466,0))</f>
        <v/>
      </c>
      <c r="G466" s="173" t="str">
        <f aca="false">IF($A466="","",MAX($E466-$D466,0))</f>
        <v/>
      </c>
      <c r="H466" s="172" t="str">
        <f aca="false">IF($A466="","",IF($F466&gt;0,"Saldo Debit",IF($G466&gt;0,"Saldo Kredit","Zero")))</f>
        <v/>
      </c>
      <c r="I466" s="172" t="str">
        <f aca="false">IF($A466="","",IFERROR(VLOOKUP($A466,PLANI_LLOGARIVE!$A$2:$I$500,9,FALSE()),""))</f>
        <v/>
      </c>
      <c r="J466" s="101" t="str">
        <f aca="false">IF(A466="","",IF(OR(H466="Zero",I466="Debit/Credit"),"",IF(OR(AND(H466="Saldo Debit",I466="Debit"),AND(H466="Saldo Kredit",OR(I466="Credit",I466="Kredit"))),"","⚠️ JO NORMALE")))</f>
        <v/>
      </c>
    </row>
    <row r="467" customFormat="false" ht="12.75" hidden="false" customHeight="true" outlineLevel="0" collapsed="false">
      <c r="A467" s="174" t="str">
        <f aca="false">IF(AND(PLANI_LLOGARIVE!$A461&lt;&gt;"",PLANI_LLOGARIVE!$J461=TRUE()),PLANI_LLOGARIVE!$A461&amp;"","")</f>
        <v/>
      </c>
      <c r="B467" s="174" t="str">
        <f aca="false">IF($A467="","",IFERROR(VLOOKUP($A467,PLANI_LLOGARIVE!$A$2:$I$500,2,FALSE()),""))</f>
        <v/>
      </c>
      <c r="C467" s="174" t="str">
        <f aca="false">IF($A467="","",IFERROR(VLOOKUP($A467,PLANI_LLOGARIVE!$A$2:$I$500,4,FALSE()),""))</f>
        <v/>
      </c>
      <c r="D467" s="175" t="str">
        <f aca="false">IF($A467="","",SUMIFS(DITARI!$F$6:$F$550,DITARI!$D$6:$D$550,$A467))</f>
        <v/>
      </c>
      <c r="E467" s="175" t="str">
        <f aca="false">IF($A467="","",SUMIFS(DITARI!$G$6:$G$550,DITARI!$D$6:$D$550,$A467))</f>
        <v/>
      </c>
      <c r="F467" s="175" t="str">
        <f aca="false">IF($A467="","",MAX($D467-$E467,0))</f>
        <v/>
      </c>
      <c r="G467" s="175" t="str">
        <f aca="false">IF($A467="","",MAX($E467-$D467,0))</f>
        <v/>
      </c>
      <c r="H467" s="174" t="str">
        <f aca="false">IF($A467="","",IF($F467&gt;0,"Saldo Debit",IF($G467&gt;0,"Saldo Kredit","Zero")))</f>
        <v/>
      </c>
      <c r="I467" s="174" t="str">
        <f aca="false">IF($A467="","",IFERROR(VLOOKUP($A467,PLANI_LLOGARIVE!$A$2:$I$500,9,FALSE()),""))</f>
        <v/>
      </c>
      <c r="J467" s="101" t="str">
        <f aca="false">IF(A467="","",IF(OR(H467="Zero",I467="Debit/Credit"),"",IF(OR(AND(H467="Saldo Debit",I467="Debit"),AND(H467="Saldo Kredit",OR(I467="Credit",I467="Kredit"))),"","⚠️ JO NORMALE")))</f>
        <v/>
      </c>
    </row>
    <row r="468" customFormat="false" ht="12.75" hidden="false" customHeight="true" outlineLevel="0" collapsed="false">
      <c r="A468" s="172" t="str">
        <f aca="false">IF(AND(PLANI_LLOGARIVE!$A462&lt;&gt;"",PLANI_LLOGARIVE!$J462=TRUE()),PLANI_LLOGARIVE!$A462&amp;"","")</f>
        <v/>
      </c>
      <c r="B468" s="172" t="str">
        <f aca="false">IF($A468="","",IFERROR(VLOOKUP($A468,PLANI_LLOGARIVE!$A$2:$I$500,2,FALSE()),""))</f>
        <v/>
      </c>
      <c r="C468" s="172" t="str">
        <f aca="false">IF($A468="","",IFERROR(VLOOKUP($A468,PLANI_LLOGARIVE!$A$2:$I$500,4,FALSE()),""))</f>
        <v/>
      </c>
      <c r="D468" s="173" t="str">
        <f aca="false">IF($A468="","",SUMIFS(DITARI!$F$6:$F$550,DITARI!$D$6:$D$550,$A468))</f>
        <v/>
      </c>
      <c r="E468" s="173" t="str">
        <f aca="false">IF($A468="","",SUMIFS(DITARI!$G$6:$G$550,DITARI!$D$6:$D$550,$A468))</f>
        <v/>
      </c>
      <c r="F468" s="173" t="str">
        <f aca="false">IF($A468="","",MAX($D468-$E468,0))</f>
        <v/>
      </c>
      <c r="G468" s="173" t="str">
        <f aca="false">IF($A468="","",MAX($E468-$D468,0))</f>
        <v/>
      </c>
      <c r="H468" s="172" t="str">
        <f aca="false">IF($A468="","",IF($F468&gt;0,"Saldo Debit",IF($G468&gt;0,"Saldo Kredit","Zero")))</f>
        <v/>
      </c>
      <c r="I468" s="172" t="str">
        <f aca="false">IF($A468="","",IFERROR(VLOOKUP($A468,PLANI_LLOGARIVE!$A$2:$I$500,9,FALSE()),""))</f>
        <v/>
      </c>
      <c r="J468" s="101" t="str">
        <f aca="false">IF(A468="","",IF(OR(H468="Zero",I468="Debit/Credit"),"",IF(OR(AND(H468="Saldo Debit",I468="Debit"),AND(H468="Saldo Kredit",OR(I468="Credit",I468="Kredit"))),"","⚠️ JO NORMALE")))</f>
        <v/>
      </c>
    </row>
    <row r="469" customFormat="false" ht="12.75" hidden="false" customHeight="true" outlineLevel="0" collapsed="false">
      <c r="A469" s="174" t="str">
        <f aca="false">IF(AND(PLANI_LLOGARIVE!$A463&lt;&gt;"",PLANI_LLOGARIVE!$J463=TRUE()),PLANI_LLOGARIVE!$A463&amp;"","")</f>
        <v/>
      </c>
      <c r="B469" s="174" t="str">
        <f aca="false">IF($A469="","",IFERROR(VLOOKUP($A469,PLANI_LLOGARIVE!$A$2:$I$500,2,FALSE()),""))</f>
        <v/>
      </c>
      <c r="C469" s="174" t="str">
        <f aca="false">IF($A469="","",IFERROR(VLOOKUP($A469,PLANI_LLOGARIVE!$A$2:$I$500,4,FALSE()),""))</f>
        <v/>
      </c>
      <c r="D469" s="175" t="str">
        <f aca="false">IF($A469="","",SUMIFS(DITARI!$F$6:$F$550,DITARI!$D$6:$D$550,$A469))</f>
        <v/>
      </c>
      <c r="E469" s="175" t="str">
        <f aca="false">IF($A469="","",SUMIFS(DITARI!$G$6:$G$550,DITARI!$D$6:$D$550,$A469))</f>
        <v/>
      </c>
      <c r="F469" s="175" t="str">
        <f aca="false">IF($A469="","",MAX($D469-$E469,0))</f>
        <v/>
      </c>
      <c r="G469" s="175" t="str">
        <f aca="false">IF($A469="","",MAX($E469-$D469,0))</f>
        <v/>
      </c>
      <c r="H469" s="174" t="str">
        <f aca="false">IF($A469="","",IF($F469&gt;0,"Saldo Debit",IF($G469&gt;0,"Saldo Kredit","Zero")))</f>
        <v/>
      </c>
      <c r="I469" s="174" t="str">
        <f aca="false">IF($A469="","",IFERROR(VLOOKUP($A469,PLANI_LLOGARIVE!$A$2:$I$500,9,FALSE()),""))</f>
        <v/>
      </c>
      <c r="J469" s="101" t="str">
        <f aca="false">IF(A469="","",IF(OR(H469="Zero",I469="Debit/Credit"),"",IF(OR(AND(H469="Saldo Debit",I469="Debit"),AND(H469="Saldo Kredit",OR(I469="Credit",I469="Kredit"))),"","⚠️ JO NORMALE")))</f>
        <v/>
      </c>
    </row>
    <row r="470" customFormat="false" ht="12.75" hidden="false" customHeight="true" outlineLevel="0" collapsed="false">
      <c r="A470" s="172" t="str">
        <f aca="false">IF(AND(PLANI_LLOGARIVE!$A464&lt;&gt;"",PLANI_LLOGARIVE!$J464=TRUE()),PLANI_LLOGARIVE!$A464&amp;"","")</f>
        <v/>
      </c>
      <c r="B470" s="172" t="str">
        <f aca="false">IF($A470="","",IFERROR(VLOOKUP($A470,PLANI_LLOGARIVE!$A$2:$I$500,2,FALSE()),""))</f>
        <v/>
      </c>
      <c r="C470" s="172" t="str">
        <f aca="false">IF($A470="","",IFERROR(VLOOKUP($A470,PLANI_LLOGARIVE!$A$2:$I$500,4,FALSE()),""))</f>
        <v/>
      </c>
      <c r="D470" s="173" t="str">
        <f aca="false">IF($A470="","",SUMIFS(DITARI!$F$6:$F$550,DITARI!$D$6:$D$550,$A470))</f>
        <v/>
      </c>
      <c r="E470" s="173" t="str">
        <f aca="false">IF($A470="","",SUMIFS(DITARI!$G$6:$G$550,DITARI!$D$6:$D$550,$A470))</f>
        <v/>
      </c>
      <c r="F470" s="173" t="str">
        <f aca="false">IF($A470="","",MAX($D470-$E470,0))</f>
        <v/>
      </c>
      <c r="G470" s="173" t="str">
        <f aca="false">IF($A470="","",MAX($E470-$D470,0))</f>
        <v/>
      </c>
      <c r="H470" s="172" t="str">
        <f aca="false">IF($A470="","",IF($F470&gt;0,"Saldo Debit",IF($G470&gt;0,"Saldo Kredit","Zero")))</f>
        <v/>
      </c>
      <c r="I470" s="172" t="str">
        <f aca="false">IF($A470="","",IFERROR(VLOOKUP($A470,PLANI_LLOGARIVE!$A$2:$I$500,9,FALSE()),""))</f>
        <v/>
      </c>
      <c r="J470" s="101" t="str">
        <f aca="false">IF(A470="","",IF(OR(H470="Zero",I470="Debit/Credit"),"",IF(OR(AND(H470="Saldo Debit",I470="Debit"),AND(H470="Saldo Kredit",OR(I470="Credit",I470="Kredit"))),"","⚠️ JO NORMALE")))</f>
        <v/>
      </c>
    </row>
    <row r="471" customFormat="false" ht="12.75" hidden="false" customHeight="true" outlineLevel="0" collapsed="false">
      <c r="A471" s="174" t="str">
        <f aca="false">IF(AND(PLANI_LLOGARIVE!$A465&lt;&gt;"",PLANI_LLOGARIVE!$J465=TRUE()),PLANI_LLOGARIVE!$A465&amp;"","")</f>
        <v/>
      </c>
      <c r="B471" s="174" t="str">
        <f aca="false">IF($A471="","",IFERROR(VLOOKUP($A471,PLANI_LLOGARIVE!$A$2:$I$500,2,FALSE()),""))</f>
        <v/>
      </c>
      <c r="C471" s="174" t="str">
        <f aca="false">IF($A471="","",IFERROR(VLOOKUP($A471,PLANI_LLOGARIVE!$A$2:$I$500,4,FALSE()),""))</f>
        <v/>
      </c>
      <c r="D471" s="175" t="str">
        <f aca="false">IF($A471="","",SUMIFS(DITARI!$F$6:$F$550,DITARI!$D$6:$D$550,$A471))</f>
        <v/>
      </c>
      <c r="E471" s="175" t="str">
        <f aca="false">IF($A471="","",SUMIFS(DITARI!$G$6:$G$550,DITARI!$D$6:$D$550,$A471))</f>
        <v/>
      </c>
      <c r="F471" s="175" t="str">
        <f aca="false">IF($A471="","",MAX($D471-$E471,0))</f>
        <v/>
      </c>
      <c r="G471" s="175" t="str">
        <f aca="false">IF($A471="","",MAX($E471-$D471,0))</f>
        <v/>
      </c>
      <c r="H471" s="174" t="str">
        <f aca="false">IF($A471="","",IF($F471&gt;0,"Saldo Debit",IF($G471&gt;0,"Saldo Kredit","Zero")))</f>
        <v/>
      </c>
      <c r="I471" s="174" t="str">
        <f aca="false">IF($A471="","",IFERROR(VLOOKUP($A471,PLANI_LLOGARIVE!$A$2:$I$500,9,FALSE()),""))</f>
        <v/>
      </c>
      <c r="J471" s="101" t="str">
        <f aca="false">IF(A471="","",IF(OR(H471="Zero",I471="Debit/Credit"),"",IF(OR(AND(H471="Saldo Debit",I471="Debit"),AND(H471="Saldo Kredit",OR(I471="Credit",I471="Kredit"))),"","⚠️ JO NORMALE")))</f>
        <v/>
      </c>
    </row>
    <row r="472" customFormat="false" ht="12.75" hidden="false" customHeight="true" outlineLevel="0" collapsed="false">
      <c r="A472" s="172" t="str">
        <f aca="false">IF(AND(PLANI_LLOGARIVE!$A466&lt;&gt;"",PLANI_LLOGARIVE!$J466=TRUE()),PLANI_LLOGARIVE!$A466&amp;"","")</f>
        <v/>
      </c>
      <c r="B472" s="172" t="str">
        <f aca="false">IF($A472="","",IFERROR(VLOOKUP($A472,PLANI_LLOGARIVE!$A$2:$I$500,2,FALSE()),""))</f>
        <v/>
      </c>
      <c r="C472" s="172" t="str">
        <f aca="false">IF($A472="","",IFERROR(VLOOKUP($A472,PLANI_LLOGARIVE!$A$2:$I$500,4,FALSE()),""))</f>
        <v/>
      </c>
      <c r="D472" s="173" t="str">
        <f aca="false">IF($A472="","",SUMIFS(DITARI!$F$6:$F$550,DITARI!$D$6:$D$550,$A472))</f>
        <v/>
      </c>
      <c r="E472" s="173" t="str">
        <f aca="false">IF($A472="","",SUMIFS(DITARI!$G$6:$G$550,DITARI!$D$6:$D$550,$A472))</f>
        <v/>
      </c>
      <c r="F472" s="173" t="str">
        <f aca="false">IF($A472="","",MAX($D472-$E472,0))</f>
        <v/>
      </c>
      <c r="G472" s="173" t="str">
        <f aca="false">IF($A472="","",MAX($E472-$D472,0))</f>
        <v/>
      </c>
      <c r="H472" s="172" t="str">
        <f aca="false">IF($A472="","",IF($F472&gt;0,"Saldo Debit",IF($G472&gt;0,"Saldo Kredit","Zero")))</f>
        <v/>
      </c>
      <c r="I472" s="172" t="str">
        <f aca="false">IF($A472="","",IFERROR(VLOOKUP($A472,PLANI_LLOGARIVE!$A$2:$I$500,9,FALSE()),""))</f>
        <v/>
      </c>
      <c r="J472" s="101" t="str">
        <f aca="false">IF(A472="","",IF(OR(H472="Zero",I472="Debit/Credit"),"",IF(OR(AND(H472="Saldo Debit",I472="Debit"),AND(H472="Saldo Kredit",OR(I472="Credit",I472="Kredit"))),"","⚠️ JO NORMALE")))</f>
        <v/>
      </c>
    </row>
    <row r="473" customFormat="false" ht="12.75" hidden="false" customHeight="true" outlineLevel="0" collapsed="false">
      <c r="A473" s="174" t="str">
        <f aca="false">IF(AND(PLANI_LLOGARIVE!$A467&lt;&gt;"",PLANI_LLOGARIVE!$J467=TRUE()),PLANI_LLOGARIVE!$A467&amp;"","")</f>
        <v/>
      </c>
      <c r="B473" s="174" t="str">
        <f aca="false">IF($A473="","",IFERROR(VLOOKUP($A473,PLANI_LLOGARIVE!$A$2:$I$500,2,FALSE()),""))</f>
        <v/>
      </c>
      <c r="C473" s="174" t="str">
        <f aca="false">IF($A473="","",IFERROR(VLOOKUP($A473,PLANI_LLOGARIVE!$A$2:$I$500,4,FALSE()),""))</f>
        <v/>
      </c>
      <c r="D473" s="175" t="str">
        <f aca="false">IF($A473="","",SUMIFS(DITARI!$F$6:$F$550,DITARI!$D$6:$D$550,$A473))</f>
        <v/>
      </c>
      <c r="E473" s="175" t="str">
        <f aca="false">IF($A473="","",SUMIFS(DITARI!$G$6:$G$550,DITARI!$D$6:$D$550,$A473))</f>
        <v/>
      </c>
      <c r="F473" s="175" t="str">
        <f aca="false">IF($A473="","",MAX($D473-$E473,0))</f>
        <v/>
      </c>
      <c r="G473" s="175" t="str">
        <f aca="false">IF($A473="","",MAX($E473-$D473,0))</f>
        <v/>
      </c>
      <c r="H473" s="174" t="str">
        <f aca="false">IF($A473="","",IF($F473&gt;0,"Saldo Debit",IF($G473&gt;0,"Saldo Kredit","Zero")))</f>
        <v/>
      </c>
      <c r="I473" s="174" t="str">
        <f aca="false">IF($A473="","",IFERROR(VLOOKUP($A473,PLANI_LLOGARIVE!$A$2:$I$500,9,FALSE()),""))</f>
        <v/>
      </c>
      <c r="J473" s="101" t="str">
        <f aca="false">IF(A473="","",IF(OR(H473="Zero",I473="Debit/Credit"),"",IF(OR(AND(H473="Saldo Debit",I473="Debit"),AND(H473="Saldo Kredit",OR(I473="Credit",I473="Kredit"))),"","⚠️ JO NORMALE")))</f>
        <v/>
      </c>
    </row>
    <row r="474" customFormat="false" ht="12.75" hidden="false" customHeight="true" outlineLevel="0" collapsed="false">
      <c r="A474" s="172" t="str">
        <f aca="false">IF(AND(PLANI_LLOGARIVE!$A468&lt;&gt;"",PLANI_LLOGARIVE!$J468=TRUE()),PLANI_LLOGARIVE!$A468&amp;"","")</f>
        <v/>
      </c>
      <c r="B474" s="172" t="str">
        <f aca="false">IF($A474="","",IFERROR(VLOOKUP($A474,PLANI_LLOGARIVE!$A$2:$I$500,2,FALSE()),""))</f>
        <v/>
      </c>
      <c r="C474" s="172" t="str">
        <f aca="false">IF($A474="","",IFERROR(VLOOKUP($A474,PLANI_LLOGARIVE!$A$2:$I$500,4,FALSE()),""))</f>
        <v/>
      </c>
      <c r="D474" s="173" t="str">
        <f aca="false">IF($A474="","",SUMIFS(DITARI!$F$6:$F$550,DITARI!$D$6:$D$550,$A474))</f>
        <v/>
      </c>
      <c r="E474" s="173" t="str">
        <f aca="false">IF($A474="","",SUMIFS(DITARI!$G$6:$G$550,DITARI!$D$6:$D$550,$A474))</f>
        <v/>
      </c>
      <c r="F474" s="173" t="str">
        <f aca="false">IF($A474="","",MAX($D474-$E474,0))</f>
        <v/>
      </c>
      <c r="G474" s="173" t="str">
        <f aca="false">IF($A474="","",MAX($E474-$D474,0))</f>
        <v/>
      </c>
      <c r="H474" s="172" t="str">
        <f aca="false">IF($A474="","",IF($F474&gt;0,"Saldo Debit",IF($G474&gt;0,"Saldo Kredit","Zero")))</f>
        <v/>
      </c>
      <c r="I474" s="172" t="str">
        <f aca="false">IF($A474="","",IFERROR(VLOOKUP($A474,PLANI_LLOGARIVE!$A$2:$I$500,9,FALSE()),""))</f>
        <v/>
      </c>
      <c r="J474" s="101" t="str">
        <f aca="false">IF(A474="","",IF(OR(H474="Zero",I474="Debit/Credit"),"",IF(OR(AND(H474="Saldo Debit",I474="Debit"),AND(H474="Saldo Kredit",OR(I474="Credit",I474="Kredit"))),"","⚠️ JO NORMALE")))</f>
        <v/>
      </c>
    </row>
    <row r="475" customFormat="false" ht="12.75" hidden="false" customHeight="true" outlineLevel="0" collapsed="false">
      <c r="A475" s="174" t="str">
        <f aca="false">IF(AND(PLANI_LLOGARIVE!$A469&lt;&gt;"",PLANI_LLOGARIVE!$J469=TRUE()),PLANI_LLOGARIVE!$A469&amp;"","")</f>
        <v/>
      </c>
      <c r="B475" s="174" t="str">
        <f aca="false">IF($A475="","",IFERROR(VLOOKUP($A475,PLANI_LLOGARIVE!$A$2:$I$500,2,FALSE()),""))</f>
        <v/>
      </c>
      <c r="C475" s="174" t="str">
        <f aca="false">IF($A475="","",IFERROR(VLOOKUP($A475,PLANI_LLOGARIVE!$A$2:$I$500,4,FALSE()),""))</f>
        <v/>
      </c>
      <c r="D475" s="175" t="str">
        <f aca="false">IF($A475="","",SUMIFS(DITARI!$F$6:$F$550,DITARI!$D$6:$D$550,$A475))</f>
        <v/>
      </c>
      <c r="E475" s="175" t="str">
        <f aca="false">IF($A475="","",SUMIFS(DITARI!$G$6:$G$550,DITARI!$D$6:$D$550,$A475))</f>
        <v/>
      </c>
      <c r="F475" s="175" t="str">
        <f aca="false">IF($A475="","",MAX($D475-$E475,0))</f>
        <v/>
      </c>
      <c r="G475" s="175" t="str">
        <f aca="false">IF($A475="","",MAX($E475-$D475,0))</f>
        <v/>
      </c>
      <c r="H475" s="174" t="str">
        <f aca="false">IF($A475="","",IF($F475&gt;0,"Saldo Debit",IF($G475&gt;0,"Saldo Kredit","Zero")))</f>
        <v/>
      </c>
      <c r="I475" s="174" t="str">
        <f aca="false">IF($A475="","",IFERROR(VLOOKUP($A475,PLANI_LLOGARIVE!$A$2:$I$500,9,FALSE()),""))</f>
        <v/>
      </c>
      <c r="J475" s="101" t="str">
        <f aca="false">IF(A475="","",IF(OR(H475="Zero",I475="Debit/Credit"),"",IF(OR(AND(H475="Saldo Debit",I475="Debit"),AND(H475="Saldo Kredit",OR(I475="Credit",I475="Kredit"))),"","⚠️ JO NORMALE")))</f>
        <v/>
      </c>
    </row>
    <row r="476" customFormat="false" ht="12.75" hidden="false" customHeight="true" outlineLevel="0" collapsed="false">
      <c r="A476" s="172" t="str">
        <f aca="false">IF(AND(PLANI_LLOGARIVE!$A470&lt;&gt;"",PLANI_LLOGARIVE!$J470=TRUE()),PLANI_LLOGARIVE!$A470&amp;"","")</f>
        <v/>
      </c>
      <c r="B476" s="172" t="str">
        <f aca="false">IF($A476="","",IFERROR(VLOOKUP($A476,PLANI_LLOGARIVE!$A$2:$I$500,2,FALSE()),""))</f>
        <v/>
      </c>
      <c r="C476" s="172" t="str">
        <f aca="false">IF($A476="","",IFERROR(VLOOKUP($A476,PLANI_LLOGARIVE!$A$2:$I$500,4,FALSE()),""))</f>
        <v/>
      </c>
      <c r="D476" s="173" t="str">
        <f aca="false">IF($A476="","",SUMIFS(DITARI!$F$6:$F$550,DITARI!$D$6:$D$550,$A476))</f>
        <v/>
      </c>
      <c r="E476" s="173" t="str">
        <f aca="false">IF($A476="","",SUMIFS(DITARI!$G$6:$G$550,DITARI!$D$6:$D$550,$A476))</f>
        <v/>
      </c>
      <c r="F476" s="173" t="str">
        <f aca="false">IF($A476="","",MAX($D476-$E476,0))</f>
        <v/>
      </c>
      <c r="G476" s="173" t="str">
        <f aca="false">IF($A476="","",MAX($E476-$D476,0))</f>
        <v/>
      </c>
      <c r="H476" s="172" t="str">
        <f aca="false">IF($A476="","",IF($F476&gt;0,"Saldo Debit",IF($G476&gt;0,"Saldo Kredit","Zero")))</f>
        <v/>
      </c>
      <c r="I476" s="172" t="str">
        <f aca="false">IF($A476="","",IFERROR(VLOOKUP($A476,PLANI_LLOGARIVE!$A$2:$I$500,9,FALSE()),""))</f>
        <v/>
      </c>
      <c r="J476" s="101" t="str">
        <f aca="false">IF(A476="","",IF(OR(H476="Zero",I476="Debit/Credit"),"",IF(OR(AND(H476="Saldo Debit",I476="Debit"),AND(H476="Saldo Kredit",OR(I476="Credit",I476="Kredit"))),"","⚠️ JO NORMALE")))</f>
        <v/>
      </c>
    </row>
    <row r="477" customFormat="false" ht="12.75" hidden="false" customHeight="true" outlineLevel="0" collapsed="false">
      <c r="A477" s="174" t="str">
        <f aca="false">IF(AND(PLANI_LLOGARIVE!$A471&lt;&gt;"",PLANI_LLOGARIVE!$J471=TRUE()),PLANI_LLOGARIVE!$A471&amp;"","")</f>
        <v/>
      </c>
      <c r="B477" s="174" t="str">
        <f aca="false">IF($A477="","",IFERROR(VLOOKUP($A477,PLANI_LLOGARIVE!$A$2:$I$500,2,FALSE()),""))</f>
        <v/>
      </c>
      <c r="C477" s="174" t="str">
        <f aca="false">IF($A477="","",IFERROR(VLOOKUP($A477,PLANI_LLOGARIVE!$A$2:$I$500,4,FALSE()),""))</f>
        <v/>
      </c>
      <c r="D477" s="175" t="str">
        <f aca="false">IF($A477="","",SUMIFS(DITARI!$F$6:$F$550,DITARI!$D$6:$D$550,$A477))</f>
        <v/>
      </c>
      <c r="E477" s="175" t="str">
        <f aca="false">IF($A477="","",SUMIFS(DITARI!$G$6:$G$550,DITARI!$D$6:$D$550,$A477))</f>
        <v/>
      </c>
      <c r="F477" s="175" t="str">
        <f aca="false">IF($A477="","",MAX($D477-$E477,0))</f>
        <v/>
      </c>
      <c r="G477" s="175" t="str">
        <f aca="false">IF($A477="","",MAX($E477-$D477,0))</f>
        <v/>
      </c>
      <c r="H477" s="174" t="str">
        <f aca="false">IF($A477="","",IF($F477&gt;0,"Saldo Debit",IF($G477&gt;0,"Saldo Kredit","Zero")))</f>
        <v/>
      </c>
      <c r="I477" s="174" t="str">
        <f aca="false">IF($A477="","",IFERROR(VLOOKUP($A477,PLANI_LLOGARIVE!$A$2:$I$500,9,FALSE()),""))</f>
        <v/>
      </c>
      <c r="J477" s="101" t="str">
        <f aca="false">IF(A477="","",IF(OR(H477="Zero",I477="Debit/Credit"),"",IF(OR(AND(H477="Saldo Debit",I477="Debit"),AND(H477="Saldo Kredit",OR(I477="Credit",I477="Kredit"))),"","⚠️ JO NORMALE")))</f>
        <v/>
      </c>
    </row>
    <row r="478" customFormat="false" ht="12.75" hidden="false" customHeight="true" outlineLevel="0" collapsed="false">
      <c r="A478" s="172" t="str">
        <f aca="false">IF(AND(PLANI_LLOGARIVE!$A472&lt;&gt;"",PLANI_LLOGARIVE!$J472=TRUE()),PLANI_LLOGARIVE!$A472&amp;"","")</f>
        <v/>
      </c>
      <c r="B478" s="172" t="str">
        <f aca="false">IF($A478="","",IFERROR(VLOOKUP($A478,PLANI_LLOGARIVE!$A$2:$I$500,2,FALSE()),""))</f>
        <v/>
      </c>
      <c r="C478" s="172" t="str">
        <f aca="false">IF($A478="","",IFERROR(VLOOKUP($A478,PLANI_LLOGARIVE!$A$2:$I$500,4,FALSE()),""))</f>
        <v/>
      </c>
      <c r="D478" s="173" t="str">
        <f aca="false">IF($A478="","",SUMIFS(DITARI!$F$6:$F$550,DITARI!$D$6:$D$550,$A478))</f>
        <v/>
      </c>
      <c r="E478" s="173" t="str">
        <f aca="false">IF($A478="","",SUMIFS(DITARI!$G$6:$G$550,DITARI!$D$6:$D$550,$A478))</f>
        <v/>
      </c>
      <c r="F478" s="173" t="str">
        <f aca="false">IF($A478="","",MAX($D478-$E478,0))</f>
        <v/>
      </c>
      <c r="G478" s="173" t="str">
        <f aca="false">IF($A478="","",MAX($E478-$D478,0))</f>
        <v/>
      </c>
      <c r="H478" s="172" t="str">
        <f aca="false">IF($A478="","",IF($F478&gt;0,"Saldo Debit",IF($G478&gt;0,"Saldo Kredit","Zero")))</f>
        <v/>
      </c>
      <c r="I478" s="172" t="str">
        <f aca="false">IF($A478="","",IFERROR(VLOOKUP($A478,PLANI_LLOGARIVE!$A$2:$I$500,9,FALSE()),""))</f>
        <v/>
      </c>
      <c r="J478" s="101" t="str">
        <f aca="false">IF(A478="","",IF(OR(H478="Zero",I478="Debit/Credit"),"",IF(OR(AND(H478="Saldo Debit",I478="Debit"),AND(H478="Saldo Kredit",OR(I478="Credit",I478="Kredit"))),"","⚠️ JO NORMALE")))</f>
        <v/>
      </c>
    </row>
    <row r="479" customFormat="false" ht="12.75" hidden="false" customHeight="true" outlineLevel="0" collapsed="false">
      <c r="A479" s="174" t="str">
        <f aca="false">IF(AND(PLANI_LLOGARIVE!$A473&lt;&gt;"",PLANI_LLOGARIVE!$J473=TRUE()),PLANI_LLOGARIVE!$A473&amp;"","")</f>
        <v/>
      </c>
      <c r="B479" s="174" t="str">
        <f aca="false">IF($A479="","",IFERROR(VLOOKUP($A479,PLANI_LLOGARIVE!$A$2:$I$500,2,FALSE()),""))</f>
        <v/>
      </c>
      <c r="C479" s="174" t="str">
        <f aca="false">IF($A479="","",IFERROR(VLOOKUP($A479,PLANI_LLOGARIVE!$A$2:$I$500,4,FALSE()),""))</f>
        <v/>
      </c>
      <c r="D479" s="175" t="str">
        <f aca="false">IF($A479="","",SUMIFS(DITARI!$F$6:$F$550,DITARI!$D$6:$D$550,$A479))</f>
        <v/>
      </c>
      <c r="E479" s="175" t="str">
        <f aca="false">IF($A479="","",SUMIFS(DITARI!$G$6:$G$550,DITARI!$D$6:$D$550,$A479))</f>
        <v/>
      </c>
      <c r="F479" s="175" t="str">
        <f aca="false">IF($A479="","",MAX($D479-$E479,0))</f>
        <v/>
      </c>
      <c r="G479" s="175" t="str">
        <f aca="false">IF($A479="","",MAX($E479-$D479,0))</f>
        <v/>
      </c>
      <c r="H479" s="174" t="str">
        <f aca="false">IF($A479="","",IF($F479&gt;0,"Saldo Debit",IF($G479&gt;0,"Saldo Kredit","Zero")))</f>
        <v/>
      </c>
      <c r="I479" s="174" t="str">
        <f aca="false">IF($A479="","",IFERROR(VLOOKUP($A479,PLANI_LLOGARIVE!$A$2:$I$500,9,FALSE()),""))</f>
        <v/>
      </c>
      <c r="J479" s="101" t="str">
        <f aca="false">IF(A479="","",IF(OR(H479="Zero",I479="Debit/Credit"),"",IF(OR(AND(H479="Saldo Debit",I479="Debit"),AND(H479="Saldo Kredit",OR(I479="Credit",I479="Kredit"))),"","⚠️ JO NORMALE")))</f>
        <v/>
      </c>
    </row>
    <row r="480" customFormat="false" ht="12.75" hidden="false" customHeight="true" outlineLevel="0" collapsed="false">
      <c r="A480" s="172" t="str">
        <f aca="false">IF(AND(PLANI_LLOGARIVE!$A474&lt;&gt;"",PLANI_LLOGARIVE!$J474=TRUE()),PLANI_LLOGARIVE!$A474&amp;"","")</f>
        <v/>
      </c>
      <c r="B480" s="172" t="str">
        <f aca="false">IF($A480="","",IFERROR(VLOOKUP($A480,PLANI_LLOGARIVE!$A$2:$I$500,2,FALSE()),""))</f>
        <v/>
      </c>
      <c r="C480" s="172" t="str">
        <f aca="false">IF($A480="","",IFERROR(VLOOKUP($A480,PLANI_LLOGARIVE!$A$2:$I$500,4,FALSE()),""))</f>
        <v/>
      </c>
      <c r="D480" s="173" t="str">
        <f aca="false">IF($A480="","",SUMIFS(DITARI!$F$6:$F$550,DITARI!$D$6:$D$550,$A480))</f>
        <v/>
      </c>
      <c r="E480" s="173" t="str">
        <f aca="false">IF($A480="","",SUMIFS(DITARI!$G$6:$G$550,DITARI!$D$6:$D$550,$A480))</f>
        <v/>
      </c>
      <c r="F480" s="173" t="str">
        <f aca="false">IF($A480="","",MAX($D480-$E480,0))</f>
        <v/>
      </c>
      <c r="G480" s="173" t="str">
        <f aca="false">IF($A480="","",MAX($E480-$D480,0))</f>
        <v/>
      </c>
      <c r="H480" s="172" t="str">
        <f aca="false">IF($A480="","",IF($F480&gt;0,"Saldo Debit",IF($G480&gt;0,"Saldo Kredit","Zero")))</f>
        <v/>
      </c>
      <c r="I480" s="172" t="str">
        <f aca="false">IF($A480="","",IFERROR(VLOOKUP($A480,PLANI_LLOGARIVE!$A$2:$I$500,9,FALSE()),""))</f>
        <v/>
      </c>
      <c r="J480" s="101" t="str">
        <f aca="false">IF(A480="","",IF(OR(H480="Zero",I480="Debit/Credit"),"",IF(OR(AND(H480="Saldo Debit",I480="Debit"),AND(H480="Saldo Kredit",OR(I480="Credit",I480="Kredit"))),"","⚠️ JO NORMALE")))</f>
        <v/>
      </c>
    </row>
    <row r="481" customFormat="false" ht="12.75" hidden="false" customHeight="true" outlineLevel="0" collapsed="false">
      <c r="A481" s="174" t="str">
        <f aca="false">IF(AND(PLANI_LLOGARIVE!$A475&lt;&gt;"",PLANI_LLOGARIVE!$J475=TRUE()),PLANI_LLOGARIVE!$A475&amp;"","")</f>
        <v/>
      </c>
      <c r="B481" s="174" t="str">
        <f aca="false">IF($A481="","",IFERROR(VLOOKUP($A481,PLANI_LLOGARIVE!$A$2:$I$500,2,FALSE()),""))</f>
        <v/>
      </c>
      <c r="C481" s="174" t="str">
        <f aca="false">IF($A481="","",IFERROR(VLOOKUP($A481,PLANI_LLOGARIVE!$A$2:$I$500,4,FALSE()),""))</f>
        <v/>
      </c>
      <c r="D481" s="175" t="str">
        <f aca="false">IF($A481="","",SUMIFS(DITARI!$F$6:$F$550,DITARI!$D$6:$D$550,$A481))</f>
        <v/>
      </c>
      <c r="E481" s="175" t="str">
        <f aca="false">IF($A481="","",SUMIFS(DITARI!$G$6:$G$550,DITARI!$D$6:$D$550,$A481))</f>
        <v/>
      </c>
      <c r="F481" s="175" t="str">
        <f aca="false">IF($A481="","",MAX($D481-$E481,0))</f>
        <v/>
      </c>
      <c r="G481" s="175" t="str">
        <f aca="false">IF($A481="","",MAX($E481-$D481,0))</f>
        <v/>
      </c>
      <c r="H481" s="174" t="str">
        <f aca="false">IF($A481="","",IF($F481&gt;0,"Saldo Debit",IF($G481&gt;0,"Saldo Kredit","Zero")))</f>
        <v/>
      </c>
      <c r="I481" s="174" t="str">
        <f aca="false">IF($A481="","",IFERROR(VLOOKUP($A481,PLANI_LLOGARIVE!$A$2:$I$500,9,FALSE()),""))</f>
        <v/>
      </c>
      <c r="J481" s="101" t="str">
        <f aca="false">IF(A481="","",IF(OR(H481="Zero",I481="Debit/Credit"),"",IF(OR(AND(H481="Saldo Debit",I481="Debit"),AND(H481="Saldo Kredit",OR(I481="Credit",I481="Kredit"))),"","⚠️ JO NORMALE")))</f>
        <v/>
      </c>
    </row>
    <row r="482" customFormat="false" ht="12.75" hidden="false" customHeight="true" outlineLevel="0" collapsed="false">
      <c r="A482" s="172" t="str">
        <f aca="false">IF(AND(PLANI_LLOGARIVE!$A476&lt;&gt;"",PLANI_LLOGARIVE!$J476=TRUE()),PLANI_LLOGARIVE!$A476&amp;"","")</f>
        <v/>
      </c>
      <c r="B482" s="172" t="str">
        <f aca="false">IF($A482="","",IFERROR(VLOOKUP($A482,PLANI_LLOGARIVE!$A$2:$I$500,2,FALSE()),""))</f>
        <v/>
      </c>
      <c r="C482" s="172" t="str">
        <f aca="false">IF($A482="","",IFERROR(VLOOKUP($A482,PLANI_LLOGARIVE!$A$2:$I$500,4,FALSE()),""))</f>
        <v/>
      </c>
      <c r="D482" s="173" t="str">
        <f aca="false">IF($A482="","",SUMIFS(DITARI!$F$6:$F$550,DITARI!$D$6:$D$550,$A482))</f>
        <v/>
      </c>
      <c r="E482" s="173" t="str">
        <f aca="false">IF($A482="","",SUMIFS(DITARI!$G$6:$G$550,DITARI!$D$6:$D$550,$A482))</f>
        <v/>
      </c>
      <c r="F482" s="173" t="str">
        <f aca="false">IF($A482="","",MAX($D482-$E482,0))</f>
        <v/>
      </c>
      <c r="G482" s="173" t="str">
        <f aca="false">IF($A482="","",MAX($E482-$D482,0))</f>
        <v/>
      </c>
      <c r="H482" s="172" t="str">
        <f aca="false">IF($A482="","",IF($F482&gt;0,"Saldo Debit",IF($G482&gt;0,"Saldo Kredit","Zero")))</f>
        <v/>
      </c>
      <c r="I482" s="172" t="str">
        <f aca="false">IF($A482="","",IFERROR(VLOOKUP($A482,PLANI_LLOGARIVE!$A$2:$I$500,9,FALSE()),""))</f>
        <v/>
      </c>
      <c r="J482" s="101" t="str">
        <f aca="false">IF(A482="","",IF(OR(H482="Zero",I482="Debit/Credit"),"",IF(OR(AND(H482="Saldo Debit",I482="Debit"),AND(H482="Saldo Kredit",OR(I482="Credit",I482="Kredit"))),"","⚠️ JO NORMALE")))</f>
        <v/>
      </c>
    </row>
    <row r="483" customFormat="false" ht="12.75" hidden="false" customHeight="true" outlineLevel="0" collapsed="false">
      <c r="A483" s="174" t="str">
        <f aca="false">IF(AND(PLANI_LLOGARIVE!$A477&lt;&gt;"",PLANI_LLOGARIVE!$J477=TRUE()),PLANI_LLOGARIVE!$A477&amp;"","")</f>
        <v/>
      </c>
      <c r="B483" s="174" t="str">
        <f aca="false">IF($A483="","",IFERROR(VLOOKUP($A483,PLANI_LLOGARIVE!$A$2:$I$500,2,FALSE()),""))</f>
        <v/>
      </c>
      <c r="C483" s="174" t="str">
        <f aca="false">IF($A483="","",IFERROR(VLOOKUP($A483,PLANI_LLOGARIVE!$A$2:$I$500,4,FALSE()),""))</f>
        <v/>
      </c>
      <c r="D483" s="175" t="str">
        <f aca="false">IF($A483="","",SUMIFS(DITARI!$F$6:$F$550,DITARI!$D$6:$D$550,$A483))</f>
        <v/>
      </c>
      <c r="E483" s="175" t="str">
        <f aca="false">IF($A483="","",SUMIFS(DITARI!$G$6:$G$550,DITARI!$D$6:$D$550,$A483))</f>
        <v/>
      </c>
      <c r="F483" s="175" t="str">
        <f aca="false">IF($A483="","",MAX($D483-$E483,0))</f>
        <v/>
      </c>
      <c r="G483" s="175" t="str">
        <f aca="false">IF($A483="","",MAX($E483-$D483,0))</f>
        <v/>
      </c>
      <c r="H483" s="174" t="str">
        <f aca="false">IF($A483="","",IF($F483&gt;0,"Saldo Debit",IF($G483&gt;0,"Saldo Kredit","Zero")))</f>
        <v/>
      </c>
      <c r="I483" s="174" t="str">
        <f aca="false">IF($A483="","",IFERROR(VLOOKUP($A483,PLANI_LLOGARIVE!$A$2:$I$500,9,FALSE()),""))</f>
        <v/>
      </c>
      <c r="J483" s="101" t="str">
        <f aca="false">IF(A483="","",IF(OR(H483="Zero",I483="Debit/Credit"),"",IF(OR(AND(H483="Saldo Debit",I483="Debit"),AND(H483="Saldo Kredit",OR(I483="Credit",I483="Kredit"))),"","⚠️ JO NORMALE")))</f>
        <v/>
      </c>
    </row>
    <row r="484" customFormat="false" ht="12.75" hidden="false" customHeight="true" outlineLevel="0" collapsed="false">
      <c r="A484" s="172" t="str">
        <f aca="false">IF(AND(PLANI_LLOGARIVE!$A478&lt;&gt;"",PLANI_LLOGARIVE!$J478=TRUE()),PLANI_LLOGARIVE!$A478&amp;"","")</f>
        <v/>
      </c>
      <c r="B484" s="172" t="str">
        <f aca="false">IF($A484="","",IFERROR(VLOOKUP($A484,PLANI_LLOGARIVE!$A$2:$I$500,2,FALSE()),""))</f>
        <v/>
      </c>
      <c r="C484" s="172" t="str">
        <f aca="false">IF($A484="","",IFERROR(VLOOKUP($A484,PLANI_LLOGARIVE!$A$2:$I$500,4,FALSE()),""))</f>
        <v/>
      </c>
      <c r="D484" s="173" t="str">
        <f aca="false">IF($A484="","",SUMIFS(DITARI!$F$6:$F$550,DITARI!$D$6:$D$550,$A484))</f>
        <v/>
      </c>
      <c r="E484" s="173" t="str">
        <f aca="false">IF($A484="","",SUMIFS(DITARI!$G$6:$G$550,DITARI!$D$6:$D$550,$A484))</f>
        <v/>
      </c>
      <c r="F484" s="173" t="str">
        <f aca="false">IF($A484="","",MAX($D484-$E484,0))</f>
        <v/>
      </c>
      <c r="G484" s="173" t="str">
        <f aca="false">IF($A484="","",MAX($E484-$D484,0))</f>
        <v/>
      </c>
      <c r="H484" s="172" t="str">
        <f aca="false">IF($A484="","",IF($F484&gt;0,"Saldo Debit",IF($G484&gt;0,"Saldo Kredit","Zero")))</f>
        <v/>
      </c>
      <c r="I484" s="172" t="str">
        <f aca="false">IF($A484="","",IFERROR(VLOOKUP($A484,PLANI_LLOGARIVE!$A$2:$I$500,9,FALSE()),""))</f>
        <v/>
      </c>
      <c r="J484" s="101" t="str">
        <f aca="false">IF(A484="","",IF(OR(H484="Zero",I484="Debit/Credit"),"",IF(OR(AND(H484="Saldo Debit",I484="Debit"),AND(H484="Saldo Kredit",OR(I484="Credit",I484="Kredit"))),"","⚠️ JO NORMALE")))</f>
        <v/>
      </c>
    </row>
    <row r="485" customFormat="false" ht="12.75" hidden="false" customHeight="true" outlineLevel="0" collapsed="false">
      <c r="A485" s="174" t="str">
        <f aca="false">IF(AND(PLANI_LLOGARIVE!$A479&lt;&gt;"",PLANI_LLOGARIVE!$J479=TRUE()),PLANI_LLOGARIVE!$A479&amp;"","")</f>
        <v/>
      </c>
      <c r="B485" s="174" t="str">
        <f aca="false">IF($A485="","",IFERROR(VLOOKUP($A485,PLANI_LLOGARIVE!$A$2:$I$500,2,FALSE()),""))</f>
        <v/>
      </c>
      <c r="C485" s="174" t="str">
        <f aca="false">IF($A485="","",IFERROR(VLOOKUP($A485,PLANI_LLOGARIVE!$A$2:$I$500,4,FALSE()),""))</f>
        <v/>
      </c>
      <c r="D485" s="175" t="str">
        <f aca="false">IF($A485="","",SUMIFS(DITARI!$F$6:$F$550,DITARI!$D$6:$D$550,$A485))</f>
        <v/>
      </c>
      <c r="E485" s="175" t="str">
        <f aca="false">IF($A485="","",SUMIFS(DITARI!$G$6:$G$550,DITARI!$D$6:$D$550,$A485))</f>
        <v/>
      </c>
      <c r="F485" s="175" t="str">
        <f aca="false">IF($A485="","",MAX($D485-$E485,0))</f>
        <v/>
      </c>
      <c r="G485" s="175" t="str">
        <f aca="false">IF($A485="","",MAX($E485-$D485,0))</f>
        <v/>
      </c>
      <c r="H485" s="174" t="str">
        <f aca="false">IF($A485="","",IF($F485&gt;0,"Saldo Debit",IF($G485&gt;0,"Saldo Kredit","Zero")))</f>
        <v/>
      </c>
      <c r="I485" s="174" t="str">
        <f aca="false">IF($A485="","",IFERROR(VLOOKUP($A485,PLANI_LLOGARIVE!$A$2:$I$500,9,FALSE()),""))</f>
        <v/>
      </c>
      <c r="J485" s="101" t="str">
        <f aca="false">IF(A485="","",IF(OR(H485="Zero",I485="Debit/Credit"),"",IF(OR(AND(H485="Saldo Debit",I485="Debit"),AND(H485="Saldo Kredit",OR(I485="Credit",I485="Kredit"))),"","⚠️ JO NORMALE")))</f>
        <v/>
      </c>
    </row>
    <row r="486" customFormat="false" ht="12.75" hidden="false" customHeight="true" outlineLevel="0" collapsed="false">
      <c r="A486" s="172" t="str">
        <f aca="false">IF(AND(PLANI_LLOGARIVE!$A480&lt;&gt;"",PLANI_LLOGARIVE!$J480=TRUE()),PLANI_LLOGARIVE!$A480&amp;"","")</f>
        <v/>
      </c>
      <c r="B486" s="172" t="str">
        <f aca="false">IF($A486="","",IFERROR(VLOOKUP($A486,PLANI_LLOGARIVE!$A$2:$I$500,2,FALSE()),""))</f>
        <v/>
      </c>
      <c r="C486" s="172" t="str">
        <f aca="false">IF($A486="","",IFERROR(VLOOKUP($A486,PLANI_LLOGARIVE!$A$2:$I$500,4,FALSE()),""))</f>
        <v/>
      </c>
      <c r="D486" s="173" t="str">
        <f aca="false">IF($A486="","",SUMIFS(DITARI!$F$6:$F$550,DITARI!$D$6:$D$550,$A486))</f>
        <v/>
      </c>
      <c r="E486" s="173" t="str">
        <f aca="false">IF($A486="","",SUMIFS(DITARI!$G$6:$G$550,DITARI!$D$6:$D$550,$A486))</f>
        <v/>
      </c>
      <c r="F486" s="173" t="str">
        <f aca="false">IF($A486="","",MAX($D486-$E486,0))</f>
        <v/>
      </c>
      <c r="G486" s="173" t="str">
        <f aca="false">IF($A486="","",MAX($E486-$D486,0))</f>
        <v/>
      </c>
      <c r="H486" s="172" t="str">
        <f aca="false">IF($A486="","",IF($F486&gt;0,"Saldo Debit",IF($G486&gt;0,"Saldo Kredit","Zero")))</f>
        <v/>
      </c>
      <c r="I486" s="172" t="str">
        <f aca="false">IF($A486="","",IFERROR(VLOOKUP($A486,PLANI_LLOGARIVE!$A$2:$I$500,9,FALSE()),""))</f>
        <v/>
      </c>
      <c r="J486" s="101" t="str">
        <f aca="false">IF(A486="","",IF(OR(H486="Zero",I486="Debit/Credit"),"",IF(OR(AND(H486="Saldo Debit",I486="Debit"),AND(H486="Saldo Kredit",OR(I486="Credit",I486="Kredit"))),"","⚠️ JO NORMALE")))</f>
        <v/>
      </c>
    </row>
    <row r="487" customFormat="false" ht="12.75" hidden="false" customHeight="true" outlineLevel="0" collapsed="false">
      <c r="A487" s="174" t="str">
        <f aca="false">IF(AND(PLANI_LLOGARIVE!$A481&lt;&gt;"",PLANI_LLOGARIVE!$J481=TRUE()),PLANI_LLOGARIVE!$A481&amp;"","")</f>
        <v/>
      </c>
      <c r="B487" s="174" t="str">
        <f aca="false">IF($A487="","",IFERROR(VLOOKUP($A487,PLANI_LLOGARIVE!$A$2:$I$500,2,FALSE()),""))</f>
        <v/>
      </c>
      <c r="C487" s="174" t="str">
        <f aca="false">IF($A487="","",IFERROR(VLOOKUP($A487,PLANI_LLOGARIVE!$A$2:$I$500,4,FALSE()),""))</f>
        <v/>
      </c>
      <c r="D487" s="175" t="str">
        <f aca="false">IF($A487="","",SUMIFS(DITARI!$F$6:$F$550,DITARI!$D$6:$D$550,$A487))</f>
        <v/>
      </c>
      <c r="E487" s="175" t="str">
        <f aca="false">IF($A487="","",SUMIFS(DITARI!$G$6:$G$550,DITARI!$D$6:$D$550,$A487))</f>
        <v/>
      </c>
      <c r="F487" s="175" t="str">
        <f aca="false">IF($A487="","",MAX($D487-$E487,0))</f>
        <v/>
      </c>
      <c r="G487" s="175" t="str">
        <f aca="false">IF($A487="","",MAX($E487-$D487,0))</f>
        <v/>
      </c>
      <c r="H487" s="174" t="str">
        <f aca="false">IF($A487="","",IF($F487&gt;0,"Saldo Debit",IF($G487&gt;0,"Saldo Kredit","Zero")))</f>
        <v/>
      </c>
      <c r="I487" s="174" t="str">
        <f aca="false">IF($A487="","",IFERROR(VLOOKUP($A487,PLANI_LLOGARIVE!$A$2:$I$500,9,FALSE()),""))</f>
        <v/>
      </c>
      <c r="J487" s="101" t="str">
        <f aca="false">IF(A487="","",IF(OR(H487="Zero",I487="Debit/Credit"),"",IF(OR(AND(H487="Saldo Debit",I487="Debit"),AND(H487="Saldo Kredit",OR(I487="Credit",I487="Kredit"))),"","⚠️ JO NORMALE")))</f>
        <v/>
      </c>
    </row>
    <row r="488" customFormat="false" ht="12.75" hidden="false" customHeight="true" outlineLevel="0" collapsed="false">
      <c r="A488" s="172" t="str">
        <f aca="false">IF(AND(PLANI_LLOGARIVE!$A482&lt;&gt;"",PLANI_LLOGARIVE!$J482=TRUE()),PLANI_LLOGARIVE!$A482&amp;"","")</f>
        <v/>
      </c>
      <c r="B488" s="172" t="str">
        <f aca="false">IF($A488="","",IFERROR(VLOOKUP($A488,PLANI_LLOGARIVE!$A$2:$I$500,2,FALSE()),""))</f>
        <v/>
      </c>
      <c r="C488" s="172" t="str">
        <f aca="false">IF($A488="","",IFERROR(VLOOKUP($A488,PLANI_LLOGARIVE!$A$2:$I$500,4,FALSE()),""))</f>
        <v/>
      </c>
      <c r="D488" s="173" t="str">
        <f aca="false">IF($A488="","",SUMIFS(DITARI!$F$6:$F$550,DITARI!$D$6:$D$550,$A488))</f>
        <v/>
      </c>
      <c r="E488" s="173" t="str">
        <f aca="false">IF($A488="","",SUMIFS(DITARI!$G$6:$G$550,DITARI!$D$6:$D$550,$A488))</f>
        <v/>
      </c>
      <c r="F488" s="173" t="str">
        <f aca="false">IF($A488="","",MAX($D488-$E488,0))</f>
        <v/>
      </c>
      <c r="G488" s="173" t="str">
        <f aca="false">IF($A488="","",MAX($E488-$D488,0))</f>
        <v/>
      </c>
      <c r="H488" s="172" t="str">
        <f aca="false">IF($A488="","",IF($F488&gt;0,"Saldo Debit",IF($G488&gt;0,"Saldo Kredit","Zero")))</f>
        <v/>
      </c>
      <c r="I488" s="172" t="str">
        <f aca="false">IF($A488="","",IFERROR(VLOOKUP($A488,PLANI_LLOGARIVE!$A$2:$I$500,9,FALSE()),""))</f>
        <v/>
      </c>
      <c r="J488" s="101" t="str">
        <f aca="false">IF(A488="","",IF(OR(H488="Zero",I488="Debit/Credit"),"",IF(OR(AND(H488="Saldo Debit",I488="Debit"),AND(H488="Saldo Kredit",OR(I488="Credit",I488="Kredit"))),"","⚠️ JO NORMALE")))</f>
        <v/>
      </c>
    </row>
    <row r="489" customFormat="false" ht="12.75" hidden="false" customHeight="true" outlineLevel="0" collapsed="false">
      <c r="A489" s="174" t="str">
        <f aca="false">IF(AND(PLANI_LLOGARIVE!$A483&lt;&gt;"",PLANI_LLOGARIVE!$J483=TRUE()),PLANI_LLOGARIVE!$A483&amp;"","")</f>
        <v/>
      </c>
      <c r="B489" s="174" t="str">
        <f aca="false">IF($A489="","",IFERROR(VLOOKUP($A489,PLANI_LLOGARIVE!$A$2:$I$500,2,FALSE()),""))</f>
        <v/>
      </c>
      <c r="C489" s="174" t="str">
        <f aca="false">IF($A489="","",IFERROR(VLOOKUP($A489,PLANI_LLOGARIVE!$A$2:$I$500,4,FALSE()),""))</f>
        <v/>
      </c>
      <c r="D489" s="175" t="str">
        <f aca="false">IF($A489="","",SUMIFS(DITARI!$F$6:$F$550,DITARI!$D$6:$D$550,$A489))</f>
        <v/>
      </c>
      <c r="E489" s="175" t="str">
        <f aca="false">IF($A489="","",SUMIFS(DITARI!$G$6:$G$550,DITARI!$D$6:$D$550,$A489))</f>
        <v/>
      </c>
      <c r="F489" s="175" t="str">
        <f aca="false">IF($A489="","",MAX($D489-$E489,0))</f>
        <v/>
      </c>
      <c r="G489" s="175" t="str">
        <f aca="false">IF($A489="","",MAX($E489-$D489,0))</f>
        <v/>
      </c>
      <c r="H489" s="174" t="str">
        <f aca="false">IF($A489="","",IF($F489&gt;0,"Saldo Debit",IF($G489&gt;0,"Saldo Kredit","Zero")))</f>
        <v/>
      </c>
      <c r="I489" s="174" t="str">
        <f aca="false">IF($A489="","",IFERROR(VLOOKUP($A489,PLANI_LLOGARIVE!$A$2:$I$500,9,FALSE()),""))</f>
        <v/>
      </c>
      <c r="J489" s="101" t="str">
        <f aca="false">IF(A489="","",IF(OR(H489="Zero",I489="Debit/Credit"),"",IF(OR(AND(H489="Saldo Debit",I489="Debit"),AND(H489="Saldo Kredit",OR(I489="Credit",I489="Kredit"))),"","⚠️ JO NORMALE")))</f>
        <v/>
      </c>
    </row>
    <row r="490" customFormat="false" ht="12.75" hidden="false" customHeight="true" outlineLevel="0" collapsed="false">
      <c r="A490" s="172" t="str">
        <f aca="false">IF(AND(PLANI_LLOGARIVE!$A484&lt;&gt;"",PLANI_LLOGARIVE!$J484=TRUE()),PLANI_LLOGARIVE!$A484&amp;"","")</f>
        <v/>
      </c>
      <c r="B490" s="172" t="str">
        <f aca="false">IF($A490="","",IFERROR(VLOOKUP($A490,PLANI_LLOGARIVE!$A$2:$I$500,2,FALSE()),""))</f>
        <v/>
      </c>
      <c r="C490" s="172" t="str">
        <f aca="false">IF($A490="","",IFERROR(VLOOKUP($A490,PLANI_LLOGARIVE!$A$2:$I$500,4,FALSE()),""))</f>
        <v/>
      </c>
      <c r="D490" s="173" t="str">
        <f aca="false">IF($A490="","",SUMIFS(DITARI!$F$6:$F$550,DITARI!$D$6:$D$550,$A490))</f>
        <v/>
      </c>
      <c r="E490" s="173" t="str">
        <f aca="false">IF($A490="","",SUMIFS(DITARI!$G$6:$G$550,DITARI!$D$6:$D$550,$A490))</f>
        <v/>
      </c>
      <c r="F490" s="173" t="str">
        <f aca="false">IF($A490="","",MAX($D490-$E490,0))</f>
        <v/>
      </c>
      <c r="G490" s="173" t="str">
        <f aca="false">IF($A490="","",MAX($E490-$D490,0))</f>
        <v/>
      </c>
      <c r="H490" s="172" t="str">
        <f aca="false">IF($A490="","",IF($F490&gt;0,"Saldo Debit",IF($G490&gt;0,"Saldo Kredit","Zero")))</f>
        <v/>
      </c>
      <c r="I490" s="172" t="str">
        <f aca="false">IF($A490="","",IFERROR(VLOOKUP($A490,PLANI_LLOGARIVE!$A$2:$I$500,9,FALSE()),""))</f>
        <v/>
      </c>
      <c r="J490" s="101" t="str">
        <f aca="false">IF(A490="","",IF(OR(H490="Zero",I490="Debit/Credit"),"",IF(OR(AND(H490="Saldo Debit",I490="Debit"),AND(H490="Saldo Kredit",OR(I490="Credit",I490="Kredit"))),"","⚠️ JO NORMALE")))</f>
        <v/>
      </c>
    </row>
    <row r="491" customFormat="false" ht="12.75" hidden="false" customHeight="true" outlineLevel="0" collapsed="false">
      <c r="A491" s="174" t="str">
        <f aca="false">IF(AND(PLANI_LLOGARIVE!$A485&lt;&gt;"",PLANI_LLOGARIVE!$J485=TRUE()),PLANI_LLOGARIVE!$A485&amp;"","")</f>
        <v/>
      </c>
      <c r="B491" s="174" t="str">
        <f aca="false">IF($A491="","",IFERROR(VLOOKUP($A491,PLANI_LLOGARIVE!$A$2:$I$500,2,FALSE()),""))</f>
        <v/>
      </c>
      <c r="C491" s="174" t="str">
        <f aca="false">IF($A491="","",IFERROR(VLOOKUP($A491,PLANI_LLOGARIVE!$A$2:$I$500,4,FALSE()),""))</f>
        <v/>
      </c>
      <c r="D491" s="175" t="str">
        <f aca="false">IF($A491="","",SUMIFS(DITARI!$F$6:$F$550,DITARI!$D$6:$D$550,$A491))</f>
        <v/>
      </c>
      <c r="E491" s="175" t="str">
        <f aca="false">IF($A491="","",SUMIFS(DITARI!$G$6:$G$550,DITARI!$D$6:$D$550,$A491))</f>
        <v/>
      </c>
      <c r="F491" s="175" t="str">
        <f aca="false">IF($A491="","",MAX($D491-$E491,0))</f>
        <v/>
      </c>
      <c r="G491" s="175" t="str">
        <f aca="false">IF($A491="","",MAX($E491-$D491,0))</f>
        <v/>
      </c>
      <c r="H491" s="174" t="str">
        <f aca="false">IF($A491="","",IF($F491&gt;0,"Saldo Debit",IF($G491&gt;0,"Saldo Kredit","Zero")))</f>
        <v/>
      </c>
      <c r="I491" s="174" t="str">
        <f aca="false">IF($A491="","",IFERROR(VLOOKUP($A491,PLANI_LLOGARIVE!$A$2:$I$500,9,FALSE()),""))</f>
        <v/>
      </c>
      <c r="J491" s="101" t="str">
        <f aca="false">IF(A491="","",IF(OR(H491="Zero",I491="Debit/Credit"),"",IF(OR(AND(H491="Saldo Debit",I491="Debit"),AND(H491="Saldo Kredit",OR(I491="Credit",I491="Kredit"))),"","⚠️ JO NORMALE")))</f>
        <v/>
      </c>
    </row>
    <row r="492" customFormat="false" ht="12.75" hidden="false" customHeight="true" outlineLevel="0" collapsed="false">
      <c r="A492" s="172" t="str">
        <f aca="false">IF(AND(PLANI_LLOGARIVE!$A486&lt;&gt;"",PLANI_LLOGARIVE!$J486=TRUE()),PLANI_LLOGARIVE!$A486&amp;"","")</f>
        <v/>
      </c>
      <c r="B492" s="172" t="str">
        <f aca="false">IF($A492="","",IFERROR(VLOOKUP($A492,PLANI_LLOGARIVE!$A$2:$I$500,2,FALSE()),""))</f>
        <v/>
      </c>
      <c r="C492" s="172" t="str">
        <f aca="false">IF($A492="","",IFERROR(VLOOKUP($A492,PLANI_LLOGARIVE!$A$2:$I$500,4,FALSE()),""))</f>
        <v/>
      </c>
      <c r="D492" s="173" t="str">
        <f aca="false">IF($A492="","",SUMIFS(DITARI!$F$6:$F$550,DITARI!$D$6:$D$550,$A492))</f>
        <v/>
      </c>
      <c r="E492" s="173" t="str">
        <f aca="false">IF($A492="","",SUMIFS(DITARI!$G$6:$G$550,DITARI!$D$6:$D$550,$A492))</f>
        <v/>
      </c>
      <c r="F492" s="173" t="str">
        <f aca="false">IF($A492="","",MAX($D492-$E492,0))</f>
        <v/>
      </c>
      <c r="G492" s="173" t="str">
        <f aca="false">IF($A492="","",MAX($E492-$D492,0))</f>
        <v/>
      </c>
      <c r="H492" s="172" t="str">
        <f aca="false">IF($A492="","",IF($F492&gt;0,"Saldo Debit",IF($G492&gt;0,"Saldo Kredit","Zero")))</f>
        <v/>
      </c>
      <c r="I492" s="172" t="str">
        <f aca="false">IF($A492="","",IFERROR(VLOOKUP($A492,PLANI_LLOGARIVE!$A$2:$I$500,9,FALSE()),""))</f>
        <v/>
      </c>
      <c r="J492" s="101" t="str">
        <f aca="false">IF(A492="","",IF(OR(H492="Zero",I492="Debit/Credit"),"",IF(OR(AND(H492="Saldo Debit",I492="Debit"),AND(H492="Saldo Kredit",OR(I492="Credit",I492="Kredit"))),"","⚠️ JO NORMALE")))</f>
        <v/>
      </c>
    </row>
    <row r="493" customFormat="false" ht="12.75" hidden="false" customHeight="true" outlineLevel="0" collapsed="false">
      <c r="A493" s="174" t="str">
        <f aca="false">IF(AND(PLANI_LLOGARIVE!$A487&lt;&gt;"",PLANI_LLOGARIVE!$J487=TRUE()),PLANI_LLOGARIVE!$A487&amp;"","")</f>
        <v/>
      </c>
      <c r="B493" s="174" t="str">
        <f aca="false">IF($A493="","",IFERROR(VLOOKUP($A493,PLANI_LLOGARIVE!$A$2:$I$500,2,FALSE()),""))</f>
        <v/>
      </c>
      <c r="C493" s="174" t="str">
        <f aca="false">IF($A493="","",IFERROR(VLOOKUP($A493,PLANI_LLOGARIVE!$A$2:$I$500,4,FALSE()),""))</f>
        <v/>
      </c>
      <c r="D493" s="175" t="str">
        <f aca="false">IF($A493="","",SUMIFS(DITARI!$F$6:$F$550,DITARI!$D$6:$D$550,$A493))</f>
        <v/>
      </c>
      <c r="E493" s="175" t="str">
        <f aca="false">IF($A493="","",SUMIFS(DITARI!$G$6:$G$550,DITARI!$D$6:$D$550,$A493))</f>
        <v/>
      </c>
      <c r="F493" s="175" t="str">
        <f aca="false">IF($A493="","",MAX($D493-$E493,0))</f>
        <v/>
      </c>
      <c r="G493" s="175" t="str">
        <f aca="false">IF($A493="","",MAX($E493-$D493,0))</f>
        <v/>
      </c>
      <c r="H493" s="174" t="str">
        <f aca="false">IF($A493="","",IF($F493&gt;0,"Saldo Debit",IF($G493&gt;0,"Saldo Kredit","Zero")))</f>
        <v/>
      </c>
      <c r="I493" s="174" t="str">
        <f aca="false">IF($A493="","",IFERROR(VLOOKUP($A493,PLANI_LLOGARIVE!$A$2:$I$500,9,FALSE()),""))</f>
        <v/>
      </c>
      <c r="J493" s="101" t="str">
        <f aca="false">IF(A493="","",IF(OR(H493="Zero",I493="Debit/Credit"),"",IF(OR(AND(H493="Saldo Debit",I493="Debit"),AND(H493="Saldo Kredit",OR(I493="Credit",I493="Kredit"))),"","⚠️ JO NORMALE")))</f>
        <v/>
      </c>
    </row>
    <row r="494" customFormat="false" ht="12.75" hidden="false" customHeight="true" outlineLevel="0" collapsed="false">
      <c r="A494" s="172" t="str">
        <f aca="false">IF(AND(PLANI_LLOGARIVE!$A488&lt;&gt;"",PLANI_LLOGARIVE!$J488=TRUE()),PLANI_LLOGARIVE!$A488&amp;"","")</f>
        <v/>
      </c>
      <c r="B494" s="172" t="str">
        <f aca="false">IF($A494="","",IFERROR(VLOOKUP($A494,PLANI_LLOGARIVE!$A$2:$I$500,2,FALSE()),""))</f>
        <v/>
      </c>
      <c r="C494" s="172" t="str">
        <f aca="false">IF($A494="","",IFERROR(VLOOKUP($A494,PLANI_LLOGARIVE!$A$2:$I$500,4,FALSE()),""))</f>
        <v/>
      </c>
      <c r="D494" s="173" t="str">
        <f aca="false">IF($A494="","",SUMIFS(DITARI!$F$6:$F$550,DITARI!$D$6:$D$550,$A494))</f>
        <v/>
      </c>
      <c r="E494" s="173" t="str">
        <f aca="false">IF($A494="","",SUMIFS(DITARI!$G$6:$G$550,DITARI!$D$6:$D$550,$A494))</f>
        <v/>
      </c>
      <c r="F494" s="173" t="str">
        <f aca="false">IF($A494="","",MAX($D494-$E494,0))</f>
        <v/>
      </c>
      <c r="G494" s="173" t="str">
        <f aca="false">IF($A494="","",MAX($E494-$D494,0))</f>
        <v/>
      </c>
      <c r="H494" s="172" t="str">
        <f aca="false">IF($A494="","",IF($F494&gt;0,"Saldo Debit",IF($G494&gt;0,"Saldo Kredit","Zero")))</f>
        <v/>
      </c>
      <c r="I494" s="172" t="str">
        <f aca="false">IF($A494="","",IFERROR(VLOOKUP($A494,PLANI_LLOGARIVE!$A$2:$I$500,9,FALSE()),""))</f>
        <v/>
      </c>
      <c r="J494" s="101" t="str">
        <f aca="false">IF(A494="","",IF(OR(H494="Zero",I494="Debit/Credit"),"",IF(OR(AND(H494="Saldo Debit",I494="Debit"),AND(H494="Saldo Kredit",OR(I494="Credit",I494="Kredit"))),"","⚠️ JO NORMALE")))</f>
        <v/>
      </c>
    </row>
    <row r="495" customFormat="false" ht="12.75" hidden="false" customHeight="true" outlineLevel="0" collapsed="false">
      <c r="A495" s="174" t="str">
        <f aca="false">IF(AND(PLANI_LLOGARIVE!$A489&lt;&gt;"",PLANI_LLOGARIVE!$J489=TRUE()),PLANI_LLOGARIVE!$A489&amp;"","")</f>
        <v/>
      </c>
      <c r="B495" s="174" t="str">
        <f aca="false">IF($A495="","",IFERROR(VLOOKUP($A495,PLANI_LLOGARIVE!$A$2:$I$500,2,FALSE()),""))</f>
        <v/>
      </c>
      <c r="C495" s="174" t="str">
        <f aca="false">IF($A495="","",IFERROR(VLOOKUP($A495,PLANI_LLOGARIVE!$A$2:$I$500,4,FALSE()),""))</f>
        <v/>
      </c>
      <c r="D495" s="175" t="str">
        <f aca="false">IF($A495="","",SUMIFS(DITARI!$F$6:$F$550,DITARI!$D$6:$D$550,$A495))</f>
        <v/>
      </c>
      <c r="E495" s="175" t="str">
        <f aca="false">IF($A495="","",SUMIFS(DITARI!$G$6:$G$550,DITARI!$D$6:$D$550,$A495))</f>
        <v/>
      </c>
      <c r="F495" s="175" t="str">
        <f aca="false">IF($A495="","",MAX($D495-$E495,0))</f>
        <v/>
      </c>
      <c r="G495" s="175" t="str">
        <f aca="false">IF($A495="","",MAX($E495-$D495,0))</f>
        <v/>
      </c>
      <c r="H495" s="174" t="str">
        <f aca="false">IF($A495="","",IF($F495&gt;0,"Saldo Debit",IF($G495&gt;0,"Saldo Kredit","Zero")))</f>
        <v/>
      </c>
      <c r="I495" s="174" t="str">
        <f aca="false">IF($A495="","",IFERROR(VLOOKUP($A495,PLANI_LLOGARIVE!$A$2:$I$500,9,FALSE()),""))</f>
        <v/>
      </c>
      <c r="J495" s="101" t="str">
        <f aca="false">IF(A495="","",IF(OR(H495="Zero",I495="Debit/Credit"),"",IF(OR(AND(H495="Saldo Debit",I495="Debit"),AND(H495="Saldo Kredit",OR(I495="Credit",I495="Kredit"))),"","⚠️ JO NORMALE")))</f>
        <v/>
      </c>
    </row>
    <row r="496" customFormat="false" ht="12.75" hidden="false" customHeight="true" outlineLevel="0" collapsed="false">
      <c r="A496" s="172" t="str">
        <f aca="false">IF(AND(PLANI_LLOGARIVE!$A490&lt;&gt;"",PLANI_LLOGARIVE!$J490=TRUE()),PLANI_LLOGARIVE!$A490&amp;"","")</f>
        <v/>
      </c>
      <c r="B496" s="172" t="str">
        <f aca="false">IF($A496="","",IFERROR(VLOOKUP($A496,PLANI_LLOGARIVE!$A$2:$I$500,2,FALSE()),""))</f>
        <v/>
      </c>
      <c r="C496" s="172" t="str">
        <f aca="false">IF($A496="","",IFERROR(VLOOKUP($A496,PLANI_LLOGARIVE!$A$2:$I$500,4,FALSE()),""))</f>
        <v/>
      </c>
      <c r="D496" s="173" t="str">
        <f aca="false">IF($A496="","",SUMIFS(DITARI!$F$6:$F$550,DITARI!$D$6:$D$550,$A496))</f>
        <v/>
      </c>
      <c r="E496" s="173" t="str">
        <f aca="false">IF($A496="","",SUMIFS(DITARI!$G$6:$G$550,DITARI!$D$6:$D$550,$A496))</f>
        <v/>
      </c>
      <c r="F496" s="173" t="str">
        <f aca="false">IF($A496="","",MAX($D496-$E496,0))</f>
        <v/>
      </c>
      <c r="G496" s="173" t="str">
        <f aca="false">IF($A496="","",MAX($E496-$D496,0))</f>
        <v/>
      </c>
      <c r="H496" s="172" t="str">
        <f aca="false">IF($A496="","",IF($F496&gt;0,"Saldo Debit",IF($G496&gt;0,"Saldo Kredit","Zero")))</f>
        <v/>
      </c>
      <c r="I496" s="172" t="str">
        <f aca="false">IF($A496="","",IFERROR(VLOOKUP($A496,PLANI_LLOGARIVE!$A$2:$I$500,9,FALSE()),""))</f>
        <v/>
      </c>
      <c r="J496" s="101" t="str">
        <f aca="false">IF(A496="","",IF(OR(H496="Zero",I496="Debit/Credit"),"",IF(OR(AND(H496="Saldo Debit",I496="Debit"),AND(H496="Saldo Kredit",OR(I496="Credit",I496="Kredit"))),"","⚠️ JO NORMALE")))</f>
        <v/>
      </c>
    </row>
    <row r="497" customFormat="false" ht="12.75" hidden="false" customHeight="true" outlineLevel="0" collapsed="false">
      <c r="A497" s="174" t="str">
        <f aca="false">IF(AND(PLANI_LLOGARIVE!$A491&lt;&gt;"",PLANI_LLOGARIVE!$J491=TRUE()),PLANI_LLOGARIVE!$A491&amp;"","")</f>
        <v/>
      </c>
      <c r="B497" s="174" t="str">
        <f aca="false">IF($A497="","",IFERROR(VLOOKUP($A497,PLANI_LLOGARIVE!$A$2:$I$500,2,FALSE()),""))</f>
        <v/>
      </c>
      <c r="C497" s="174" t="str">
        <f aca="false">IF($A497="","",IFERROR(VLOOKUP($A497,PLANI_LLOGARIVE!$A$2:$I$500,4,FALSE()),""))</f>
        <v/>
      </c>
      <c r="D497" s="175" t="str">
        <f aca="false">IF($A497="","",SUMIFS(DITARI!$F$6:$F$550,DITARI!$D$6:$D$550,$A497))</f>
        <v/>
      </c>
      <c r="E497" s="175" t="str">
        <f aca="false">IF($A497="","",SUMIFS(DITARI!$G$6:$G$550,DITARI!$D$6:$D$550,$A497))</f>
        <v/>
      </c>
      <c r="F497" s="175" t="str">
        <f aca="false">IF($A497="","",MAX($D497-$E497,0))</f>
        <v/>
      </c>
      <c r="G497" s="175" t="str">
        <f aca="false">IF($A497="","",MAX($E497-$D497,0))</f>
        <v/>
      </c>
      <c r="H497" s="174" t="str">
        <f aca="false">IF($A497="","",IF($F497&gt;0,"Saldo Debit",IF($G497&gt;0,"Saldo Kredit","Zero")))</f>
        <v/>
      </c>
      <c r="I497" s="174" t="str">
        <f aca="false">IF($A497="","",IFERROR(VLOOKUP($A497,PLANI_LLOGARIVE!$A$2:$I$500,9,FALSE()),""))</f>
        <v/>
      </c>
      <c r="J497" s="101" t="str">
        <f aca="false">IF(A497="","",IF(OR(H497="Zero",I497="Debit/Credit"),"",IF(OR(AND(H497="Saldo Debit",I497="Debit"),AND(H497="Saldo Kredit",OR(I497="Credit",I497="Kredit"))),"","⚠️ JO NORMALE")))</f>
        <v/>
      </c>
    </row>
    <row r="498" customFormat="false" ht="12.75" hidden="false" customHeight="true" outlineLevel="0" collapsed="false">
      <c r="A498" s="172" t="str">
        <f aca="false">IF(AND(PLANI_LLOGARIVE!$A492&lt;&gt;"",PLANI_LLOGARIVE!$J492=TRUE()),PLANI_LLOGARIVE!$A492&amp;"","")</f>
        <v/>
      </c>
      <c r="B498" s="172" t="str">
        <f aca="false">IF($A498="","",IFERROR(VLOOKUP($A498,PLANI_LLOGARIVE!$A$2:$I$500,2,FALSE()),""))</f>
        <v/>
      </c>
      <c r="C498" s="172" t="str">
        <f aca="false">IF($A498="","",IFERROR(VLOOKUP($A498,PLANI_LLOGARIVE!$A$2:$I$500,4,FALSE()),""))</f>
        <v/>
      </c>
      <c r="D498" s="173" t="str">
        <f aca="false">IF($A498="","",SUMIFS(DITARI!$F$6:$F$550,DITARI!$D$6:$D$550,$A498))</f>
        <v/>
      </c>
      <c r="E498" s="173" t="str">
        <f aca="false">IF($A498="","",SUMIFS(DITARI!$G$6:$G$550,DITARI!$D$6:$D$550,$A498))</f>
        <v/>
      </c>
      <c r="F498" s="173" t="str">
        <f aca="false">IF($A498="","",MAX($D498-$E498,0))</f>
        <v/>
      </c>
      <c r="G498" s="173" t="str">
        <f aca="false">IF($A498="","",MAX($E498-$D498,0))</f>
        <v/>
      </c>
      <c r="H498" s="172" t="str">
        <f aca="false">IF($A498="","",IF($F498&gt;0,"Saldo Debit",IF($G498&gt;0,"Saldo Kredit","Zero")))</f>
        <v/>
      </c>
      <c r="I498" s="172" t="str">
        <f aca="false">IF($A498="","",IFERROR(VLOOKUP($A498,PLANI_LLOGARIVE!$A$2:$I$500,9,FALSE()),""))</f>
        <v/>
      </c>
      <c r="J498" s="101" t="str">
        <f aca="false">IF(A498="","",IF(OR(H498="Zero",I498="Debit/Credit"),"",IF(OR(AND(H498="Saldo Debit",I498="Debit"),AND(H498="Saldo Kredit",OR(I498="Credit",I498="Kredit"))),"","⚠️ JO NORMALE")))</f>
        <v/>
      </c>
    </row>
    <row r="499" customFormat="false" ht="12.75" hidden="false" customHeight="true" outlineLevel="0" collapsed="false">
      <c r="A499" s="174" t="str">
        <f aca="false">IF(AND(PLANI_LLOGARIVE!$A493&lt;&gt;"",PLANI_LLOGARIVE!$J493=TRUE()),PLANI_LLOGARIVE!$A493&amp;"","")</f>
        <v/>
      </c>
      <c r="B499" s="174" t="str">
        <f aca="false">IF($A499="","",IFERROR(VLOOKUP($A499,PLANI_LLOGARIVE!$A$2:$I$500,2,FALSE()),""))</f>
        <v/>
      </c>
      <c r="C499" s="174" t="str">
        <f aca="false">IF($A499="","",IFERROR(VLOOKUP($A499,PLANI_LLOGARIVE!$A$2:$I$500,4,FALSE()),""))</f>
        <v/>
      </c>
      <c r="D499" s="175" t="str">
        <f aca="false">IF($A499="","",SUMIFS(DITARI!$F$6:$F$550,DITARI!$D$6:$D$550,$A499))</f>
        <v/>
      </c>
      <c r="E499" s="175" t="str">
        <f aca="false">IF($A499="","",SUMIFS(DITARI!$G$6:$G$550,DITARI!$D$6:$D$550,$A499))</f>
        <v/>
      </c>
      <c r="F499" s="175" t="str">
        <f aca="false">IF($A499="","",MAX($D499-$E499,0))</f>
        <v/>
      </c>
      <c r="G499" s="175" t="str">
        <f aca="false">IF($A499="","",MAX($E499-$D499,0))</f>
        <v/>
      </c>
      <c r="H499" s="174" t="str">
        <f aca="false">IF($A499="","",IF($F499&gt;0,"Saldo Debit",IF($G499&gt;0,"Saldo Kredit","Zero")))</f>
        <v/>
      </c>
      <c r="I499" s="174" t="str">
        <f aca="false">IF($A499="","",IFERROR(VLOOKUP($A499,PLANI_LLOGARIVE!$A$2:$I$500,9,FALSE()),""))</f>
        <v/>
      </c>
      <c r="J499" s="101" t="str">
        <f aca="false">IF(A499="","",IF(OR(H499="Zero",I499="Debit/Credit"),"",IF(OR(AND(H499="Saldo Debit",I499="Debit"),AND(H499="Saldo Kredit",OR(I499="Credit",I499="Kredit"))),"","⚠️ JO NORMALE")))</f>
        <v/>
      </c>
    </row>
    <row r="500" customFormat="false" ht="12.75" hidden="false" customHeight="true" outlineLevel="0" collapsed="false">
      <c r="A500" s="172" t="str">
        <f aca="false">IF(AND(PLANI_LLOGARIVE!$A494&lt;&gt;"",PLANI_LLOGARIVE!$J494=TRUE()),PLANI_LLOGARIVE!$A494&amp;"","")</f>
        <v/>
      </c>
      <c r="B500" s="172" t="str">
        <f aca="false">IF($A500="","",IFERROR(VLOOKUP($A500,PLANI_LLOGARIVE!$A$2:$I$500,2,FALSE()),""))</f>
        <v/>
      </c>
      <c r="C500" s="172" t="str">
        <f aca="false">IF($A500="","",IFERROR(VLOOKUP($A500,PLANI_LLOGARIVE!$A$2:$I$500,4,FALSE()),""))</f>
        <v/>
      </c>
      <c r="D500" s="173" t="str">
        <f aca="false">IF($A500="","",SUMIFS(DITARI!$F$6:$F$550,DITARI!$D$6:$D$550,$A500))</f>
        <v/>
      </c>
      <c r="E500" s="173" t="str">
        <f aca="false">IF($A500="","",SUMIFS(DITARI!$G$6:$G$550,DITARI!$D$6:$D$550,$A500))</f>
        <v/>
      </c>
      <c r="F500" s="173" t="str">
        <f aca="false">IF($A500="","",MAX($D500-$E500,0))</f>
        <v/>
      </c>
      <c r="G500" s="173" t="str">
        <f aca="false">IF($A500="","",MAX($E500-$D500,0))</f>
        <v/>
      </c>
      <c r="H500" s="172" t="str">
        <f aca="false">IF($A500="","",IF($F500&gt;0,"Saldo Debit",IF($G500&gt;0,"Saldo Kredit","Zero")))</f>
        <v/>
      </c>
      <c r="I500" s="172" t="str">
        <f aca="false">IF($A500="","",IFERROR(VLOOKUP($A500,PLANI_LLOGARIVE!$A$2:$I$500,9,FALSE()),""))</f>
        <v/>
      </c>
      <c r="J500" s="101" t="str">
        <f aca="false">IF(A500="","",IF(OR(H500="Zero",I500="Debit/Credit"),"",IF(OR(AND(H500="Saldo Debit",I500="Debit"),AND(H500="Saldo Kredit",OR(I500="Credit",I500="Kredit"))),"","⚠️ JO NORMALE")))</f>
        <v/>
      </c>
    </row>
    <row r="501" customFormat="false" ht="12.75" hidden="false" customHeight="true" outlineLevel="0" collapsed="false">
      <c r="A501" s="174" t="str">
        <f aca="false">IF(AND(PLANI_LLOGARIVE!$A495&lt;&gt;"",PLANI_LLOGARIVE!$J495=TRUE()),PLANI_LLOGARIVE!$A495&amp;"","")</f>
        <v/>
      </c>
      <c r="B501" s="174" t="str">
        <f aca="false">IF($A501="","",IFERROR(VLOOKUP($A501,PLANI_LLOGARIVE!$A$2:$I$500,2,FALSE()),""))</f>
        <v/>
      </c>
      <c r="C501" s="174" t="str">
        <f aca="false">IF($A501="","",IFERROR(VLOOKUP($A501,PLANI_LLOGARIVE!$A$2:$I$500,4,FALSE()),""))</f>
        <v/>
      </c>
      <c r="D501" s="175" t="str">
        <f aca="false">IF($A501="","",SUMIFS(DITARI!$F$6:$F$550,DITARI!$D$6:$D$550,$A501))</f>
        <v/>
      </c>
      <c r="E501" s="175" t="str">
        <f aca="false">IF($A501="","",SUMIFS(DITARI!$G$6:$G$550,DITARI!$D$6:$D$550,$A501))</f>
        <v/>
      </c>
      <c r="F501" s="175" t="str">
        <f aca="false">IF($A501="","",MAX($D501-$E501,0))</f>
        <v/>
      </c>
      <c r="G501" s="175" t="str">
        <f aca="false">IF($A501="","",MAX($E501-$D501,0))</f>
        <v/>
      </c>
      <c r="H501" s="174" t="str">
        <f aca="false">IF($A501="","",IF($F501&gt;0,"Saldo Debit",IF($G501&gt;0,"Saldo Kredit","Zero")))</f>
        <v/>
      </c>
      <c r="I501" s="174" t="str">
        <f aca="false">IF($A501="","",IFERROR(VLOOKUP($A501,PLANI_LLOGARIVE!$A$2:$I$500,9,FALSE()),""))</f>
        <v/>
      </c>
      <c r="J501" s="101" t="str">
        <f aca="false">IF(A501="","",IF(OR(H501="Zero",I501="Debit/Credit"),"",IF(OR(AND(H501="Saldo Debit",I501="Debit"),AND(H501="Saldo Kredit",OR(I501="Credit",I501="Kredit"))),"","⚠️ JO NORMALE")))</f>
        <v/>
      </c>
    </row>
    <row r="502" customFormat="false" ht="12.75" hidden="false" customHeight="true" outlineLevel="0" collapsed="false">
      <c r="A502" s="172" t="str">
        <f aca="false">IF(AND(PLANI_LLOGARIVE!$A496&lt;&gt;"",PLANI_LLOGARIVE!$J496=TRUE()),PLANI_LLOGARIVE!$A496&amp;"","")</f>
        <v/>
      </c>
      <c r="B502" s="172" t="str">
        <f aca="false">IF($A502="","",IFERROR(VLOOKUP($A502,PLANI_LLOGARIVE!$A$2:$I$500,2,FALSE()),""))</f>
        <v/>
      </c>
      <c r="C502" s="172" t="str">
        <f aca="false">IF($A502="","",IFERROR(VLOOKUP($A502,PLANI_LLOGARIVE!$A$2:$I$500,4,FALSE()),""))</f>
        <v/>
      </c>
      <c r="D502" s="173" t="str">
        <f aca="false">IF($A502="","",SUMIFS(DITARI!$F$6:$F$550,DITARI!$D$6:$D$550,$A502))</f>
        <v/>
      </c>
      <c r="E502" s="173" t="str">
        <f aca="false">IF($A502="","",SUMIFS(DITARI!$G$6:$G$550,DITARI!$D$6:$D$550,$A502))</f>
        <v/>
      </c>
      <c r="F502" s="173" t="str">
        <f aca="false">IF($A502="","",MAX($D502-$E502,0))</f>
        <v/>
      </c>
      <c r="G502" s="173" t="str">
        <f aca="false">IF($A502="","",MAX($E502-$D502,0))</f>
        <v/>
      </c>
      <c r="H502" s="172" t="str">
        <f aca="false">IF($A502="","",IF($F502&gt;0,"Saldo Debit",IF($G502&gt;0,"Saldo Kredit","Zero")))</f>
        <v/>
      </c>
      <c r="I502" s="172" t="str">
        <f aca="false">IF($A502="","",IFERROR(VLOOKUP($A502,PLANI_LLOGARIVE!$A$2:$I$500,9,FALSE()),""))</f>
        <v/>
      </c>
      <c r="J502" s="101" t="str">
        <f aca="false">IF(A502="","",IF(OR(H502="Zero",I502="Debit/Credit"),"",IF(OR(AND(H502="Saldo Debit",I502="Debit"),AND(H502="Saldo Kredit",OR(I502="Credit",I502="Kredit"))),"","⚠️ JO NORMALE")))</f>
        <v/>
      </c>
    </row>
    <row r="503" customFormat="false" ht="12.75" hidden="false" customHeight="true" outlineLevel="0" collapsed="false">
      <c r="A503" s="174" t="str">
        <f aca="false">IF(AND(PLANI_LLOGARIVE!$A497&lt;&gt;"",PLANI_LLOGARIVE!$J497=TRUE()),PLANI_LLOGARIVE!$A497&amp;"","")</f>
        <v/>
      </c>
      <c r="B503" s="174" t="str">
        <f aca="false">IF($A503="","",IFERROR(VLOOKUP($A503,PLANI_LLOGARIVE!$A$2:$I$500,2,FALSE()),""))</f>
        <v/>
      </c>
      <c r="C503" s="174" t="str">
        <f aca="false">IF($A503="","",IFERROR(VLOOKUP($A503,PLANI_LLOGARIVE!$A$2:$I$500,4,FALSE()),""))</f>
        <v/>
      </c>
      <c r="D503" s="175" t="str">
        <f aca="false">IF($A503="","",SUMIFS(DITARI!$F$6:$F$550,DITARI!$D$6:$D$550,$A503))</f>
        <v/>
      </c>
      <c r="E503" s="175" t="str">
        <f aca="false">IF($A503="","",SUMIFS(DITARI!$G$6:$G$550,DITARI!$D$6:$D$550,$A503))</f>
        <v/>
      </c>
      <c r="F503" s="175" t="str">
        <f aca="false">IF($A503="","",MAX($D503-$E503,0))</f>
        <v/>
      </c>
      <c r="G503" s="175" t="str">
        <f aca="false">IF($A503="","",MAX($E503-$D503,0))</f>
        <v/>
      </c>
      <c r="H503" s="174" t="str">
        <f aca="false">IF($A503="","",IF($F503&gt;0,"Saldo Debit",IF($G503&gt;0,"Saldo Kredit","Zero")))</f>
        <v/>
      </c>
      <c r="I503" s="174" t="str">
        <f aca="false">IF($A503="","",IFERROR(VLOOKUP($A503,PLANI_LLOGARIVE!$A$2:$I$500,9,FALSE()),""))</f>
        <v/>
      </c>
      <c r="J503" s="101" t="str">
        <f aca="false">IF(A503="","",IF(OR(H503="Zero",I503="Debit/Credit"),"",IF(OR(AND(H503="Saldo Debit",I503="Debit"),AND(H503="Saldo Kredit",OR(I503="Credit",I503="Kredit"))),"","⚠️ JO NORMALE")))</f>
        <v/>
      </c>
    </row>
    <row r="504" customFormat="false" ht="12.75" hidden="false" customHeight="true" outlineLevel="0" collapsed="false">
      <c r="A504" s="172" t="str">
        <f aca="false">IF(AND(PLANI_LLOGARIVE!$A498&lt;&gt;"",PLANI_LLOGARIVE!$J498=TRUE()),PLANI_LLOGARIVE!$A498&amp;"","")</f>
        <v/>
      </c>
      <c r="B504" s="172" t="str">
        <f aca="false">IF($A504="","",IFERROR(VLOOKUP($A504,PLANI_LLOGARIVE!$A$2:$I$500,2,FALSE()),""))</f>
        <v/>
      </c>
      <c r="C504" s="172" t="str">
        <f aca="false">IF($A504="","",IFERROR(VLOOKUP($A504,PLANI_LLOGARIVE!$A$2:$I$500,4,FALSE()),""))</f>
        <v/>
      </c>
      <c r="D504" s="173" t="str">
        <f aca="false">IF($A504="","",SUMIFS(DITARI!$F$6:$F$550,DITARI!$D$6:$D$550,$A504))</f>
        <v/>
      </c>
      <c r="E504" s="173" t="str">
        <f aca="false">IF($A504="","",SUMIFS(DITARI!$G$6:$G$550,DITARI!$D$6:$D$550,$A504))</f>
        <v/>
      </c>
      <c r="F504" s="173" t="str">
        <f aca="false">IF($A504="","",MAX($D504-$E504,0))</f>
        <v/>
      </c>
      <c r="G504" s="173" t="str">
        <f aca="false">IF($A504="","",MAX($E504-$D504,0))</f>
        <v/>
      </c>
      <c r="H504" s="172" t="str">
        <f aca="false">IF($A504="","",IF($F504&gt;0,"Saldo Debit",IF($G504&gt;0,"Saldo Kredit","Zero")))</f>
        <v/>
      </c>
      <c r="I504" s="172" t="str">
        <f aca="false">IF($A504="","",IFERROR(VLOOKUP($A504,PLANI_LLOGARIVE!$A$2:$I$500,9,FALSE()),""))</f>
        <v/>
      </c>
      <c r="J504" s="101" t="str">
        <f aca="false">IF(A504="","",IF(OR(H504="Zero",I504="Debit/Credit"),"",IF(OR(AND(H504="Saldo Debit",I504="Debit"),AND(H504="Saldo Kredit",OR(I504="Credit",I504="Kredit"))),"","⚠️ JO NORMALE")))</f>
        <v/>
      </c>
    </row>
    <row r="505" customFormat="false" ht="12.75" hidden="false" customHeight="true" outlineLevel="0" collapsed="false">
      <c r="A505" s="174" t="str">
        <f aca="false">IF(AND(PLANI_LLOGARIVE!$A499&lt;&gt;"",PLANI_LLOGARIVE!$J499=TRUE()),PLANI_LLOGARIVE!$A499&amp;"","")</f>
        <v>6XX</v>
      </c>
      <c r="B505" s="174" t="str">
        <f aca="false">IF($A505="","",IFERROR(VLOOKUP($A505,PLANI_LLOGARIVE!$A$2:$I$500,2,FALSE()),""))</f>
        <v>Mbyllje sintetike e klasës 6</v>
      </c>
      <c r="C505" s="174" t="str">
        <f aca="false">IF($A505="","",IFERROR(VLOOKUP($A505,PLANI_LLOGARIVE!$A$2:$I$500,4,FALSE()),""))</f>
        <v>6</v>
      </c>
      <c r="D505" s="175" t="n">
        <f aca="false">IF($A505="","",SUMIFS(DITARI!$F$6:$F$550,DITARI!$D$6:$D$550,$A505))</f>
        <v>0</v>
      </c>
      <c r="E505" s="175" t="n">
        <f aca="false">IF($A505="","",SUMIFS(DITARI!$G$6:$G$550,DITARI!$D$6:$D$550,$A505))</f>
        <v>0</v>
      </c>
      <c r="F505" s="175" t="n">
        <f aca="false">IF($A505="","",MAX($D505-$E505,0))</f>
        <v>0</v>
      </c>
      <c r="G505" s="175" t="n">
        <f aca="false">IF($A505="","",MAX($E505-$D505,0))</f>
        <v>0</v>
      </c>
      <c r="H505" s="174" t="str">
        <f aca="false">IF($A505="","",IF($F505&gt;0,"Saldo Debit",IF($G505&gt;0,"Saldo Kredit","Zero")))</f>
        <v>Zero</v>
      </c>
      <c r="I505" s="174" t="str">
        <f aca="false">IF($A505="","",IFERROR(VLOOKUP($A505,PLANI_LLOGARIVE!$A$2:$I$500,9,FALSE()),""))</f>
        <v>Debit</v>
      </c>
      <c r="J505" s="101" t="str">
        <f aca="false">IF(A505="","",IF(OR(H505="Zero",I505="Debit/Credit"),"",IF(OR(AND(H505="Saldo Debit",I505="Debit"),AND(H505="Saldo Kredit",OR(I505="Credit",I505="Kredit"))),"","⚠️ JO NORMALE")))</f>
        <v/>
      </c>
    </row>
    <row r="506" customFormat="false" ht="12.75" hidden="false" customHeight="true" outlineLevel="0" collapsed="false">
      <c r="A506" s="172" t="str">
        <f aca="false">IF(AND(PLANI_LLOGARIVE!$A500&lt;&gt;"",PLANI_LLOGARIVE!$J500=TRUE()),PLANI_LLOGARIVE!$A500&amp;"","")</f>
        <v>7XX</v>
      </c>
      <c r="B506" s="172" t="str">
        <f aca="false">IF($A506="","",IFERROR(VLOOKUP($A506,PLANI_LLOGARIVE!$A$2:$I$500,2,FALSE()),""))</f>
        <v>Mbyllje sintetike e klasës 7</v>
      </c>
      <c r="C506" s="172" t="str">
        <f aca="false">IF($A506="","",IFERROR(VLOOKUP($A506,PLANI_LLOGARIVE!$A$2:$I$500,4,FALSE()),""))</f>
        <v>7</v>
      </c>
      <c r="D506" s="173" t="n">
        <f aca="false">IF($A506="","",SUMIFS(DITARI!$F$6:$F$550,DITARI!$D$6:$D$550,$A506))</f>
        <v>0</v>
      </c>
      <c r="E506" s="173" t="n">
        <f aca="false">IF($A506="","",SUMIFS(DITARI!$G$6:$G$550,DITARI!$D$6:$D$550,$A506))</f>
        <v>0</v>
      </c>
      <c r="F506" s="173" t="n">
        <f aca="false">IF($A506="","",MAX($D506-$E506,0))</f>
        <v>0</v>
      </c>
      <c r="G506" s="173" t="n">
        <f aca="false">IF($A506="","",MAX($E506-$D506,0))</f>
        <v>0</v>
      </c>
      <c r="H506" s="172" t="str">
        <f aca="false">IF($A506="","",IF($F506&gt;0,"Saldo Debit",IF($G506&gt;0,"Saldo Kredit","Zero")))</f>
        <v>Zero</v>
      </c>
      <c r="I506" s="172" t="str">
        <f aca="false">IF($A506="","",IFERROR(VLOOKUP($A506,PLANI_LLOGARIVE!$A$2:$I$500,9,FALSE()),""))</f>
        <v>Credit</v>
      </c>
      <c r="J506" s="101" t="str">
        <f aca="false">IF(A506="","",IF(OR(H506="Zero",I506="Debit/Credit"),"",IF(OR(AND(H506="Saldo Debit",I506="Debit"),AND(H506="Saldo Kredit",OR(I506="Credit",I506="Kredit"))),"","⚠️ JO NORMALE")))</f>
        <v/>
      </c>
    </row>
    <row r="508" customFormat="false" ht="12.75" hidden="false" customHeight="true" outlineLevel="0" collapsed="false">
      <c r="A508" s="176" t="s">
        <v>792</v>
      </c>
      <c r="B508" s="176"/>
      <c r="C508" s="176"/>
      <c r="D508" s="176"/>
      <c r="E508" s="176"/>
      <c r="F508" s="176"/>
      <c r="G508" s="176"/>
      <c r="H508" s="176"/>
      <c r="I508" s="176"/>
    </row>
    <row r="509" customFormat="false" ht="12.75" hidden="false" customHeight="true" outlineLevel="0" collapsed="false">
      <c r="A509" s="176"/>
      <c r="B509" s="176"/>
      <c r="C509" s="176"/>
      <c r="D509" s="176"/>
      <c r="E509" s="176"/>
      <c r="F509" s="176"/>
      <c r="G509" s="176"/>
      <c r="H509" s="176"/>
      <c r="I509" s="176"/>
    </row>
    <row r="510" customFormat="false" ht="12.75" hidden="false" customHeight="true" outlineLevel="0" collapsed="false">
      <c r="A510" s="176"/>
      <c r="B510" s="176"/>
      <c r="C510" s="176"/>
      <c r="D510" s="176"/>
      <c r="E510" s="176"/>
      <c r="F510" s="176"/>
      <c r="G510" s="176"/>
      <c r="H510" s="176"/>
      <c r="I510" s="176"/>
    </row>
  </sheetData>
  <sheetProtection sheet="true" password="91db" formatCells="false" formatColumns="false" formatRows="false" sort="false" autoFilter="false"/>
  <mergeCells count="3">
    <mergeCell ref="A1:I1"/>
    <mergeCell ref="A2:I2"/>
    <mergeCell ref="A508:I510"/>
  </mergeCells>
  <conditionalFormatting sqref="H4:H5">
    <cfRule type="expression" priority="2" aboveAverage="0" equalAverage="0" bottom="0" percent="0" rank="0" text="" dxfId="15">
      <formula>H4="OK"</formula>
    </cfRule>
    <cfRule type="expression" priority="3" aboveAverage="0" equalAverage="0" bottom="0" percent="0" rank="0" text="" dxfId="7">
      <formula>H4="ERROR"</formula>
    </cfRule>
  </conditionalFormatting>
  <conditionalFormatting sqref="F4:F6">
    <cfRule type="expression" priority="4" aboveAverage="0" equalAverage="0" bottom="0" percent="0" rank="0" text="" dxfId="7">
      <formula>ABS(F4)&gt;0.005</formula>
    </cfRule>
  </conditionalFormatting>
  <conditionalFormatting sqref="H6">
    <cfRule type="expression" priority="5" aboveAverage="0" equalAverage="0" bottom="0" percent="0" rank="0" text="" dxfId="15">
      <formula>H6="DITARI OK"</formula>
    </cfRule>
    <cfRule type="expression" priority="6" aboveAverage="0" equalAverage="0" bottom="0" percent="0" rank="0" text="" dxfId="16">
      <formula>H6&lt;&gt;"DITARI OK"</formula>
    </cfRule>
  </conditionalFormatting>
  <hyperlinks>
    <hyperlink ref="K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7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20.85"/>
    <col collapsed="false" customWidth="true" hidden="false" outlineLevel="0" max="2" min="2" style="1" width="28"/>
    <col collapsed="false" customWidth="true" hidden="false" outlineLevel="0" max="3" min="3" style="1" width="22"/>
    <col collapsed="false" customWidth="true" hidden="false" outlineLevel="0" max="4" min="4" style="1" width="20.57"/>
    <col collapsed="false" customWidth="true" hidden="false" outlineLevel="0" max="5" min="5" style="1" width="18"/>
    <col collapsed="false" customWidth="true" hidden="false" outlineLevel="0" max="6" min="6" style="1" width="42"/>
    <col collapsed="false" customWidth="true" hidden="false" outlineLevel="0" max="12" min="7" style="1" width="16"/>
    <col collapsed="false" customWidth="true" hidden="false" outlineLevel="0" max="14" min="14" style="1" width="16"/>
  </cols>
  <sheetData>
    <row r="1" customFormat="false" ht="22.5" hidden="false" customHeight="true" outlineLevel="0" collapsed="false">
      <c r="A1" s="177" t="s">
        <v>793</v>
      </c>
      <c r="B1" s="178"/>
      <c r="C1" s="178"/>
      <c r="D1" s="178"/>
      <c r="E1" s="178"/>
      <c r="F1" s="178"/>
      <c r="G1" s="178"/>
      <c r="H1" s="178"/>
      <c r="I1" s="178"/>
      <c r="J1" s="178"/>
      <c r="K1" s="179"/>
      <c r="L1" s="179"/>
      <c r="N1" s="29" t="s">
        <v>19</v>
      </c>
    </row>
    <row r="2" customFormat="false" ht="22.5" hidden="false" customHeight="true" outlineLevel="0" collapsed="false">
      <c r="A2" s="180" t="s">
        <v>794</v>
      </c>
    </row>
    <row r="3" customFormat="false" ht="22.5" hidden="false" customHeight="true" outlineLevel="0" collapsed="false"/>
    <row r="4" customFormat="false" ht="22.5" hidden="false" customHeight="true" outlineLevel="0" collapsed="false">
      <c r="A4" s="181" t="s">
        <v>795</v>
      </c>
      <c r="B4" s="182"/>
      <c r="C4" s="182"/>
      <c r="D4" s="181" t="s">
        <v>796</v>
      </c>
      <c r="E4" s="182"/>
      <c r="F4" s="182"/>
      <c r="G4" s="181" t="s">
        <v>737</v>
      </c>
      <c r="H4" s="182"/>
      <c r="I4" s="182"/>
      <c r="J4" s="182"/>
    </row>
    <row r="5" customFormat="false" ht="22.5" hidden="false" customHeight="true" outlineLevel="0" collapsed="false">
      <c r="A5" s="183" t="n">
        <f aca="false">D14</f>
        <v>0</v>
      </c>
      <c r="B5" s="182"/>
      <c r="C5" s="182"/>
      <c r="D5" s="183" t="n">
        <f aca="false">D13</f>
        <v>0</v>
      </c>
      <c r="E5" s="182"/>
      <c r="F5" s="182"/>
      <c r="G5" s="183" t="str">
        <f aca="false">IF(D14&lt;0,"KONTROLL","OK")</f>
        <v>OK</v>
      </c>
      <c r="H5" s="182"/>
      <c r="I5" s="182"/>
      <c r="J5" s="182"/>
    </row>
    <row r="6" customFormat="false" ht="22.5" hidden="false" customHeight="true" outlineLevel="0" collapsed="false">
      <c r="A6" s="184" t="s">
        <v>797</v>
      </c>
      <c r="B6" s="182"/>
      <c r="C6" s="182"/>
      <c r="D6" s="184" t="s">
        <v>798</v>
      </c>
      <c r="E6" s="182"/>
      <c r="F6" s="182"/>
      <c r="G6" s="184" t="s">
        <v>799</v>
      </c>
      <c r="H6" s="182"/>
      <c r="I6" s="182"/>
      <c r="J6" s="182"/>
    </row>
    <row r="7" customFormat="false" ht="22.5" hidden="false" customHeight="true" outlineLevel="0" collapsed="false"/>
    <row r="8" customFormat="false" ht="22.5" hidden="false" customHeight="true" outlineLevel="0" collapsed="false">
      <c r="A8" s="185" t="n">
        <v>1</v>
      </c>
      <c r="B8" s="185" t="s">
        <v>800</v>
      </c>
      <c r="C8" s="185"/>
      <c r="D8" s="185"/>
      <c r="E8" s="185"/>
      <c r="F8" s="185"/>
      <c r="G8" s="185"/>
      <c r="H8" s="185"/>
      <c r="I8" s="185"/>
      <c r="J8" s="185" t="s">
        <v>801</v>
      </c>
    </row>
    <row r="9" customFormat="false" ht="22.5" hidden="false" customHeight="true" outlineLevel="0" collapsed="false">
      <c r="A9" s="186" t="s">
        <v>106</v>
      </c>
      <c r="B9" s="186" t="s">
        <v>802</v>
      </c>
      <c r="C9" s="186" t="s">
        <v>803</v>
      </c>
      <c r="D9" s="186" t="s">
        <v>764</v>
      </c>
      <c r="E9" s="186" t="s">
        <v>804</v>
      </c>
      <c r="F9" s="186" t="s">
        <v>805</v>
      </c>
      <c r="G9" s="186" t="s">
        <v>806</v>
      </c>
      <c r="H9" s="186" t="s">
        <v>807</v>
      </c>
      <c r="I9" s="186" t="s">
        <v>808</v>
      </c>
      <c r="J9" s="186" t="s">
        <v>81</v>
      </c>
    </row>
    <row r="10" customFormat="false" ht="22.5" hidden="false" customHeight="true" outlineLevel="0" collapsed="false">
      <c r="A10" s="187" t="n">
        <v>1</v>
      </c>
      <c r="B10" s="188" t="s">
        <v>809</v>
      </c>
      <c r="C10" s="188" t="s">
        <v>810</v>
      </c>
      <c r="D10" s="189" t="n">
        <f aca="false">SUMIFS(BILANCI_PROVE!$D$8:$D$506,BILANCI_PROVE!$A$8:$A$506,"601*")+SUMIFS(BILANCI_PROVE!$D$8:$D$506,BILANCI_PROVE!$A$8:$A$506,"605*")-SUMIFS(BILANCI_PROVE!$E$8:$E$506,BILANCI_PROVE!$A$8:$A$506,"601*")-SUMIFS(BILANCI_PROVE!$E$8:$E$506,BILANCI_PROVE!$A$8:$A$506,"605*")</f>
        <v>0</v>
      </c>
      <c r="E10" s="190" t="s">
        <v>811</v>
      </c>
      <c r="F10" s="190" t="s">
        <v>812</v>
      </c>
      <c r="G10" s="190"/>
      <c r="H10" s="190"/>
      <c r="I10" s="191" t="s">
        <v>813</v>
      </c>
      <c r="J10" s="188" t="s">
        <v>814</v>
      </c>
    </row>
    <row r="11" customFormat="false" ht="22.5" hidden="false" customHeight="true" outlineLevel="0" collapsed="false">
      <c r="A11" s="187" t="n">
        <v>2</v>
      </c>
      <c r="B11" s="188" t="s">
        <v>815</v>
      </c>
      <c r="C11" s="188" t="s">
        <v>816</v>
      </c>
      <c r="D11" s="189" t="n">
        <f aca="false">SUMIFS(BILANCI_PROVE!$D$8:$D$506,BILANCI_PROVE!$A$8:$A$506,"603*")</f>
        <v>0</v>
      </c>
      <c r="E11" s="190" t="s">
        <v>811</v>
      </c>
      <c r="F11" s="190" t="s">
        <v>817</v>
      </c>
      <c r="G11" s="190"/>
      <c r="H11" s="190"/>
      <c r="I11" s="191" t="s">
        <v>813</v>
      </c>
      <c r="J11" s="188" t="s">
        <v>814</v>
      </c>
    </row>
    <row r="12" customFormat="false" ht="22.5" hidden="false" customHeight="true" outlineLevel="0" collapsed="false">
      <c r="A12" s="187" t="n">
        <v>3</v>
      </c>
      <c r="B12" s="188" t="s">
        <v>818</v>
      </c>
      <c r="C12" s="188" t="s">
        <v>819</v>
      </c>
      <c r="D12" s="189" t="n">
        <f aca="false">SUMIFS(BILANCI_PROVE!$E$8:$E$506,BILANCI_PROVE!$A$8:$A$506,"603*")</f>
        <v>0</v>
      </c>
      <c r="E12" s="190" t="s">
        <v>811</v>
      </c>
      <c r="F12" s="190" t="s">
        <v>820</v>
      </c>
      <c r="G12" s="190"/>
      <c r="H12" s="190"/>
      <c r="I12" s="191" t="s">
        <v>813</v>
      </c>
      <c r="J12" s="188" t="s">
        <v>814</v>
      </c>
    </row>
    <row r="13" customFormat="false" ht="22.5" hidden="false" customHeight="true" outlineLevel="0" collapsed="false">
      <c r="A13" s="187" t="n">
        <v>4</v>
      </c>
      <c r="B13" s="188" t="s">
        <v>821</v>
      </c>
      <c r="C13" s="188" t="s">
        <v>822</v>
      </c>
      <c r="D13" s="189" t="n">
        <f aca="false">D11-D12</f>
        <v>0</v>
      </c>
      <c r="E13" s="192" t="str">
        <f aca="false">IF(D13&gt;0,"DEBITORE",IF(D13&lt;0,"KREDITORE","ZERO"))</f>
        <v>ZERO</v>
      </c>
      <c r="F13" s="192" t="str">
        <f aca="false">IF(D13&gt;0,"Inventari është ulur → KMSH rritet",IF(D13&lt;0,"Inventari është rritur → KMSH ulet","Pa efekt në KMSH"))</f>
        <v>Pa efekt në KMSH</v>
      </c>
      <c r="G13" s="190"/>
      <c r="H13" s="190"/>
      <c r="I13" s="191" t="s">
        <v>813</v>
      </c>
      <c r="J13" s="188" t="s">
        <v>771</v>
      </c>
    </row>
    <row r="14" customFormat="false" ht="22.5" hidden="false" customHeight="true" outlineLevel="0" collapsed="false">
      <c r="A14" s="193" t="n">
        <v>5</v>
      </c>
      <c r="B14" s="194" t="s">
        <v>823</v>
      </c>
      <c r="C14" s="194" t="s">
        <v>824</v>
      </c>
      <c r="D14" s="195" t="n">
        <f aca="false">D10+D13</f>
        <v>0</v>
      </c>
      <c r="E14" s="196" t="s">
        <v>825</v>
      </c>
      <c r="F14" s="197" t="str">
        <f aca="false">IF(D14&lt;0,"Kontrollo: KMSH negative",IF(D13&lt;0,"KMSH = Blerje - saldo kreditore 603","KMSH = Blerje + saldo debitore 603"))</f>
        <v>KMSH = Blerje + saldo debitore 603</v>
      </c>
      <c r="G14" s="196"/>
      <c r="H14" s="196"/>
      <c r="I14" s="198" t="s">
        <v>813</v>
      </c>
      <c r="J14" s="194" t="s">
        <v>826</v>
      </c>
    </row>
    <row r="15" customFormat="false" ht="22.5" hidden="false" customHeight="true" outlineLevel="0" collapsed="false">
      <c r="I15" s="199"/>
    </row>
    <row r="16" customFormat="false" ht="22.5" hidden="false" customHeight="true" outlineLevel="0" collapsed="false">
      <c r="I16" s="199"/>
    </row>
    <row r="17" customFormat="false" ht="22.5" hidden="false" customHeight="true" outlineLevel="0" collapsed="false">
      <c r="A17" s="185" t="n">
        <v>2</v>
      </c>
      <c r="B17" s="185" t="s">
        <v>827</v>
      </c>
      <c r="C17" s="185"/>
      <c r="D17" s="185"/>
      <c r="E17" s="185"/>
      <c r="F17" s="185"/>
      <c r="G17" s="185"/>
      <c r="H17" s="185"/>
      <c r="I17" s="200"/>
      <c r="J17" s="185" t="s">
        <v>828</v>
      </c>
    </row>
    <row r="18" customFormat="false" ht="22.5" hidden="false" customHeight="true" outlineLevel="0" collapsed="false">
      <c r="A18" s="186" t="s">
        <v>106</v>
      </c>
      <c r="B18" s="186" t="s">
        <v>802</v>
      </c>
      <c r="C18" s="186" t="s">
        <v>803</v>
      </c>
      <c r="D18" s="186" t="s">
        <v>764</v>
      </c>
      <c r="E18" s="186" t="s">
        <v>804</v>
      </c>
      <c r="F18" s="186" t="s">
        <v>805</v>
      </c>
      <c r="G18" s="186" t="s">
        <v>806</v>
      </c>
      <c r="H18" s="186" t="s">
        <v>807</v>
      </c>
      <c r="I18" s="201" t="s">
        <v>808</v>
      </c>
      <c r="J18" s="186" t="s">
        <v>81</v>
      </c>
    </row>
    <row r="19" customFormat="false" ht="22.5" hidden="false" customHeight="true" outlineLevel="0" collapsed="false">
      <c r="A19" s="187" t="n">
        <v>1</v>
      </c>
      <c r="B19" s="188" t="s">
        <v>829</v>
      </c>
      <c r="C19" s="188" t="s">
        <v>830</v>
      </c>
      <c r="D19" s="189" t="n">
        <f aca="false">SUMIFS(DITARI!$F$6:$F$400,DITARI!$S$6:$S$400,"35")-SUMIFS(DITARI!$G$6:$G$400,DITARI!$S$6:$S$400,"35")</f>
        <v>0</v>
      </c>
      <c r="E19" s="190" t="s">
        <v>811</v>
      </c>
      <c r="F19" s="190" t="s">
        <v>831</v>
      </c>
      <c r="G19" s="190"/>
      <c r="H19" s="190"/>
      <c r="I19" s="202" t="s">
        <v>813</v>
      </c>
      <c r="J19" s="188" t="s">
        <v>814</v>
      </c>
    </row>
    <row r="20" customFormat="false" ht="22.5" hidden="false" customHeight="true" outlineLevel="0" collapsed="false">
      <c r="A20" s="187" t="n">
        <v>2</v>
      </c>
      <c r="B20" s="188" t="s">
        <v>832</v>
      </c>
      <c r="C20" s="188" t="s">
        <v>833</v>
      </c>
      <c r="D20" s="203"/>
      <c r="E20" s="190" t="s">
        <v>834</v>
      </c>
      <c r="F20" s="190" t="s">
        <v>835</v>
      </c>
      <c r="G20" s="190"/>
      <c r="H20" s="190"/>
      <c r="I20" s="202" t="s">
        <v>813</v>
      </c>
      <c r="J20" s="188" t="s">
        <v>836</v>
      </c>
    </row>
    <row r="21" customFormat="false" ht="22.5" hidden="false" customHeight="true" outlineLevel="0" collapsed="false">
      <c r="A21" s="187" t="n">
        <v>3</v>
      </c>
      <c r="B21" s="188" t="s">
        <v>837</v>
      </c>
      <c r="C21" s="188" t="s">
        <v>838</v>
      </c>
      <c r="D21" s="189" t="str">
        <f aca="false">IF(D20="","",D20-D19)</f>
        <v/>
      </c>
      <c r="E21" s="192" t="str">
        <f aca="false">IF(D21="","PA INPUT",IF(ROUND(D21,2)=0,"RAKORDUAR","DIFERENCË"))</f>
        <v>PA INPUT</v>
      </c>
      <c r="F21" s="192" t="str">
        <f aca="false">IF(D21="","Vendos inventarin fizik",IF(D21=0,"Inventari fizik përputhet me kontabilitetin",IF(D21&lt;0,"Mungesë inventari: sugjerohet 603/35x","Tepricë inventari: sugjerohet 35x/603")))</f>
        <v>Vendos inventarin fizik</v>
      </c>
      <c r="G21" s="190"/>
      <c r="H21" s="190"/>
      <c r="I21" s="202" t="s">
        <v>813</v>
      </c>
      <c r="J21" s="188" t="s">
        <v>771</v>
      </c>
    </row>
    <row r="22" customFormat="false" ht="22.5" hidden="false" customHeight="true" outlineLevel="0" collapsed="false">
      <c r="A22" s="187" t="n">
        <v>4</v>
      </c>
      <c r="B22" s="188" t="s">
        <v>839</v>
      </c>
      <c r="C22" s="188" t="s">
        <v>840</v>
      </c>
      <c r="D22" s="189" t="str">
        <f aca="false">IF(D21="","",ABS(D21))</f>
        <v/>
      </c>
      <c r="E22" s="192" t="str">
        <f aca="false">IF(D21="","",IF(D21=0,"PA VEPRIM","SUGJERIM"))</f>
        <v/>
      </c>
      <c r="F22" s="192" t="str">
        <f aca="false">IF(D21="","",IF(D21=0,"Nuk ka artikull",IF(D21&lt;0,"Mungesë inventari: Debi 603 / Kredi 35x","Tepricë inventari: Debi 35x / Kredi 603")))</f>
        <v/>
      </c>
      <c r="G22" s="192" t="str">
        <f aca="false">IF(D21="","",IF(D21&lt;0,"603",IF(D21&gt;0,"351","-")))</f>
        <v/>
      </c>
      <c r="H22" s="192" t="str">
        <f aca="false">IF(D21="","",IF(D21&lt;0,"351",IF(D21&gt;0,"603","-")))</f>
        <v/>
      </c>
      <c r="I22" s="202" t="s">
        <v>813</v>
      </c>
      <c r="J22" s="188" t="s">
        <v>841</v>
      </c>
    </row>
    <row r="23" customFormat="false" ht="22.5" hidden="false" customHeight="true" outlineLevel="0" collapsed="false">
      <c r="I23" s="199"/>
    </row>
    <row r="24" customFormat="false" ht="22.5" hidden="false" customHeight="true" outlineLevel="0" collapsed="false">
      <c r="I24" s="199"/>
    </row>
    <row r="25" customFormat="false" ht="24" hidden="false" customHeight="true" outlineLevel="0" collapsed="false">
      <c r="A25" s="204" t="s">
        <v>842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</row>
    <row r="26" customFormat="false" ht="22.5" hidden="false" customHeight="true" outlineLevel="0" collapsed="false">
      <c r="A26" s="205"/>
      <c r="B26" s="205"/>
      <c r="C26" s="205"/>
      <c r="D26" s="205"/>
      <c r="E26" s="205"/>
      <c r="F26" s="205"/>
      <c r="G26" s="205"/>
      <c r="H26" s="205"/>
      <c r="I26" s="206"/>
      <c r="J26" s="205"/>
      <c r="K26" s="205"/>
      <c r="L26" s="205"/>
    </row>
    <row r="27" customFormat="false" ht="21.75" hidden="false" customHeight="true" outlineLevel="0" collapsed="false">
      <c r="A27" s="207" t="s">
        <v>843</v>
      </c>
      <c r="B27" s="207"/>
      <c r="C27" s="207"/>
      <c r="D27" s="208" t="s">
        <v>844</v>
      </c>
      <c r="E27" s="208"/>
      <c r="F27" s="208"/>
      <c r="G27" s="209" t="s">
        <v>845</v>
      </c>
      <c r="H27" s="209"/>
      <c r="I27" s="209"/>
      <c r="J27" s="210" t="s">
        <v>737</v>
      </c>
      <c r="K27" s="210"/>
      <c r="L27" s="210"/>
    </row>
    <row r="28" customFormat="false" ht="27.75" hidden="false" customHeight="true" outlineLevel="0" collapsed="false">
      <c r="A28" s="211" t="n">
        <f aca="false">SUM(F34:F37)</f>
        <v>0</v>
      </c>
      <c r="B28" s="211"/>
      <c r="C28" s="211"/>
      <c r="D28" s="212" t="n">
        <f aca="false">SUM(I34:I37)</f>
        <v>0</v>
      </c>
      <c r="E28" s="212"/>
      <c r="F28" s="212"/>
      <c r="G28" s="213" t="n">
        <f aca="false">COUNTIF(L34:L37,"PO")</f>
        <v>0</v>
      </c>
      <c r="H28" s="213"/>
      <c r="I28" s="213"/>
      <c r="J28" s="214" t="str">
        <f aca="false">IF(SUM(I34:I37)=0,"PA AMORTIZIM",IF(COUNTIF(L34:L37,"PO")&gt;0,"GATI PËR DITAR","NË PRITJE"))</f>
        <v>PA AMORTIZIM</v>
      </c>
      <c r="K28" s="214"/>
      <c r="L28" s="214"/>
    </row>
    <row r="29" customFormat="false" ht="22.5" hidden="false" customHeight="true" outlineLevel="0" collapsed="false">
      <c r="A29" s="205"/>
      <c r="B29" s="205"/>
      <c r="C29" s="205"/>
      <c r="D29" s="205"/>
      <c r="E29" s="205"/>
      <c r="F29" s="205"/>
      <c r="G29" s="205"/>
      <c r="H29" s="205"/>
      <c r="I29" s="206"/>
      <c r="J29" s="205"/>
      <c r="K29" s="205"/>
      <c r="L29" s="205"/>
    </row>
    <row r="30" customFormat="false" ht="30" hidden="false" customHeight="true" outlineLevel="0" collapsed="false">
      <c r="A30" s="215" t="s">
        <v>846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</row>
    <row r="31" customFormat="false" ht="22.5" hidden="false" customHeight="true" outlineLevel="0" collapsed="false">
      <c r="A31" s="215"/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</row>
    <row r="32" customFormat="false" ht="22.5" hidden="false" customHeight="true" outlineLevel="0" collapsed="false">
      <c r="A32" s="205"/>
      <c r="B32" s="205"/>
      <c r="C32" s="205"/>
      <c r="D32" s="205"/>
      <c r="E32" s="205"/>
      <c r="F32" s="205"/>
      <c r="G32" s="205"/>
      <c r="H32" s="205"/>
      <c r="I32" s="206"/>
      <c r="J32" s="205"/>
      <c r="K32" s="205"/>
      <c r="L32" s="205"/>
    </row>
    <row r="33" customFormat="false" ht="33.75" hidden="false" customHeight="true" outlineLevel="0" collapsed="false">
      <c r="A33" s="216" t="s">
        <v>106</v>
      </c>
      <c r="B33" s="216" t="s">
        <v>847</v>
      </c>
      <c r="C33" s="216" t="s">
        <v>848</v>
      </c>
      <c r="D33" s="216" t="s">
        <v>849</v>
      </c>
      <c r="E33" s="216" t="s">
        <v>850</v>
      </c>
      <c r="F33" s="216" t="s">
        <v>851</v>
      </c>
      <c r="G33" s="216" t="s">
        <v>852</v>
      </c>
      <c r="H33" s="216" t="s">
        <v>853</v>
      </c>
      <c r="I33" s="217" t="s">
        <v>854</v>
      </c>
      <c r="J33" s="216" t="s">
        <v>855</v>
      </c>
      <c r="K33" s="216" t="s">
        <v>856</v>
      </c>
      <c r="L33" s="216" t="s">
        <v>857</v>
      </c>
    </row>
    <row r="34" customFormat="false" ht="27.75" hidden="false" customHeight="true" outlineLevel="0" collapsed="false">
      <c r="A34" s="218" t="n">
        <v>1</v>
      </c>
      <c r="B34" s="219" t="s">
        <v>858</v>
      </c>
      <c r="C34" s="219" t="s">
        <v>859</v>
      </c>
      <c r="D34" s="220" t="n">
        <f aca="false">SUMIFS(DITARI!$F$6:$F$400,DITARI!$T$6:$T$400,"211")+SUMIFS(DITARI!$F$6:$F$400,DITARI!$T$6:$T$400,"212")-SUMIFS(DITARI!$G$6:$G$400,DITARI!$T$6:$T$400,"211")-SUMIFS(DITARI!$G$6:$G$400,DITARI!$T$6:$T$400,"212")</f>
        <v>0</v>
      </c>
      <c r="E34" s="221" t="n">
        <v>0</v>
      </c>
      <c r="F34" s="220" t="n">
        <f aca="false">MAX(D34-E34,0)</f>
        <v>0</v>
      </c>
      <c r="G34" s="222" t="n">
        <v>0.05</v>
      </c>
      <c r="H34" s="223" t="n">
        <v>12</v>
      </c>
      <c r="I34" s="220" t="n">
        <f aca="false">F34*G34*H34/12</f>
        <v>0</v>
      </c>
      <c r="J34" s="218" t="s">
        <v>596</v>
      </c>
      <c r="K34" s="218" t="s">
        <v>268</v>
      </c>
      <c r="L34" s="224" t="s">
        <v>813</v>
      </c>
    </row>
    <row r="35" customFormat="false" ht="27.75" hidden="false" customHeight="true" outlineLevel="0" collapsed="false">
      <c r="A35" s="218" t="n">
        <v>2</v>
      </c>
      <c r="B35" s="219" t="s">
        <v>860</v>
      </c>
      <c r="C35" s="219" t="s">
        <v>861</v>
      </c>
      <c r="D35" s="220" t="n">
        <f aca="false">SUMIFS(DITARI!$F$6:$F$400,DITARI!$T$6:$T$400,"213")+SUMIFS(DITARI!$F$6:$F$400,DITARI!$T$6:$T$400,"214")-SUMIFS(DITARI!$G$6:$G$400,DITARI!$T$6:$T$400,"213")-SUMIFS(DITARI!$G$6:$G$400,DITARI!$T$6:$T$400,"214")</f>
        <v>0</v>
      </c>
      <c r="E35" s="221" t="n">
        <v>0</v>
      </c>
      <c r="F35" s="220" t="n">
        <f aca="false">MAX(D35-E35,0)</f>
        <v>0</v>
      </c>
      <c r="G35" s="222" t="n">
        <v>0.2</v>
      </c>
      <c r="H35" s="223" t="n">
        <v>12</v>
      </c>
      <c r="I35" s="220" t="n">
        <f aca="false">F35*G35*H35/12</f>
        <v>0</v>
      </c>
      <c r="J35" s="218" t="s">
        <v>596</v>
      </c>
      <c r="K35" s="218" t="s">
        <v>268</v>
      </c>
      <c r="L35" s="224" t="s">
        <v>813</v>
      </c>
    </row>
    <row r="36" customFormat="false" ht="27.75" hidden="false" customHeight="true" outlineLevel="0" collapsed="false">
      <c r="A36" s="218" t="n">
        <v>3</v>
      </c>
      <c r="B36" s="219" t="s">
        <v>256</v>
      </c>
      <c r="C36" s="219" t="s">
        <v>862</v>
      </c>
      <c r="D36" s="220" t="n">
        <f aca="false">SUMIFS(DITARI!$F$6:$F$400,DITARI!$T$6:$T$400,"215")-SUMIFS(DITARI!$G$6:$G$400,DITARI!$T$6:$T$400,"215")</f>
        <v>0</v>
      </c>
      <c r="E36" s="221" t="n">
        <v>0</v>
      </c>
      <c r="F36" s="220" t="n">
        <f aca="false">MAX(D36-E36,0)</f>
        <v>0</v>
      </c>
      <c r="G36" s="222" t="n">
        <v>0.2</v>
      </c>
      <c r="H36" s="223" t="n">
        <v>12</v>
      </c>
      <c r="I36" s="220" t="n">
        <f aca="false">F36*G36*H36/12</f>
        <v>0</v>
      </c>
      <c r="J36" s="218" t="s">
        <v>596</v>
      </c>
      <c r="K36" s="218" t="s">
        <v>268</v>
      </c>
      <c r="L36" s="224" t="s">
        <v>813</v>
      </c>
    </row>
    <row r="37" customFormat="false" ht="27.75" hidden="false" customHeight="true" outlineLevel="0" collapsed="false">
      <c r="A37" s="218" t="n">
        <v>4</v>
      </c>
      <c r="B37" s="219" t="s">
        <v>863</v>
      </c>
      <c r="C37" s="219" t="s">
        <v>864</v>
      </c>
      <c r="D37" s="220" t="n">
        <f aca="false">SUMIFS(DITARI!$F$6:$F$400,DITARI!$T$6:$T$400,"218")-SUMIFS(DITARI!$G$6:$G$400,DITARI!$T$6:$T$400,"218")</f>
        <v>0</v>
      </c>
      <c r="E37" s="221" t="n">
        <v>0</v>
      </c>
      <c r="F37" s="220" t="n">
        <f aca="false">MAX(D37-E37,0)</f>
        <v>0</v>
      </c>
      <c r="G37" s="222" t="n">
        <v>0.25</v>
      </c>
      <c r="H37" s="223" t="n">
        <v>12</v>
      </c>
      <c r="I37" s="220" t="n">
        <f aca="false">F37*G37*H37/12</f>
        <v>0</v>
      </c>
      <c r="J37" s="218" t="s">
        <v>596</v>
      </c>
      <c r="K37" s="218" t="s">
        <v>268</v>
      </c>
      <c r="L37" s="224" t="s">
        <v>813</v>
      </c>
    </row>
    <row r="38" customFormat="false" ht="24" hidden="false" customHeight="true" outlineLevel="0" collapsed="false">
      <c r="A38" s="225"/>
      <c r="B38" s="225" t="s">
        <v>865</v>
      </c>
      <c r="C38" s="225"/>
      <c r="D38" s="226" t="n">
        <f aca="false">SUM(D34:D37)</f>
        <v>0</v>
      </c>
      <c r="E38" s="226" t="n">
        <f aca="false">SUM(E34:E37)</f>
        <v>0</v>
      </c>
      <c r="F38" s="226" t="n">
        <f aca="false">SUM(F34:F37)</f>
        <v>0</v>
      </c>
      <c r="G38" s="225"/>
      <c r="H38" s="225"/>
      <c r="I38" s="226" t="n">
        <f aca="false">SUM(I34:I37)</f>
        <v>0</v>
      </c>
      <c r="J38" s="225"/>
      <c r="K38" s="225"/>
      <c r="L38" s="225"/>
    </row>
    <row r="39" customFormat="false" ht="22.5" hidden="false" customHeight="true" outlineLevel="0" collapsed="false">
      <c r="A39" s="205"/>
      <c r="B39" s="205"/>
      <c r="C39" s="205"/>
      <c r="D39" s="205"/>
      <c r="E39" s="205"/>
      <c r="F39" s="205"/>
      <c r="G39" s="205"/>
      <c r="H39" s="205"/>
      <c r="I39" s="206"/>
      <c r="J39" s="205"/>
      <c r="K39" s="205"/>
      <c r="L39" s="205"/>
    </row>
    <row r="40" customFormat="false" ht="15" hidden="false" customHeight="true" outlineLevel="0" collapsed="false">
      <c r="A40" s="205"/>
      <c r="B40" s="205"/>
      <c r="C40" s="205"/>
      <c r="D40" s="205"/>
      <c r="E40" s="205"/>
      <c r="F40" s="205"/>
      <c r="G40" s="205"/>
      <c r="H40" s="205"/>
      <c r="I40" s="206"/>
      <c r="J40" s="205"/>
      <c r="K40" s="205"/>
      <c r="L40" s="205"/>
    </row>
    <row r="41" customFormat="false" ht="15" hidden="false" customHeight="true" outlineLevel="0" collapsed="false">
      <c r="A41" s="227" t="s">
        <v>866</v>
      </c>
      <c r="B41" s="227"/>
      <c r="C41" s="227"/>
      <c r="D41" s="227"/>
      <c r="E41" s="227"/>
      <c r="F41" s="227"/>
      <c r="G41" s="227"/>
      <c r="H41" s="227"/>
      <c r="I41" s="206"/>
      <c r="J41" s="205"/>
      <c r="K41" s="205"/>
      <c r="L41" s="205"/>
    </row>
    <row r="42" customFormat="false" ht="15" hidden="false" customHeight="true" outlineLevel="0" collapsed="false">
      <c r="A42" s="228" t="s">
        <v>106</v>
      </c>
      <c r="B42" s="228" t="s">
        <v>803</v>
      </c>
      <c r="C42" s="228" t="s">
        <v>747</v>
      </c>
      <c r="D42" s="228" t="s">
        <v>855</v>
      </c>
      <c r="E42" s="228" t="s">
        <v>856</v>
      </c>
      <c r="F42" s="228" t="s">
        <v>867</v>
      </c>
      <c r="G42" s="228" t="s">
        <v>857</v>
      </c>
      <c r="H42" s="228" t="s">
        <v>748</v>
      </c>
      <c r="I42" s="206"/>
      <c r="J42" s="205"/>
      <c r="K42" s="205"/>
      <c r="L42" s="205"/>
    </row>
    <row r="43" customFormat="false" ht="24" hidden="false" customHeight="true" outlineLevel="0" collapsed="false">
      <c r="A43" s="218" t="n">
        <v>1</v>
      </c>
      <c r="B43" s="219" t="s">
        <v>86</v>
      </c>
      <c r="C43" s="229" t="str">
        <f aca="false">B34</f>
        <v>Ndërtesa / konstruksione</v>
      </c>
      <c r="D43" s="230" t="str">
        <f aca="false">J34</f>
        <v>681</v>
      </c>
      <c r="E43" s="230" t="str">
        <f aca="false">K34</f>
        <v>280</v>
      </c>
      <c r="F43" s="231" t="n">
        <f aca="false">I34</f>
        <v>0</v>
      </c>
      <c r="G43" s="232" t="str">
        <f aca="false">L34</f>
        <v>JO</v>
      </c>
      <c r="H43" s="233" t="str">
        <f aca="false">IF(G43="PO","GATI PËR POSTIM","JO POSTIM")</f>
        <v>JO POSTIM</v>
      </c>
      <c r="I43" s="206"/>
      <c r="J43" s="205"/>
      <c r="K43" s="205"/>
      <c r="L43" s="205"/>
    </row>
    <row r="44" customFormat="false" ht="24" hidden="false" customHeight="true" outlineLevel="0" collapsed="false">
      <c r="A44" s="218" t="n">
        <v>2</v>
      </c>
      <c r="B44" s="219" t="s">
        <v>86</v>
      </c>
      <c r="C44" s="229" t="str">
        <f aca="false">B35</f>
        <v>Makineri / pajisje pune</v>
      </c>
      <c r="D44" s="230" t="str">
        <f aca="false">J35</f>
        <v>681</v>
      </c>
      <c r="E44" s="230" t="str">
        <f aca="false">K35</f>
        <v>280</v>
      </c>
      <c r="F44" s="231" t="n">
        <f aca="false">I35</f>
        <v>0</v>
      </c>
      <c r="G44" s="232" t="str">
        <f aca="false">L35</f>
        <v>JO</v>
      </c>
      <c r="H44" s="233" t="str">
        <f aca="false">IF(G44="PO","GATI PËR POSTIM","JO POSTIM")</f>
        <v>JO POSTIM</v>
      </c>
      <c r="I44" s="206"/>
      <c r="J44" s="205"/>
      <c r="K44" s="205"/>
      <c r="L44" s="205"/>
    </row>
    <row r="45" customFormat="false" ht="24" hidden="false" customHeight="true" outlineLevel="0" collapsed="false">
      <c r="A45" s="218" t="n">
        <v>3</v>
      </c>
      <c r="B45" s="219" t="s">
        <v>86</v>
      </c>
      <c r="C45" s="229" t="str">
        <f aca="false">B36</f>
        <v>Mjete transporti</v>
      </c>
      <c r="D45" s="230" t="str">
        <f aca="false">J36</f>
        <v>681</v>
      </c>
      <c r="E45" s="230" t="str">
        <f aca="false">K36</f>
        <v>280</v>
      </c>
      <c r="F45" s="231" t="n">
        <f aca="false">I36</f>
        <v>0</v>
      </c>
      <c r="G45" s="232" t="str">
        <f aca="false">L36</f>
        <v>JO</v>
      </c>
      <c r="H45" s="233" t="str">
        <f aca="false">IF(G45="PO","GATI PËR POSTIM","JO POSTIM")</f>
        <v>JO POSTIM</v>
      </c>
      <c r="I45" s="206"/>
      <c r="J45" s="205"/>
      <c r="K45" s="205"/>
      <c r="L45" s="205"/>
    </row>
    <row r="46" customFormat="false" ht="24" hidden="false" customHeight="true" outlineLevel="0" collapsed="false">
      <c r="A46" s="218" t="n">
        <v>4</v>
      </c>
      <c r="B46" s="219" t="s">
        <v>86</v>
      </c>
      <c r="C46" s="229" t="str">
        <f aca="false">B37</f>
        <v>Pajisje IT / mobilim / të tjera</v>
      </c>
      <c r="D46" s="230" t="str">
        <f aca="false">J37</f>
        <v>681</v>
      </c>
      <c r="E46" s="230" t="str">
        <f aca="false">K37</f>
        <v>280</v>
      </c>
      <c r="F46" s="231" t="n">
        <f aca="false">I37</f>
        <v>0</v>
      </c>
      <c r="G46" s="232" t="str">
        <f aca="false">L37</f>
        <v>JO</v>
      </c>
      <c r="H46" s="233" t="str">
        <f aca="false">IF(G46="PO","GATI PËR POSTIM","JO POSTIM")</f>
        <v>JO POSTIM</v>
      </c>
      <c r="I46" s="206"/>
      <c r="J46" s="205"/>
      <c r="K46" s="205"/>
      <c r="L46" s="205"/>
    </row>
    <row r="47" customFormat="false" ht="15" hidden="false" customHeight="true" outlineLevel="0" collapsed="false">
      <c r="A47" s="205"/>
      <c r="B47" s="205"/>
      <c r="C47" s="205"/>
      <c r="D47" s="205"/>
      <c r="E47" s="205"/>
      <c r="F47" s="205"/>
      <c r="G47" s="205"/>
      <c r="H47" s="205"/>
      <c r="I47" s="206"/>
      <c r="J47" s="205"/>
      <c r="K47" s="205"/>
      <c r="L47" s="205"/>
    </row>
    <row r="48" customFormat="false" ht="15" hidden="false" customHeight="true" outlineLevel="0" collapsed="false">
      <c r="A48" s="205"/>
      <c r="B48" s="205"/>
      <c r="C48" s="205"/>
      <c r="D48" s="205"/>
      <c r="E48" s="205"/>
      <c r="F48" s="205"/>
      <c r="G48" s="205"/>
      <c r="H48" s="205"/>
      <c r="I48" s="206"/>
      <c r="J48" s="205"/>
      <c r="K48" s="205"/>
      <c r="L48" s="205"/>
    </row>
    <row r="49" customFormat="false" ht="15" hidden="false" customHeight="true" outlineLevel="0" collapsed="false">
      <c r="A49" s="234"/>
      <c r="B49" s="234"/>
      <c r="C49" s="234"/>
      <c r="D49" s="234"/>
      <c r="E49" s="234"/>
      <c r="F49" s="234"/>
      <c r="G49" s="234"/>
      <c r="H49" s="234"/>
      <c r="I49" s="235"/>
      <c r="J49" s="234"/>
      <c r="K49" s="234"/>
      <c r="L49" s="234"/>
    </row>
    <row r="50" customFormat="false" ht="24" hidden="false" customHeight="true" outlineLevel="0" collapsed="false">
      <c r="A50" s="204" t="s">
        <v>868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</row>
    <row r="51" customFormat="false" ht="15" hidden="false" customHeight="true" outlineLevel="0" collapsed="false">
      <c r="A51" s="234"/>
      <c r="B51" s="234"/>
      <c r="C51" s="234"/>
      <c r="D51" s="234"/>
      <c r="E51" s="234"/>
      <c r="F51" s="234"/>
      <c r="G51" s="234"/>
      <c r="H51" s="234"/>
      <c r="I51" s="235"/>
      <c r="J51" s="234"/>
      <c r="K51" s="234"/>
      <c r="L51" s="234"/>
    </row>
    <row r="52" customFormat="false" ht="15" hidden="false" customHeight="true" outlineLevel="0" collapsed="false">
      <c r="A52" s="227" t="s">
        <v>869</v>
      </c>
      <c r="B52" s="227"/>
      <c r="C52" s="234"/>
      <c r="D52" s="227" t="s">
        <v>845</v>
      </c>
      <c r="E52" s="227"/>
      <c r="F52" s="234"/>
      <c r="G52" s="227" t="s">
        <v>737</v>
      </c>
      <c r="H52" s="227"/>
      <c r="I52" s="235"/>
      <c r="J52" s="234"/>
      <c r="K52" s="234"/>
      <c r="L52" s="234"/>
    </row>
    <row r="53" customFormat="false" ht="15" hidden="false" customHeight="true" outlineLevel="0" collapsed="false">
      <c r="A53" s="236" t="n">
        <f aca="false">SUM(F54:F68)</f>
        <v>0</v>
      </c>
      <c r="B53" s="234"/>
      <c r="C53" s="234"/>
      <c r="D53" s="237" t="n">
        <f aca="false">COUNTIF(G54:G68,"PO")</f>
        <v>0</v>
      </c>
      <c r="E53" s="234"/>
      <c r="F53" s="234"/>
      <c r="G53" s="237" t="str">
        <f aca="false">IF(COUNTIF(G54:G68,"PO")=0,"PA VEPRIME",IF(COUNTIF(H54:H68,"PLOTËSO")&gt;0,"KONTROLL", "GATI PËR DITAR"))</f>
        <v>PA VEPRIME</v>
      </c>
      <c r="H53" s="234"/>
      <c r="I53" s="235"/>
      <c r="J53" s="234"/>
      <c r="K53" s="234"/>
      <c r="L53" s="234"/>
    </row>
    <row r="54" customFormat="false" ht="15" hidden="false" customHeight="true" outlineLevel="0" collapsed="false">
      <c r="A54" s="234"/>
      <c r="B54" s="234"/>
      <c r="C54" s="234"/>
      <c r="D54" s="234"/>
      <c r="E54" s="234"/>
      <c r="F54" s="234"/>
      <c r="G54" s="234"/>
      <c r="H54" s="234"/>
      <c r="I54" s="235"/>
      <c r="J54" s="234"/>
      <c r="K54" s="234"/>
      <c r="L54" s="234"/>
    </row>
    <row r="55" customFormat="false" ht="15" hidden="false" customHeight="true" outlineLevel="0" collapsed="false">
      <c r="A55" s="238" t="s">
        <v>870</v>
      </c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</row>
    <row r="56" customFormat="false" ht="15" hidden="false" customHeight="true" outlineLevel="0" collapsed="false">
      <c r="A56" s="239" t="s">
        <v>106</v>
      </c>
      <c r="B56" s="239" t="s">
        <v>189</v>
      </c>
      <c r="C56" s="239" t="s">
        <v>747</v>
      </c>
      <c r="D56" s="239" t="s">
        <v>855</v>
      </c>
      <c r="E56" s="239" t="s">
        <v>856</v>
      </c>
      <c r="F56" s="239" t="s">
        <v>867</v>
      </c>
      <c r="G56" s="239" t="s">
        <v>857</v>
      </c>
      <c r="H56" s="239" t="s">
        <v>748</v>
      </c>
      <c r="I56" s="240" t="s">
        <v>871</v>
      </c>
      <c r="J56" s="239"/>
      <c r="K56" s="239"/>
      <c r="L56" s="239"/>
    </row>
    <row r="57" customFormat="false" ht="31.5" hidden="false" customHeight="true" outlineLevel="0" collapsed="false">
      <c r="A57" s="241" t="s">
        <v>47</v>
      </c>
      <c r="B57" s="242" t="s">
        <v>872</v>
      </c>
      <c r="C57" s="243" t="s">
        <v>873</v>
      </c>
      <c r="D57" s="243" t="s">
        <v>436</v>
      </c>
      <c r="E57" s="243" t="s">
        <v>511</v>
      </c>
      <c r="F57" s="244"/>
      <c r="G57" s="245" t="s">
        <v>813</v>
      </c>
      <c r="H57" s="246" t="str">
        <f aca="false">IF(G57="PO",IF(AND(D57&lt;&gt;"",E57&lt;&gt;"",F57&gt;0),"GATI PËR DITAR","PLOTËSO"),"JO POSTIM")</f>
        <v>JO POSTIM</v>
      </c>
      <c r="I57" s="242" t="s">
        <v>874</v>
      </c>
      <c r="J57" s="234"/>
      <c r="K57" s="234"/>
      <c r="L57" s="234"/>
    </row>
    <row r="58" customFormat="false" ht="31.5" hidden="false" customHeight="true" outlineLevel="0" collapsed="false">
      <c r="A58" s="241" t="s">
        <v>52</v>
      </c>
      <c r="B58" s="242" t="s">
        <v>875</v>
      </c>
      <c r="C58" s="243" t="s">
        <v>876</v>
      </c>
      <c r="D58" s="243" t="s">
        <v>532</v>
      </c>
      <c r="E58" s="243" t="s">
        <v>339</v>
      </c>
      <c r="F58" s="244"/>
      <c r="G58" s="245" t="s">
        <v>813</v>
      </c>
      <c r="H58" s="246" t="str">
        <f aca="false">IF(G58="PO",IF(AND(D58&lt;&gt;"",E58&lt;&gt;"",F58&gt;0),"GATI PËR DITAR","PLOTËSO"),"JO POSTIM")</f>
        <v>JO POSTIM</v>
      </c>
      <c r="I58" s="242" t="s">
        <v>877</v>
      </c>
      <c r="J58" s="234"/>
      <c r="K58" s="234"/>
      <c r="L58" s="234"/>
    </row>
    <row r="59" customFormat="false" ht="31.5" hidden="false" customHeight="true" outlineLevel="0" collapsed="false">
      <c r="A59" s="241" t="s">
        <v>57</v>
      </c>
      <c r="B59" s="242" t="s">
        <v>878</v>
      </c>
      <c r="C59" s="243" t="s">
        <v>879</v>
      </c>
      <c r="D59" s="243" t="s">
        <v>352</v>
      </c>
      <c r="E59" s="243" t="s">
        <v>628</v>
      </c>
      <c r="F59" s="244"/>
      <c r="G59" s="245" t="s">
        <v>813</v>
      </c>
      <c r="H59" s="246" t="str">
        <f aca="false">IF(G59="PO",IF(AND(D59&lt;&gt;"",E59&lt;&gt;"",F59&gt;0),"GATI PËR DITAR","PLOTËSO"),"JO POSTIM")</f>
        <v>JO POSTIM</v>
      </c>
      <c r="I59" s="242" t="s">
        <v>880</v>
      </c>
      <c r="J59" s="234"/>
      <c r="K59" s="234"/>
      <c r="L59" s="234"/>
    </row>
    <row r="60" customFormat="false" ht="31.5" hidden="false" customHeight="true" outlineLevel="0" collapsed="false">
      <c r="A60" s="241" t="s">
        <v>62</v>
      </c>
      <c r="B60" s="242" t="s">
        <v>881</v>
      </c>
      <c r="C60" s="243" t="s">
        <v>882</v>
      </c>
      <c r="D60" s="243" t="s">
        <v>577</v>
      </c>
      <c r="E60" s="243" t="s">
        <v>422</v>
      </c>
      <c r="F60" s="244"/>
      <c r="G60" s="245" t="s">
        <v>813</v>
      </c>
      <c r="H60" s="246" t="str">
        <f aca="false">IF(G60="PO",IF(AND(D60&lt;&gt;"",E60&lt;&gt;"",F60&gt;0),"GATI PËR DITAR","PLOTËSO"),"JO POSTIM")</f>
        <v>JO POSTIM</v>
      </c>
      <c r="I60" s="242" t="s">
        <v>883</v>
      </c>
      <c r="J60" s="234"/>
      <c r="K60" s="234"/>
      <c r="L60" s="234"/>
    </row>
    <row r="61" customFormat="false" ht="31.5" hidden="false" customHeight="true" outlineLevel="0" collapsed="false">
      <c r="A61" s="241" t="s">
        <v>67</v>
      </c>
      <c r="B61" s="242" t="s">
        <v>884</v>
      </c>
      <c r="C61" s="243" t="s">
        <v>885</v>
      </c>
      <c r="D61" s="243" t="s">
        <v>605</v>
      </c>
      <c r="E61" s="243" t="s">
        <v>444</v>
      </c>
      <c r="F61" s="244"/>
      <c r="G61" s="245" t="s">
        <v>813</v>
      </c>
      <c r="H61" s="246" t="str">
        <f aca="false">IF(G61="PO",IF(AND(D61&lt;&gt;"",E61&lt;&gt;"",F61&gt;0),"GATI PËR DITAR","PLOTËSO"),"JO POSTIM")</f>
        <v>JO POSTIM</v>
      </c>
      <c r="I61" s="242" t="s">
        <v>886</v>
      </c>
      <c r="J61" s="234"/>
      <c r="K61" s="234"/>
      <c r="L61" s="234"/>
    </row>
    <row r="62" customFormat="false" ht="31.5" hidden="false" customHeight="true" outlineLevel="0" collapsed="false">
      <c r="A62" s="241" t="s">
        <v>72</v>
      </c>
      <c r="B62" s="242" t="s">
        <v>887</v>
      </c>
      <c r="C62" s="243"/>
      <c r="D62" s="243"/>
      <c r="E62" s="243"/>
      <c r="F62" s="244"/>
      <c r="G62" s="245" t="s">
        <v>813</v>
      </c>
      <c r="H62" s="246" t="str">
        <f aca="false">IF(G62="PO",IF(AND(D62&lt;&gt;"",E62&lt;&gt;"",F62&gt;0),"GATI PËR DITAR","PLOTËSO"),"JO POSTIM")</f>
        <v>JO POSTIM</v>
      </c>
      <c r="I62" s="242" t="s">
        <v>888</v>
      </c>
      <c r="J62" s="234"/>
      <c r="K62" s="234"/>
      <c r="L62" s="234"/>
    </row>
    <row r="63" customFormat="false" ht="31.5" hidden="false" customHeight="true" outlineLevel="0" collapsed="false">
      <c r="A63" s="241" t="s">
        <v>614</v>
      </c>
      <c r="B63" s="242" t="s">
        <v>887</v>
      </c>
      <c r="C63" s="243"/>
      <c r="D63" s="243"/>
      <c r="E63" s="243"/>
      <c r="F63" s="244"/>
      <c r="G63" s="245" t="s">
        <v>813</v>
      </c>
      <c r="H63" s="246" t="str">
        <f aca="false">IF(G63="PO",IF(AND(D63&lt;&gt;"",E63&lt;&gt;"",F63&gt;0),"GATI PËR DITAR","PLOTËSO"),"JO POSTIM")</f>
        <v>JO POSTIM</v>
      </c>
      <c r="I63" s="242" t="s">
        <v>888</v>
      </c>
      <c r="J63" s="234"/>
      <c r="K63" s="234"/>
      <c r="L63" s="234"/>
    </row>
    <row r="64" customFormat="false" ht="31.5" hidden="false" customHeight="true" outlineLevel="0" collapsed="false">
      <c r="A64" s="241" t="s">
        <v>699</v>
      </c>
      <c r="B64" s="242" t="s">
        <v>887</v>
      </c>
      <c r="C64" s="243"/>
      <c r="D64" s="243"/>
      <c r="E64" s="243"/>
      <c r="F64" s="244"/>
      <c r="G64" s="245" t="s">
        <v>813</v>
      </c>
      <c r="H64" s="246" t="str">
        <f aca="false">IF(G64="PO",IF(AND(D64&lt;&gt;"",E64&lt;&gt;"",F64&gt;0),"GATI PËR DITAR","PLOTËSO"),"JO POSTIM")</f>
        <v>JO POSTIM</v>
      </c>
      <c r="I64" s="242" t="s">
        <v>888</v>
      </c>
      <c r="J64" s="234"/>
      <c r="K64" s="234"/>
      <c r="L64" s="234"/>
    </row>
    <row r="65" customFormat="false" ht="31.5" hidden="false" customHeight="true" outlineLevel="0" collapsed="false">
      <c r="A65" s="241" t="s">
        <v>709</v>
      </c>
      <c r="B65" s="242" t="s">
        <v>887</v>
      </c>
      <c r="C65" s="243"/>
      <c r="D65" s="243"/>
      <c r="E65" s="243"/>
      <c r="F65" s="244"/>
      <c r="G65" s="245" t="s">
        <v>813</v>
      </c>
      <c r="H65" s="246" t="str">
        <f aca="false">IF(G65="PO",IF(AND(D65&lt;&gt;"",E65&lt;&gt;"",F65&gt;0),"GATI PËR DITAR","PLOTËSO"),"JO POSTIM")</f>
        <v>JO POSTIM</v>
      </c>
      <c r="I65" s="242" t="s">
        <v>888</v>
      </c>
      <c r="J65" s="234"/>
      <c r="K65" s="234"/>
      <c r="L65" s="234"/>
    </row>
    <row r="66" customFormat="false" ht="31.5" hidden="false" customHeight="true" outlineLevel="0" collapsed="false">
      <c r="A66" s="241" t="s">
        <v>201</v>
      </c>
      <c r="B66" s="242" t="s">
        <v>887</v>
      </c>
      <c r="C66" s="243"/>
      <c r="D66" s="243"/>
      <c r="E66" s="243"/>
      <c r="F66" s="244"/>
      <c r="G66" s="245" t="s">
        <v>813</v>
      </c>
      <c r="H66" s="246" t="str">
        <f aca="false">IF(G66="PO",IF(AND(D66&lt;&gt;"",E66&lt;&gt;"",F66&gt;0),"GATI PËR DITAR","PLOTËSO"),"JO POSTIM")</f>
        <v>JO POSTIM</v>
      </c>
      <c r="I66" s="242" t="s">
        <v>888</v>
      </c>
      <c r="J66" s="234"/>
      <c r="K66" s="234"/>
      <c r="L66" s="234"/>
    </row>
    <row r="67" customFormat="false" ht="31.5" hidden="false" customHeight="true" outlineLevel="0" collapsed="false">
      <c r="A67" s="241" t="s">
        <v>889</v>
      </c>
      <c r="B67" s="242" t="s">
        <v>887</v>
      </c>
      <c r="C67" s="243"/>
      <c r="D67" s="243"/>
      <c r="E67" s="243"/>
      <c r="F67" s="244"/>
      <c r="G67" s="245" t="s">
        <v>813</v>
      </c>
      <c r="H67" s="246" t="str">
        <f aca="false">IF(G67="PO",IF(AND(D67&lt;&gt;"",E67&lt;&gt;"",F67&gt;0),"GATI PËR DITAR","PLOTËSO"),"JO POSTIM")</f>
        <v>JO POSTIM</v>
      </c>
      <c r="I67" s="242" t="s">
        <v>888</v>
      </c>
      <c r="J67" s="234"/>
      <c r="K67" s="234"/>
      <c r="L67" s="234"/>
    </row>
    <row r="68" customFormat="false" ht="31.5" hidden="false" customHeight="true" outlineLevel="0" collapsed="false">
      <c r="A68" s="241" t="s">
        <v>890</v>
      </c>
      <c r="B68" s="242" t="s">
        <v>887</v>
      </c>
      <c r="C68" s="243"/>
      <c r="D68" s="243"/>
      <c r="E68" s="243"/>
      <c r="F68" s="244"/>
      <c r="G68" s="245" t="s">
        <v>813</v>
      </c>
      <c r="H68" s="246" t="str">
        <f aca="false">IF(G68="PO",IF(AND(D68&lt;&gt;"",E68&lt;&gt;"",F68&gt;0),"GATI PËR DITAR","PLOTËSO"),"JO POSTIM")</f>
        <v>JO POSTIM</v>
      </c>
      <c r="I68" s="242" t="s">
        <v>888</v>
      </c>
      <c r="J68" s="234"/>
      <c r="K68" s="234"/>
      <c r="L68" s="234"/>
    </row>
    <row r="69" customFormat="false" ht="31.5" hidden="false" customHeight="true" outlineLevel="0" collapsed="false">
      <c r="A69" s="241" t="s">
        <v>891</v>
      </c>
      <c r="B69" s="242" t="s">
        <v>887</v>
      </c>
      <c r="C69" s="243"/>
      <c r="D69" s="243"/>
      <c r="E69" s="243"/>
      <c r="F69" s="244"/>
      <c r="G69" s="245" t="s">
        <v>813</v>
      </c>
      <c r="H69" s="246" t="str">
        <f aca="false">IF(G69="PO",IF(AND(D69&lt;&gt;"",E69&lt;&gt;"",F69&gt;0),"GATI PËR DITAR","PLOTËSO"),"JO POSTIM")</f>
        <v>JO POSTIM</v>
      </c>
      <c r="I69" s="242" t="s">
        <v>888</v>
      </c>
      <c r="J69" s="234"/>
      <c r="K69" s="234"/>
      <c r="L69" s="234"/>
    </row>
    <row r="70" customFormat="false" ht="31.5" hidden="false" customHeight="true" outlineLevel="0" collapsed="false">
      <c r="A70" s="241" t="s">
        <v>892</v>
      </c>
      <c r="B70" s="242" t="s">
        <v>887</v>
      </c>
      <c r="C70" s="243"/>
      <c r="D70" s="243"/>
      <c r="E70" s="243"/>
      <c r="F70" s="244"/>
      <c r="G70" s="245" t="s">
        <v>813</v>
      </c>
      <c r="H70" s="246" t="str">
        <f aca="false">IF(G70="PO",IF(AND(D70&lt;&gt;"",E70&lt;&gt;"",F70&gt;0),"GATI PËR DITAR","PLOTËSO"),"JO POSTIM")</f>
        <v>JO POSTIM</v>
      </c>
      <c r="I70" s="242" t="s">
        <v>888</v>
      </c>
      <c r="J70" s="234"/>
      <c r="K70" s="234"/>
      <c r="L70" s="234"/>
    </row>
    <row r="71" customFormat="false" ht="31.5" hidden="false" customHeight="true" outlineLevel="0" collapsed="false">
      <c r="A71" s="241" t="s">
        <v>893</v>
      </c>
      <c r="B71" s="242" t="s">
        <v>887</v>
      </c>
      <c r="C71" s="243"/>
      <c r="D71" s="243"/>
      <c r="E71" s="243"/>
      <c r="F71" s="244"/>
      <c r="G71" s="245" t="s">
        <v>813</v>
      </c>
      <c r="H71" s="246" t="str">
        <f aca="false">IF(G71="PO",IF(AND(D71&lt;&gt;"",E71&lt;&gt;"",F71&gt;0),"GATI PËR DITAR","PLOTËSO"),"JO POSTIM")</f>
        <v>JO POSTIM</v>
      </c>
      <c r="I71" s="242" t="s">
        <v>888</v>
      </c>
      <c r="J71" s="234"/>
      <c r="K71" s="234"/>
      <c r="L71" s="234"/>
    </row>
    <row r="72" customFormat="false" ht="15" hidden="false" customHeight="true" outlineLevel="0" collapsed="false">
      <c r="A72" s="234"/>
      <c r="B72" s="234"/>
      <c r="C72" s="234"/>
      <c r="D72" s="234"/>
      <c r="E72" s="234"/>
      <c r="F72" s="234"/>
      <c r="G72" s="234"/>
      <c r="H72" s="234"/>
      <c r="I72" s="235"/>
      <c r="J72" s="234"/>
      <c r="K72" s="234"/>
      <c r="L72" s="234"/>
    </row>
    <row r="73" customFormat="false" ht="15" hidden="false" customHeight="true" outlineLevel="0" collapsed="false">
      <c r="A73" s="234"/>
      <c r="B73" s="234"/>
      <c r="C73" s="234"/>
      <c r="D73" s="234"/>
      <c r="E73" s="234"/>
      <c r="F73" s="234"/>
      <c r="G73" s="234"/>
      <c r="H73" s="234"/>
      <c r="I73" s="235"/>
      <c r="J73" s="234"/>
      <c r="K73" s="234"/>
      <c r="L73" s="234"/>
    </row>
    <row r="74" customFormat="false" ht="15" hidden="false" customHeight="true" outlineLevel="0" collapsed="false">
      <c r="A74" s="227" t="s">
        <v>894</v>
      </c>
      <c r="B74" s="227"/>
      <c r="C74" s="227"/>
      <c r="D74" s="227"/>
      <c r="E74" s="227"/>
      <c r="F74" s="227"/>
      <c r="G74" s="227"/>
      <c r="H74" s="227"/>
      <c r="I74" s="235"/>
      <c r="J74" s="234"/>
      <c r="K74" s="234"/>
      <c r="L74" s="234"/>
    </row>
    <row r="75" customFormat="false" ht="15" hidden="false" customHeight="true" outlineLevel="0" collapsed="false">
      <c r="A75" s="247" t="s">
        <v>106</v>
      </c>
      <c r="B75" s="247" t="s">
        <v>803</v>
      </c>
      <c r="C75" s="247" t="s">
        <v>747</v>
      </c>
      <c r="D75" s="247" t="s">
        <v>855</v>
      </c>
      <c r="E75" s="247" t="s">
        <v>856</v>
      </c>
      <c r="F75" s="247" t="s">
        <v>867</v>
      </c>
      <c r="G75" s="247" t="s">
        <v>857</v>
      </c>
      <c r="H75" s="247" t="s">
        <v>748</v>
      </c>
      <c r="I75" s="235"/>
      <c r="J75" s="234" t="s">
        <v>895</v>
      </c>
      <c r="K75" s="234"/>
      <c r="L75" s="234"/>
    </row>
    <row r="76" customFormat="false" ht="15" hidden="false" customHeight="true" outlineLevel="0" collapsed="false">
      <c r="A76" s="248" t="n">
        <v>1</v>
      </c>
      <c r="B76" s="248" t="s">
        <v>89</v>
      </c>
      <c r="C76" s="249" t="str">
        <f aca="false">C57</f>
        <v>Qira / siguracion / licencë e parapaguar</v>
      </c>
      <c r="D76" s="249" t="str">
        <f aca="false">D57</f>
        <v>486</v>
      </c>
      <c r="E76" s="249" t="str">
        <f aca="false">E57</f>
        <v>613</v>
      </c>
      <c r="F76" s="250" t="n">
        <f aca="false">F57</f>
        <v>0</v>
      </c>
      <c r="G76" s="249" t="str">
        <f aca="false">G57</f>
        <v>JO</v>
      </c>
      <c r="H76" s="249" t="str">
        <f aca="false">H57</f>
        <v>JO POSTIM</v>
      </c>
      <c r="I76" s="235"/>
      <c r="J76" s="251" t="n">
        <f aca="false">IF(G76&lt;&gt;"PO",0,IF(LEFT(D76&amp;"",1)="6",-F76,IF(LEFT(D76&amp;"",1)="7",F76,0))+IF(LEFT(E76&amp;"",1)="6",F76,IF(LEFT(E76&amp;"",1)="7",-F76,0)))</f>
        <v>0</v>
      </c>
      <c r="K76" s="234"/>
      <c r="L76" s="234"/>
    </row>
    <row r="77" customFormat="false" ht="15" hidden="false" customHeight="true" outlineLevel="0" collapsed="false">
      <c r="A77" s="248" t="n">
        <v>2</v>
      </c>
      <c r="B77" s="248" t="s">
        <v>89</v>
      </c>
      <c r="C77" s="249" t="str">
        <f aca="false">C58</f>
        <v>Shpenzim i marrë por ende i pafaturuar</v>
      </c>
      <c r="D77" s="249" t="str">
        <f aca="false">D58</f>
        <v>626</v>
      </c>
      <c r="E77" s="249" t="str">
        <f aca="false">E58</f>
        <v>408</v>
      </c>
      <c r="F77" s="250" t="n">
        <f aca="false">F58</f>
        <v>0</v>
      </c>
      <c r="G77" s="249" t="str">
        <f aca="false">G58</f>
        <v>JO</v>
      </c>
      <c r="H77" s="249" t="str">
        <f aca="false">H58</f>
        <v>JO POSTIM</v>
      </c>
      <c r="I77" s="235"/>
      <c r="J77" s="251" t="n">
        <f aca="false">IF(G77&lt;&gt;"PO",0,IF(LEFT(D77&amp;"",1)="6",-F77,IF(LEFT(D77&amp;"",1)="7",F77,0))+IF(LEFT(E77&amp;"",1)="6",F77,IF(LEFT(E77&amp;"",1)="7",-F77,0)))</f>
        <v>0</v>
      </c>
      <c r="K77" s="234"/>
      <c r="L77" s="234"/>
    </row>
    <row r="78" customFormat="false" ht="15" hidden="false" customHeight="true" outlineLevel="0" collapsed="false">
      <c r="A78" s="248" t="n">
        <v>3</v>
      </c>
      <c r="B78" s="248" t="s">
        <v>89</v>
      </c>
      <c r="C78" s="249" t="str">
        <f aca="false">C59</f>
        <v>Shërbim i kryer, faturë në periudhën tjetër</v>
      </c>
      <c r="D78" s="249" t="str">
        <f aca="false">D59</f>
        <v>418</v>
      </c>
      <c r="E78" s="249" t="str">
        <f aca="false">E59</f>
        <v>705</v>
      </c>
      <c r="F78" s="250" t="n">
        <f aca="false">F59</f>
        <v>0</v>
      </c>
      <c r="G78" s="249" t="str">
        <f aca="false">G59</f>
        <v>JO</v>
      </c>
      <c r="H78" s="249" t="str">
        <f aca="false">H59</f>
        <v>JO POSTIM</v>
      </c>
      <c r="I78" s="235"/>
      <c r="J78" s="251" t="n">
        <f aca="false">IF(G78&lt;&gt;"PO",0,IF(LEFT(D78&amp;"",1)="6",-F78,IF(LEFT(D78&amp;"",1)="7",F78,0))+IF(LEFT(E78&amp;"",1)="6",F78,IF(LEFT(E78&amp;"",1)="7",-F78,0)))</f>
        <v>0</v>
      </c>
      <c r="K78" s="234"/>
      <c r="L78" s="234"/>
    </row>
    <row r="79" customFormat="false" ht="15" hidden="false" customHeight="true" outlineLevel="0" collapsed="false">
      <c r="A79" s="248" t="n">
        <v>4</v>
      </c>
      <c r="B79" s="248" t="s">
        <v>89</v>
      </c>
      <c r="C79" s="249" t="str">
        <f aca="false">C60</f>
        <v>Interesa kredie/depozite të periudhës</v>
      </c>
      <c r="D79" s="249" t="str">
        <f aca="false">D60</f>
        <v>661</v>
      </c>
      <c r="E79" s="249" t="str">
        <f aca="false">E60</f>
        <v>468</v>
      </c>
      <c r="F79" s="250" t="n">
        <f aca="false">F60</f>
        <v>0</v>
      </c>
      <c r="G79" s="249" t="str">
        <f aca="false">G60</f>
        <v>JO</v>
      </c>
      <c r="H79" s="249" t="str">
        <f aca="false">H60</f>
        <v>JO POSTIM</v>
      </c>
      <c r="I79" s="235"/>
      <c r="J79" s="251" t="n">
        <f aca="false">IF(G79&lt;&gt;"PO",0,IF(LEFT(D79&amp;"",1)="6",-F79,IF(LEFT(D79&amp;"",1)="7",F79,0))+IF(LEFT(E79&amp;"",1)="6",F79,IF(LEFT(E79&amp;"",1)="7",-F79,0)))</f>
        <v>0</v>
      </c>
      <c r="K79" s="234"/>
      <c r="L79" s="234"/>
    </row>
    <row r="80" customFormat="false" ht="15" hidden="false" customHeight="true" outlineLevel="0" collapsed="false">
      <c r="A80" s="248" t="n">
        <v>5</v>
      </c>
      <c r="B80" s="248" t="s">
        <v>89</v>
      </c>
      <c r="C80" s="249" t="str">
        <f aca="false">C61</f>
        <v>Klientë të dyshimtë / provigjion</v>
      </c>
      <c r="D80" s="249" t="str">
        <f aca="false">D61</f>
        <v>686</v>
      </c>
      <c r="E80" s="249" t="str">
        <f aca="false">E61</f>
        <v>491</v>
      </c>
      <c r="F80" s="250" t="n">
        <f aca="false">F61</f>
        <v>0</v>
      </c>
      <c r="G80" s="249" t="str">
        <f aca="false">G61</f>
        <v>JO</v>
      </c>
      <c r="H80" s="249" t="str">
        <f aca="false">H61</f>
        <v>JO POSTIM</v>
      </c>
      <c r="I80" s="235"/>
      <c r="J80" s="251" t="n">
        <f aca="false">IF(G80&lt;&gt;"PO",0,IF(LEFT(D80&amp;"",1)="6",-F80,IF(LEFT(D80&amp;"",1)="7",F80,0))+IF(LEFT(E80&amp;"",1)="6",F80,IF(LEFT(E80&amp;"",1)="7",-F80,0)))</f>
        <v>0</v>
      </c>
      <c r="K80" s="234"/>
      <c r="L80" s="234"/>
    </row>
    <row r="81" customFormat="false" ht="15" hidden="false" customHeight="true" outlineLevel="0" collapsed="false">
      <c r="A81" s="248" t="n">
        <v>6</v>
      </c>
      <c r="B81" s="248" t="s">
        <v>89</v>
      </c>
      <c r="C81" s="249" t="n">
        <f aca="false">C62</f>
        <v>0</v>
      </c>
      <c r="D81" s="249" t="n">
        <f aca="false">D62</f>
        <v>0</v>
      </c>
      <c r="E81" s="249" t="n">
        <f aca="false">E62</f>
        <v>0</v>
      </c>
      <c r="F81" s="250" t="n">
        <f aca="false">F62</f>
        <v>0</v>
      </c>
      <c r="G81" s="249" t="str">
        <f aca="false">G62</f>
        <v>JO</v>
      </c>
      <c r="H81" s="249" t="str">
        <f aca="false">H62</f>
        <v>JO POSTIM</v>
      </c>
      <c r="I81" s="235"/>
      <c r="J81" s="251" t="n">
        <f aca="false">IF(G81&lt;&gt;"PO",0,IF(LEFT(D81&amp;"",1)="6",-F81,IF(LEFT(D81&amp;"",1)="7",F81,0))+IF(LEFT(E81&amp;"",1)="6",F81,IF(LEFT(E81&amp;"",1)="7",-F81,0)))</f>
        <v>0</v>
      </c>
      <c r="K81" s="234"/>
      <c r="L81" s="234"/>
    </row>
    <row r="82" customFormat="false" ht="15" hidden="false" customHeight="true" outlineLevel="0" collapsed="false">
      <c r="A82" s="248" t="n">
        <v>7</v>
      </c>
      <c r="B82" s="248" t="s">
        <v>89</v>
      </c>
      <c r="C82" s="249" t="n">
        <f aca="false">C63</f>
        <v>0</v>
      </c>
      <c r="D82" s="249" t="n">
        <f aca="false">D63</f>
        <v>0</v>
      </c>
      <c r="E82" s="249" t="n">
        <f aca="false">E63</f>
        <v>0</v>
      </c>
      <c r="F82" s="250" t="n">
        <f aca="false">F63</f>
        <v>0</v>
      </c>
      <c r="G82" s="249" t="str">
        <f aca="false">G63</f>
        <v>JO</v>
      </c>
      <c r="H82" s="249" t="str">
        <f aca="false">H63</f>
        <v>JO POSTIM</v>
      </c>
      <c r="I82" s="235"/>
      <c r="J82" s="251" t="n">
        <f aca="false">IF(G82&lt;&gt;"PO",0,IF(LEFT(D82&amp;"",1)="6",-F82,IF(LEFT(D82&amp;"",1)="7",F82,0))+IF(LEFT(E82&amp;"",1)="6",F82,IF(LEFT(E82&amp;"",1)="7",-F82,0)))</f>
        <v>0</v>
      </c>
      <c r="K82" s="234"/>
      <c r="L82" s="234"/>
    </row>
    <row r="83" customFormat="false" ht="15" hidden="false" customHeight="true" outlineLevel="0" collapsed="false">
      <c r="A83" s="248" t="n">
        <v>8</v>
      </c>
      <c r="B83" s="248" t="s">
        <v>89</v>
      </c>
      <c r="C83" s="249" t="n">
        <f aca="false">C64</f>
        <v>0</v>
      </c>
      <c r="D83" s="249" t="n">
        <f aca="false">D64</f>
        <v>0</v>
      </c>
      <c r="E83" s="249" t="n">
        <f aca="false">E64</f>
        <v>0</v>
      </c>
      <c r="F83" s="250" t="n">
        <f aca="false">F64</f>
        <v>0</v>
      </c>
      <c r="G83" s="249" t="str">
        <f aca="false">G64</f>
        <v>JO</v>
      </c>
      <c r="H83" s="249" t="str">
        <f aca="false">H64</f>
        <v>JO POSTIM</v>
      </c>
      <c r="I83" s="235"/>
      <c r="J83" s="251" t="n">
        <f aca="false">IF(G83&lt;&gt;"PO",0,IF(LEFT(D83&amp;"",1)="6",-F83,IF(LEFT(D83&amp;"",1)="7",F83,0))+IF(LEFT(E83&amp;"",1)="6",F83,IF(LEFT(E83&amp;"",1)="7",-F83,0)))</f>
        <v>0</v>
      </c>
      <c r="K83" s="234"/>
      <c r="L83" s="234"/>
    </row>
    <row r="84" customFormat="false" ht="15" hidden="false" customHeight="true" outlineLevel="0" collapsed="false">
      <c r="A84" s="248" t="n">
        <v>9</v>
      </c>
      <c r="B84" s="248" t="s">
        <v>89</v>
      </c>
      <c r="C84" s="249" t="n">
        <f aca="false">C65</f>
        <v>0</v>
      </c>
      <c r="D84" s="249" t="n">
        <f aca="false">D65</f>
        <v>0</v>
      </c>
      <c r="E84" s="249" t="n">
        <f aca="false">E65</f>
        <v>0</v>
      </c>
      <c r="F84" s="250" t="n">
        <f aca="false">F65</f>
        <v>0</v>
      </c>
      <c r="G84" s="249" t="str">
        <f aca="false">G65</f>
        <v>JO</v>
      </c>
      <c r="H84" s="249" t="str">
        <f aca="false">H65</f>
        <v>JO POSTIM</v>
      </c>
      <c r="I84" s="235"/>
      <c r="J84" s="251" t="n">
        <f aca="false">IF(G84&lt;&gt;"PO",0,IF(LEFT(D84&amp;"",1)="6",-F84,IF(LEFT(D84&amp;"",1)="7",F84,0))+IF(LEFT(E84&amp;"",1)="6",F84,IF(LEFT(E84&amp;"",1)="7",-F84,0)))</f>
        <v>0</v>
      </c>
      <c r="K84" s="234"/>
      <c r="L84" s="234"/>
    </row>
    <row r="85" customFormat="false" ht="15" hidden="false" customHeight="true" outlineLevel="0" collapsed="false">
      <c r="A85" s="248" t="n">
        <v>10</v>
      </c>
      <c r="B85" s="248" t="s">
        <v>89</v>
      </c>
      <c r="C85" s="249" t="n">
        <f aca="false">C66</f>
        <v>0</v>
      </c>
      <c r="D85" s="249" t="n">
        <f aca="false">D66</f>
        <v>0</v>
      </c>
      <c r="E85" s="249" t="n">
        <f aca="false">E66</f>
        <v>0</v>
      </c>
      <c r="F85" s="250" t="n">
        <f aca="false">F66</f>
        <v>0</v>
      </c>
      <c r="G85" s="249" t="str">
        <f aca="false">G66</f>
        <v>JO</v>
      </c>
      <c r="H85" s="249" t="str">
        <f aca="false">H66</f>
        <v>JO POSTIM</v>
      </c>
      <c r="I85" s="235"/>
      <c r="J85" s="251" t="n">
        <f aca="false">IF(G85&lt;&gt;"PO",0,IF(LEFT(D85&amp;"",1)="6",-F85,IF(LEFT(D85&amp;"",1)="7",F85,0))+IF(LEFT(E85&amp;"",1)="6",F85,IF(LEFT(E85&amp;"",1)="7",-F85,0)))</f>
        <v>0</v>
      </c>
      <c r="K85" s="234"/>
      <c r="L85" s="234"/>
    </row>
    <row r="86" customFormat="false" ht="15" hidden="false" customHeight="true" outlineLevel="0" collapsed="false">
      <c r="A86" s="248" t="n">
        <v>11</v>
      </c>
      <c r="B86" s="248" t="s">
        <v>89</v>
      </c>
      <c r="C86" s="249" t="n">
        <f aca="false">C67</f>
        <v>0</v>
      </c>
      <c r="D86" s="249" t="n">
        <f aca="false">D67</f>
        <v>0</v>
      </c>
      <c r="E86" s="249" t="n">
        <f aca="false">E67</f>
        <v>0</v>
      </c>
      <c r="F86" s="250" t="n">
        <f aca="false">F67</f>
        <v>0</v>
      </c>
      <c r="G86" s="249" t="str">
        <f aca="false">G67</f>
        <v>JO</v>
      </c>
      <c r="H86" s="249" t="str">
        <f aca="false">H67</f>
        <v>JO POSTIM</v>
      </c>
      <c r="I86" s="235"/>
      <c r="J86" s="251" t="n">
        <f aca="false">IF(G86&lt;&gt;"PO",0,IF(LEFT(D86&amp;"",1)="6",-F86,IF(LEFT(D86&amp;"",1)="7",F86,0))+IF(LEFT(E86&amp;"",1)="6",F86,IF(LEFT(E86&amp;"",1)="7",-F86,0)))</f>
        <v>0</v>
      </c>
      <c r="K86" s="234"/>
      <c r="L86" s="234"/>
    </row>
    <row r="87" customFormat="false" ht="15" hidden="false" customHeight="true" outlineLevel="0" collapsed="false">
      <c r="A87" s="248" t="n">
        <v>12</v>
      </c>
      <c r="B87" s="248" t="s">
        <v>89</v>
      </c>
      <c r="C87" s="249" t="n">
        <f aca="false">C68</f>
        <v>0</v>
      </c>
      <c r="D87" s="249" t="n">
        <f aca="false">D68</f>
        <v>0</v>
      </c>
      <c r="E87" s="249" t="n">
        <f aca="false">E68</f>
        <v>0</v>
      </c>
      <c r="F87" s="250" t="n">
        <f aca="false">F68</f>
        <v>0</v>
      </c>
      <c r="G87" s="249" t="str">
        <f aca="false">G68</f>
        <v>JO</v>
      </c>
      <c r="H87" s="249" t="str">
        <f aca="false">H68</f>
        <v>JO POSTIM</v>
      </c>
      <c r="I87" s="235"/>
      <c r="J87" s="251" t="n">
        <f aca="false">IF(G87&lt;&gt;"PO",0,IF(LEFT(D87&amp;"",1)="6",-F87,IF(LEFT(D87&amp;"",1)="7",F87,0))+IF(LEFT(E87&amp;"",1)="6",F87,IF(LEFT(E87&amp;"",1)="7",-F87,0)))</f>
        <v>0</v>
      </c>
      <c r="K87" s="234"/>
      <c r="L87" s="234"/>
    </row>
    <row r="88" customFormat="false" ht="15" hidden="false" customHeight="true" outlineLevel="0" collapsed="false">
      <c r="A88" s="248" t="n">
        <v>13</v>
      </c>
      <c r="B88" s="248" t="s">
        <v>89</v>
      </c>
      <c r="C88" s="249" t="n">
        <f aca="false">C69</f>
        <v>0</v>
      </c>
      <c r="D88" s="249" t="n">
        <f aca="false">D69</f>
        <v>0</v>
      </c>
      <c r="E88" s="249" t="n">
        <f aca="false">E69</f>
        <v>0</v>
      </c>
      <c r="F88" s="250" t="n">
        <f aca="false">F69</f>
        <v>0</v>
      </c>
      <c r="G88" s="249" t="str">
        <f aca="false">G69</f>
        <v>JO</v>
      </c>
      <c r="H88" s="249" t="str">
        <f aca="false">H69</f>
        <v>JO POSTIM</v>
      </c>
      <c r="I88" s="235"/>
      <c r="J88" s="251" t="n">
        <f aca="false">IF(G88&lt;&gt;"PO",0,IF(LEFT(D88&amp;"",1)="6",-F88,IF(LEFT(D88&amp;"",1)="7",F88,0))+IF(LEFT(E88&amp;"",1)="6",F88,IF(LEFT(E88&amp;"",1)="7",-F88,0)))</f>
        <v>0</v>
      </c>
      <c r="K88" s="234"/>
      <c r="L88" s="234"/>
    </row>
    <row r="89" customFormat="false" ht="15" hidden="false" customHeight="true" outlineLevel="0" collapsed="false">
      <c r="A89" s="248" t="n">
        <v>14</v>
      </c>
      <c r="B89" s="248" t="s">
        <v>89</v>
      </c>
      <c r="C89" s="249" t="n">
        <f aca="false">C70</f>
        <v>0</v>
      </c>
      <c r="D89" s="249" t="n">
        <f aca="false">D70</f>
        <v>0</v>
      </c>
      <c r="E89" s="249" t="n">
        <f aca="false">E70</f>
        <v>0</v>
      </c>
      <c r="F89" s="250" t="n">
        <f aca="false">F70</f>
        <v>0</v>
      </c>
      <c r="G89" s="249" t="str">
        <f aca="false">G70</f>
        <v>JO</v>
      </c>
      <c r="H89" s="249" t="str">
        <f aca="false">H70</f>
        <v>JO POSTIM</v>
      </c>
      <c r="I89" s="235"/>
      <c r="J89" s="251" t="n">
        <f aca="false">IF(G89&lt;&gt;"PO",0,IF(LEFT(D89&amp;"",1)="6",-F89,IF(LEFT(D89&amp;"",1)="7",F89,0))+IF(LEFT(E89&amp;"",1)="6",F89,IF(LEFT(E89&amp;"",1)="7",-F89,0)))</f>
        <v>0</v>
      </c>
      <c r="K89" s="234"/>
      <c r="L89" s="234"/>
    </row>
    <row r="90" customFormat="false" ht="15" hidden="false" customHeight="true" outlineLevel="0" collapsed="false">
      <c r="A90" s="248" t="n">
        <v>15</v>
      </c>
      <c r="B90" s="248" t="s">
        <v>89</v>
      </c>
      <c r="C90" s="249" t="n">
        <f aca="false">C71</f>
        <v>0</v>
      </c>
      <c r="D90" s="249" t="n">
        <f aca="false">D71</f>
        <v>0</v>
      </c>
      <c r="E90" s="249" t="n">
        <f aca="false">E71</f>
        <v>0</v>
      </c>
      <c r="F90" s="250" t="n">
        <f aca="false">F71</f>
        <v>0</v>
      </c>
      <c r="G90" s="249" t="str">
        <f aca="false">G71</f>
        <v>JO</v>
      </c>
      <c r="H90" s="249" t="str">
        <f aca="false">H71</f>
        <v>JO POSTIM</v>
      </c>
      <c r="I90" s="235"/>
      <c r="J90" s="251" t="n">
        <f aca="false">IF(G90&lt;&gt;"PO",0,IF(LEFT(D90&amp;"",1)="6",-F90,IF(LEFT(D90&amp;"",1)="7",F90,0))+IF(LEFT(E90&amp;"",1)="6",F90,IF(LEFT(E90&amp;"",1)="7",-F90,0)))</f>
        <v>0</v>
      </c>
      <c r="K90" s="234"/>
      <c r="L90" s="234"/>
    </row>
    <row r="91" customFormat="false" ht="15" hidden="false" customHeight="true" outlineLevel="0" collapsed="false">
      <c r="I91" s="199"/>
    </row>
    <row r="92" customFormat="false" ht="15" hidden="false" customHeight="true" outlineLevel="0" collapsed="false">
      <c r="I92" s="199"/>
    </row>
    <row r="93" customFormat="false" ht="24" hidden="false" customHeight="true" outlineLevel="0" collapsed="false">
      <c r="A93" s="252" t="s">
        <v>896</v>
      </c>
      <c r="I93" s="199"/>
    </row>
    <row r="94" customFormat="false" ht="15" hidden="false" customHeight="true" outlineLevel="0" collapsed="false">
      <c r="I94" s="199"/>
    </row>
    <row r="95" customFormat="false" ht="21" hidden="false" customHeight="true" outlineLevel="0" collapsed="false">
      <c r="A95" s="207" t="s">
        <v>897</v>
      </c>
      <c r="B95" s="253"/>
      <c r="C95" s="254"/>
      <c r="D95" s="208" t="s">
        <v>898</v>
      </c>
      <c r="E95" s="253"/>
      <c r="F95" s="254"/>
      <c r="G95" s="209" t="s">
        <v>899</v>
      </c>
      <c r="H95" s="253"/>
      <c r="I95" s="255"/>
      <c r="J95" s="256" t="s">
        <v>737</v>
      </c>
    </row>
    <row r="96" customFormat="false" ht="19.5" hidden="false" customHeight="true" outlineLevel="0" collapsed="false">
      <c r="A96" s="189" t="str">
        <f aca="false">D100</f>
        <v>Vlera</v>
      </c>
      <c r="B96" s="234"/>
      <c r="C96" s="234"/>
      <c r="D96" s="189" t="str">
        <f aca="false">D117</f>
        <v>Koment</v>
      </c>
      <c r="E96" s="234"/>
      <c r="F96" s="234"/>
      <c r="G96" s="189" t="str">
        <f aca="false">D119</f>
        <v>Input manual</v>
      </c>
      <c r="H96" s="234"/>
      <c r="I96" s="235"/>
      <c r="J96" s="192" t="str">
        <f aca="false">IF(D124="PO","GATI PËR DITAR","NË PRITJE")</f>
        <v>NË PRITJE</v>
      </c>
    </row>
    <row r="97" customFormat="false" ht="15" hidden="false" customHeight="true" outlineLevel="0" collapsed="false">
      <c r="I97" s="199"/>
    </row>
    <row r="98" customFormat="false" ht="31.5" hidden="false" customHeight="true" outlineLevel="0" collapsed="false">
      <c r="A98" s="180" t="s">
        <v>900</v>
      </c>
      <c r="I98" s="199"/>
    </row>
    <row r="99" customFormat="false" ht="15" hidden="false" customHeight="true" outlineLevel="0" collapsed="false">
      <c r="I99" s="199"/>
    </row>
    <row r="100" customFormat="false" ht="18" hidden="false" customHeight="true" outlineLevel="0" collapsed="false">
      <c r="A100" s="239" t="s">
        <v>106</v>
      </c>
      <c r="B100" s="239" t="s">
        <v>802</v>
      </c>
      <c r="C100" s="239" t="s">
        <v>803</v>
      </c>
      <c r="D100" s="239" t="s">
        <v>764</v>
      </c>
      <c r="E100" s="239" t="s">
        <v>748</v>
      </c>
      <c r="F100" s="239" t="s">
        <v>789</v>
      </c>
      <c r="I100" s="199"/>
    </row>
    <row r="101" customFormat="false" ht="54.75" hidden="false" customHeight="true" outlineLevel="0" collapsed="false">
      <c r="A101" s="241" t="n">
        <v>1</v>
      </c>
      <c r="B101" s="257" t="s">
        <v>901</v>
      </c>
      <c r="C101" s="243" t="s">
        <v>902</v>
      </c>
      <c r="D101" s="258" t="n">
        <f aca="false">SUMIFS(DITARI!$G$6:$G$400,DITARI!$S$6:$S$400,"7*")-SUMIFS(DITARI!$F$6:$F$400,DITARI!$S$6:$S$400,"7*")-SUMIFS(DITARI!$F$6:$F$400,DITARI!$S$6:$S$400,"6*")+SUMIFS(DITARI!$G$6:$G$400,DITARI!$S$6:$S$400,"6*")</f>
        <v>0</v>
      </c>
      <c r="E101" s="243" t="s">
        <v>811</v>
      </c>
      <c r="F101" s="257" t="s">
        <v>903</v>
      </c>
      <c r="I101" s="199"/>
      <c r="J101" s="1" t="s">
        <v>904</v>
      </c>
      <c r="K101" s="101" t="n">
        <f aca="false">IF(I22="PO",D21,0)</f>
        <v>0</v>
      </c>
    </row>
    <row r="102" customFormat="false" ht="54.75" hidden="false" customHeight="true" outlineLevel="0" collapsed="false">
      <c r="A102" s="241" t="n">
        <v>2</v>
      </c>
      <c r="B102" s="257" t="s">
        <v>905</v>
      </c>
      <c r="C102" s="243" t="s">
        <v>906</v>
      </c>
      <c r="D102" s="258" t="n">
        <f aca="false">SUM(K101:K103)</f>
        <v>0</v>
      </c>
      <c r="E102" s="243" t="s">
        <v>811</v>
      </c>
      <c r="F102" s="257" t="s">
        <v>907</v>
      </c>
      <c r="I102" s="199"/>
      <c r="J102" s="1" t="s">
        <v>908</v>
      </c>
      <c r="K102" s="101" t="n">
        <f aca="false">0-SUMIF(G43:G46,"PO",F43:F46)</f>
        <v>0</v>
      </c>
    </row>
    <row r="103" customFormat="false" ht="54.75" hidden="false" customHeight="true" outlineLevel="0" collapsed="false">
      <c r="A103" s="241" t="n">
        <v>3</v>
      </c>
      <c r="B103" s="257" t="s">
        <v>909</v>
      </c>
      <c r="C103" s="243" t="s">
        <v>910</v>
      </c>
      <c r="D103" s="258" t="n">
        <f aca="false">D101+D102</f>
        <v>0</v>
      </c>
      <c r="E103" s="243" t="s">
        <v>825</v>
      </c>
      <c r="F103" s="259" t="str">
        <f aca="false">IF(D103&lt;0,"Humbje kontabël - nuk llogaritet tatim fitimi","Fitim kontabël gati për llogaritje fiskale")</f>
        <v>Fitim kontabël gati për llogaritje fiskale</v>
      </c>
      <c r="I103" s="199"/>
      <c r="J103" s="1" t="s">
        <v>911</v>
      </c>
      <c r="K103" s="101" t="n">
        <f aca="false">SUM(J76:J90)</f>
        <v>0</v>
      </c>
    </row>
    <row r="104" customFormat="false" ht="15" hidden="false" customHeight="true" outlineLevel="0" collapsed="false">
      <c r="I104" s="199"/>
      <c r="J104" s="1" t="s">
        <v>912</v>
      </c>
      <c r="K104" s="101" t="n">
        <f aca="false">IF(G43="PO",0-F43,0)</f>
        <v>0</v>
      </c>
    </row>
    <row r="105" customFormat="false" ht="15" hidden="false" customHeight="true" outlineLevel="0" collapsed="false">
      <c r="I105" s="199"/>
      <c r="J105" s="1" t="s">
        <v>913</v>
      </c>
      <c r="K105" s="101" t="n">
        <f aca="false">IF(G44="PO",0-F44,0)</f>
        <v>0</v>
      </c>
    </row>
    <row r="106" customFormat="false" ht="19.5" hidden="false" customHeight="true" outlineLevel="0" collapsed="false">
      <c r="A106" s="185" t="s">
        <v>914</v>
      </c>
      <c r="B106" s="185"/>
      <c r="C106" s="185"/>
      <c r="D106" s="185"/>
      <c r="E106" s="185"/>
      <c r="F106" s="185" t="s">
        <v>915</v>
      </c>
      <c r="I106" s="199"/>
      <c r="J106" s="1" t="s">
        <v>916</v>
      </c>
      <c r="K106" s="101" t="n">
        <f aca="false">IF(G45="PO",0-F45,0)</f>
        <v>0</v>
      </c>
    </row>
    <row r="107" customFormat="false" ht="15" hidden="false" customHeight="true" outlineLevel="0" collapsed="false">
      <c r="A107" s="239" t="s">
        <v>106</v>
      </c>
      <c r="B107" s="239" t="s">
        <v>747</v>
      </c>
      <c r="C107" s="239" t="s">
        <v>867</v>
      </c>
      <c r="D107" s="239" t="s">
        <v>871</v>
      </c>
      <c r="I107" s="199"/>
      <c r="J107" s="1" t="s">
        <v>917</v>
      </c>
      <c r="K107" s="101" t="n">
        <f aca="false">IF(G46="PO",0-F46,0)</f>
        <v>0</v>
      </c>
    </row>
    <row r="108" customFormat="false" ht="15" hidden="false" customHeight="true" outlineLevel="0" collapsed="false">
      <c r="A108" s="241" t="n">
        <v>1</v>
      </c>
      <c r="B108" s="257" t="s">
        <v>918</v>
      </c>
      <c r="C108" s="244"/>
      <c r="D108" s="257" t="s">
        <v>919</v>
      </c>
      <c r="I108" s="199"/>
    </row>
    <row r="109" customFormat="false" ht="27.75" hidden="false" customHeight="true" outlineLevel="0" collapsed="false">
      <c r="A109" s="241" t="n">
        <v>2</v>
      </c>
      <c r="B109" s="257" t="s">
        <v>920</v>
      </c>
      <c r="C109" s="244"/>
      <c r="D109" s="257" t="s">
        <v>919</v>
      </c>
      <c r="I109" s="199"/>
    </row>
    <row r="110" customFormat="false" ht="27.75" hidden="false" customHeight="true" outlineLevel="0" collapsed="false">
      <c r="A110" s="241" t="n">
        <v>3</v>
      </c>
      <c r="B110" s="257" t="s">
        <v>921</v>
      </c>
      <c r="C110" s="244"/>
      <c r="D110" s="257" t="s">
        <v>919</v>
      </c>
      <c r="I110" s="199"/>
    </row>
    <row r="111" customFormat="false" ht="27.75" hidden="false" customHeight="true" outlineLevel="0" collapsed="false">
      <c r="A111" s="241" t="n">
        <v>4</v>
      </c>
      <c r="B111" s="257" t="s">
        <v>922</v>
      </c>
      <c r="C111" s="244"/>
      <c r="D111" s="257" t="s">
        <v>919</v>
      </c>
      <c r="I111" s="199"/>
    </row>
    <row r="112" customFormat="false" ht="15" hidden="false" customHeight="true" outlineLevel="0" collapsed="false">
      <c r="A112" s="241" t="n">
        <v>5</v>
      </c>
      <c r="B112" s="257" t="s">
        <v>923</v>
      </c>
      <c r="C112" s="244"/>
      <c r="D112" s="257" t="s">
        <v>919</v>
      </c>
      <c r="I112" s="199"/>
    </row>
    <row r="113" customFormat="false" ht="18" hidden="false" customHeight="true" outlineLevel="0" collapsed="false">
      <c r="A113" s="241"/>
      <c r="B113" s="257" t="s">
        <v>924</v>
      </c>
      <c r="C113" s="258" t="n">
        <f aca="false">SUM(C108:C112)</f>
        <v>0</v>
      </c>
      <c r="D113" s="257" t="s">
        <v>925</v>
      </c>
      <c r="I113" s="199"/>
    </row>
    <row r="114" customFormat="false" ht="15" hidden="false" customHeight="true" outlineLevel="0" collapsed="false">
      <c r="I114" s="199"/>
    </row>
    <row r="115" customFormat="false" ht="15" hidden="false" customHeight="true" outlineLevel="0" collapsed="false">
      <c r="I115" s="199"/>
    </row>
    <row r="116" customFormat="false" ht="19.5" hidden="false" customHeight="true" outlineLevel="0" collapsed="false">
      <c r="A116" s="185" t="s">
        <v>926</v>
      </c>
      <c r="B116" s="185"/>
      <c r="C116" s="185"/>
      <c r="D116" s="185"/>
      <c r="E116" s="185"/>
      <c r="F116" s="185" t="s">
        <v>915</v>
      </c>
      <c r="I116" s="199"/>
    </row>
    <row r="117" customFormat="false" ht="15" hidden="false" customHeight="true" outlineLevel="0" collapsed="false">
      <c r="A117" s="239" t="s">
        <v>106</v>
      </c>
      <c r="B117" s="239" t="s">
        <v>747</v>
      </c>
      <c r="C117" s="239" t="s">
        <v>867</v>
      </c>
      <c r="D117" s="239" t="s">
        <v>871</v>
      </c>
      <c r="I117" s="199"/>
    </row>
    <row r="118" customFormat="false" ht="27.75" hidden="false" customHeight="true" outlineLevel="0" collapsed="false">
      <c r="A118" s="241" t="n">
        <v>1</v>
      </c>
      <c r="B118" s="257" t="s">
        <v>927</v>
      </c>
      <c r="C118" s="244"/>
      <c r="D118" s="257" t="s">
        <v>919</v>
      </c>
      <c r="I118" s="199"/>
    </row>
    <row r="119" customFormat="false" ht="15" hidden="false" customHeight="true" outlineLevel="0" collapsed="false">
      <c r="A119" s="241" t="n">
        <v>2</v>
      </c>
      <c r="B119" s="257" t="s">
        <v>923</v>
      </c>
      <c r="C119" s="244"/>
      <c r="D119" s="257" t="s">
        <v>919</v>
      </c>
      <c r="I119" s="199"/>
    </row>
    <row r="120" customFormat="false" ht="15" hidden="false" customHeight="true" outlineLevel="0" collapsed="false">
      <c r="A120" s="241" t="n">
        <v>3</v>
      </c>
      <c r="B120" s="257" t="s">
        <v>923</v>
      </c>
      <c r="C120" s="244"/>
      <c r="D120" s="257" t="s">
        <v>919</v>
      </c>
      <c r="I120" s="199"/>
    </row>
    <row r="121" customFormat="false" ht="18" hidden="false" customHeight="true" outlineLevel="0" collapsed="false">
      <c r="A121" s="241"/>
      <c r="B121" s="257" t="s">
        <v>928</v>
      </c>
      <c r="C121" s="258" t="n">
        <f aca="false">SUM(C118:C120)</f>
        <v>0</v>
      </c>
      <c r="D121" s="257" t="s">
        <v>929</v>
      </c>
      <c r="I121" s="199"/>
    </row>
    <row r="122" customFormat="false" ht="15" hidden="false" customHeight="true" outlineLevel="0" collapsed="false">
      <c r="I122" s="199"/>
    </row>
    <row r="123" customFormat="false" ht="15" hidden="false" customHeight="true" outlineLevel="0" collapsed="false">
      <c r="I123" s="199"/>
    </row>
    <row r="124" customFormat="false" ht="19.5" hidden="false" customHeight="true" outlineLevel="0" collapsed="false">
      <c r="A124" s="185" t="s">
        <v>930</v>
      </c>
      <c r="B124" s="185"/>
      <c r="C124" s="185"/>
      <c r="D124" s="185"/>
      <c r="E124" s="185"/>
      <c r="F124" s="185" t="s">
        <v>931</v>
      </c>
      <c r="I124" s="199"/>
    </row>
    <row r="125" customFormat="false" ht="81.75" hidden="false" customHeight="true" outlineLevel="0" collapsed="false">
      <c r="A125" s="241" t="n">
        <v>1</v>
      </c>
      <c r="B125" s="257" t="s">
        <v>932</v>
      </c>
      <c r="C125" s="258" t="n">
        <f aca="false">D103+C113-C121</f>
        <v>0</v>
      </c>
      <c r="D125" s="257" t="s">
        <v>933</v>
      </c>
      <c r="E125" s="243" t="s">
        <v>825</v>
      </c>
      <c r="I125" s="199"/>
    </row>
    <row r="126" customFormat="false" ht="27.75" hidden="false" customHeight="true" outlineLevel="0" collapsed="false">
      <c r="A126" s="241" t="n">
        <v>2</v>
      </c>
      <c r="B126" s="257" t="s">
        <v>934</v>
      </c>
      <c r="C126" s="258" t="n">
        <f aca="false">0.15</f>
        <v>0.15</v>
      </c>
      <c r="D126" s="257" t="s">
        <v>915</v>
      </c>
      <c r="E126" s="243" t="s">
        <v>834</v>
      </c>
      <c r="I126" s="199"/>
    </row>
    <row r="127" customFormat="false" ht="41.25" hidden="false" customHeight="true" outlineLevel="0" collapsed="false">
      <c r="A127" s="241" t="n">
        <v>3</v>
      </c>
      <c r="B127" s="257" t="s">
        <v>935</v>
      </c>
      <c r="C127" s="258" t="n">
        <f aca="false">MAX(0,C125)*C126</f>
        <v>0</v>
      </c>
      <c r="D127" s="257" t="s">
        <v>936</v>
      </c>
      <c r="E127" s="243" t="s">
        <v>825</v>
      </c>
      <c r="I127" s="199"/>
    </row>
    <row r="128" customFormat="false" ht="15" hidden="false" customHeight="true" outlineLevel="0" collapsed="false">
      <c r="I128" s="199"/>
    </row>
    <row r="129" customFormat="false" ht="15" hidden="false" customHeight="true" outlineLevel="0" collapsed="false">
      <c r="I129" s="199"/>
    </row>
    <row r="130" customFormat="false" ht="19.5" hidden="false" customHeight="true" outlineLevel="0" collapsed="false">
      <c r="A130" s="185" t="s">
        <v>937</v>
      </c>
      <c r="B130" s="185"/>
      <c r="C130" s="185"/>
      <c r="D130" s="185"/>
      <c r="E130" s="185"/>
      <c r="F130" s="185" t="s">
        <v>938</v>
      </c>
      <c r="I130" s="199"/>
    </row>
    <row r="131" customFormat="false" ht="27.75" hidden="false" customHeight="true" outlineLevel="0" collapsed="false">
      <c r="A131" s="239" t="s">
        <v>747</v>
      </c>
      <c r="B131" s="239" t="s">
        <v>855</v>
      </c>
      <c r="C131" s="239" t="s">
        <v>856</v>
      </c>
      <c r="D131" s="239" t="s">
        <v>867</v>
      </c>
      <c r="E131" s="239" t="s">
        <v>857</v>
      </c>
      <c r="F131" s="239" t="s">
        <v>748</v>
      </c>
      <c r="I131" s="199"/>
    </row>
    <row r="132" customFormat="false" ht="54.75" hidden="false" customHeight="true" outlineLevel="0" collapsed="false">
      <c r="A132" s="257" t="s">
        <v>939</v>
      </c>
      <c r="B132" s="243" t="s">
        <v>612</v>
      </c>
      <c r="C132" s="243" t="s">
        <v>380</v>
      </c>
      <c r="D132" s="258" t="n">
        <f aca="false">C127</f>
        <v>0</v>
      </c>
      <c r="E132" s="245" t="s">
        <v>813</v>
      </c>
      <c r="F132" s="259" t="str">
        <f aca="false">IF(E132="PO",IF(D132&gt;0,"GATI PËR DITAR","PA TATIM"),"JO POSTIM")</f>
        <v>JO POSTIM</v>
      </c>
      <c r="I132" s="199"/>
    </row>
    <row r="133" customFormat="false" ht="15" hidden="false" customHeight="true" outlineLevel="0" collapsed="false">
      <c r="I133" s="199"/>
    </row>
    <row r="134" customFormat="false" ht="15" hidden="false" customHeight="true" outlineLevel="0" collapsed="false">
      <c r="I134" s="199"/>
    </row>
    <row r="135" customFormat="false" ht="12.75" hidden="false" customHeight="true" outlineLevel="0" collapsed="false">
      <c r="I135" s="199"/>
    </row>
    <row r="136" customFormat="false" ht="21.75" hidden="false" customHeight="true" outlineLevel="0" collapsed="false">
      <c r="A136" s="260" t="s">
        <v>940</v>
      </c>
      <c r="B136" s="260"/>
      <c r="C136" s="260"/>
      <c r="D136" s="260"/>
      <c r="E136" s="260"/>
      <c r="F136" s="260"/>
      <c r="G136" s="260"/>
      <c r="H136" s="260"/>
      <c r="I136" s="260"/>
      <c r="J136" s="260"/>
      <c r="K136" s="260"/>
      <c r="L136" s="260"/>
    </row>
    <row r="137" customFormat="false" ht="21.75" hidden="false" customHeight="true" outlineLevel="0" collapsed="false">
      <c r="A137" s="261" t="s">
        <v>106</v>
      </c>
      <c r="B137" s="261" t="s">
        <v>771</v>
      </c>
      <c r="C137" s="261" t="s">
        <v>803</v>
      </c>
      <c r="D137" s="261" t="s">
        <v>748</v>
      </c>
      <c r="E137" s="261" t="s">
        <v>789</v>
      </c>
      <c r="F137" s="261" t="s">
        <v>941</v>
      </c>
      <c r="I137" s="199"/>
    </row>
    <row r="138" customFormat="false" ht="21.75" hidden="false" customHeight="true" outlineLevel="0" collapsed="false">
      <c r="A138" s="262" t="n">
        <v>1</v>
      </c>
      <c r="B138" s="262" t="s">
        <v>942</v>
      </c>
      <c r="C138" s="262" t="s">
        <v>943</v>
      </c>
      <c r="D138" s="263" t="str">
        <f aca="false">IF(D14&lt;0,"KONTROLL","OK")</f>
        <v>OK</v>
      </c>
      <c r="E138" s="264" t="str">
        <f aca="false">IF(D14&lt;0,"KMSH negative: kontrollo 601/605 dhe 603","KMSH është llogaritur")</f>
        <v>KMSH është llogaritur</v>
      </c>
      <c r="F138" s="262" t="s">
        <v>944</v>
      </c>
      <c r="I138" s="199"/>
    </row>
    <row r="139" customFormat="false" ht="21.75" hidden="false" customHeight="true" outlineLevel="0" collapsed="false">
      <c r="A139" s="262" t="n">
        <v>2</v>
      </c>
      <c r="B139" s="262" t="s">
        <v>945</v>
      </c>
      <c r="C139" s="262" t="s">
        <v>832</v>
      </c>
      <c r="D139" s="263" t="str">
        <f aca="false">IF(E21="RAKORDUAR","OK",IF(E21="PA INPUT","PA INPUT","KONTROLL"))</f>
        <v>PA INPUT</v>
      </c>
      <c r="E139" s="264" t="str">
        <f aca="false">IF(E21="RAKORDUAR","Inventari fizik rakordon",IF(E21="PA INPUT","Vendos inventarin fizik nëse do kontroll",F21))</f>
        <v>Vendos inventarin fizik nëse do kontroll</v>
      </c>
      <c r="F139" s="262" t="s">
        <v>946</v>
      </c>
      <c r="I139" s="199"/>
    </row>
    <row r="140" customFormat="false" ht="21.75" hidden="false" customHeight="true" outlineLevel="0" collapsed="false">
      <c r="A140" s="262" t="n">
        <v>3</v>
      </c>
      <c r="B140" s="262" t="s">
        <v>947</v>
      </c>
      <c r="C140" s="262" t="s">
        <v>86</v>
      </c>
      <c r="D140" s="263" t="str">
        <f aca="false">IF(D28=0,"PA AKTIVE",IF(G28&gt;0,"OK","PA KONFIRMIM"))</f>
        <v>PA AKTIVE</v>
      </c>
      <c r="E140" s="264" t="str">
        <f aca="false">IF(D28=0,"Nuk ka amortizim të sugjeruar",IF(G28&gt;0,"Ka amortizim të konfirmuar","Konfirmo PO nëse amortizimi do postohet"))</f>
        <v>Nuk ka amortizim të sugjeruar</v>
      </c>
      <c r="F140" s="262" t="s">
        <v>948</v>
      </c>
      <c r="I140" s="199"/>
    </row>
    <row r="141" customFormat="false" ht="21.75" hidden="false" customHeight="true" outlineLevel="0" collapsed="false">
      <c r="A141" s="262" t="n">
        <v>4</v>
      </c>
      <c r="B141" s="262" t="s">
        <v>89</v>
      </c>
      <c r="C141" s="262" t="s">
        <v>949</v>
      </c>
      <c r="D141" s="263" t="str">
        <f aca="false">IF(G53="KONTROLL","KONTROLL",IF(G53="PA VEPRIME","PA VEPRIME","OK"))</f>
        <v>PA VEPRIME</v>
      </c>
      <c r="E141" s="264" t="str">
        <f aca="false">IF(G53="KONTROLL","Ka rreshta me PO që duhen plotësuar",IF(G53="PA VEPRIME","Nuk janë konfirmuar rregullime të tjera","Rregullimet janë gati"))</f>
        <v>Nuk janë konfirmuar rregullime të tjera</v>
      </c>
      <c r="F141" s="262" t="s">
        <v>950</v>
      </c>
      <c r="I141" s="199"/>
    </row>
    <row r="142" customFormat="false" ht="21.75" hidden="false" customHeight="true" outlineLevel="0" collapsed="false">
      <c r="A142" s="262" t="n">
        <v>5</v>
      </c>
      <c r="B142" s="262" t="s">
        <v>951</v>
      </c>
      <c r="C142" s="262" t="s">
        <v>951</v>
      </c>
      <c r="D142" s="263" t="str">
        <f aca="false">IF(E132="PO","OK","PA KONFIRMIM")</f>
        <v>PA KONFIRMIM</v>
      </c>
      <c r="E142" s="264" t="str">
        <f aca="false">IF(E132="PO","Tatim fitimi do kalojë në DITAR_MBYLLJE_AUTO","Konfirmo tatimin vetëm pasi ta kontrollosh")</f>
        <v>Konfirmo tatimin vetëm pasi ta kontrollosh</v>
      </c>
      <c r="F142" s="262" t="s">
        <v>952</v>
      </c>
      <c r="I142" s="199"/>
    </row>
    <row r="143" customFormat="false" ht="21.75" hidden="false" customHeight="true" outlineLevel="0" collapsed="false">
      <c r="I143" s="199"/>
    </row>
    <row r="144" customFormat="false" ht="21.75" hidden="false" customHeight="true" outlineLevel="0" collapsed="false">
      <c r="I144" s="199"/>
    </row>
    <row r="145" customFormat="false" ht="21.75" hidden="false" customHeight="true" outlineLevel="0" collapsed="false">
      <c r="A145" s="260" t="s">
        <v>953</v>
      </c>
      <c r="B145" s="260"/>
      <c r="C145" s="260"/>
      <c r="D145" s="260"/>
      <c r="E145" s="260"/>
      <c r="F145" s="260"/>
      <c r="G145" s="260"/>
      <c r="H145" s="260"/>
      <c r="I145" s="260"/>
      <c r="J145" s="260"/>
      <c r="K145" s="260"/>
      <c r="L145" s="260"/>
    </row>
    <row r="146" customFormat="false" ht="21.75" hidden="false" customHeight="true" outlineLevel="0" collapsed="false">
      <c r="A146" s="261" t="s">
        <v>106</v>
      </c>
      <c r="B146" s="261" t="s">
        <v>107</v>
      </c>
      <c r="C146" s="261" t="s">
        <v>803</v>
      </c>
      <c r="D146" s="261" t="s">
        <v>895</v>
      </c>
      <c r="E146" s="261" t="s">
        <v>748</v>
      </c>
      <c r="F146" s="261" t="s">
        <v>789</v>
      </c>
      <c r="I146" s="199"/>
    </row>
    <row r="147" customFormat="false" ht="21.75" hidden="false" customHeight="true" outlineLevel="0" collapsed="false">
      <c r="A147" s="262" t="n">
        <v>1</v>
      </c>
      <c r="B147" s="262" t="s">
        <v>954</v>
      </c>
      <c r="C147" s="262" t="s">
        <v>955</v>
      </c>
      <c r="D147" s="265" t="n">
        <f aca="false">-D13</f>
        <v>-0</v>
      </c>
      <c r="E147" s="266" t="str">
        <f aca="false">E13</f>
        <v>ZERO</v>
      </c>
      <c r="F147" s="264" t="str">
        <f aca="false">IF(D13&lt;0,"603 kreditore → inventari u rrit → fitimi rritet",IF(D13&gt;0,"603 debitore → inventari u ul → fitimi ulet","Pa efekt nga 603"))</f>
        <v>Pa efekt nga 603</v>
      </c>
      <c r="I147" s="199"/>
    </row>
    <row r="148" customFormat="false" ht="21.75" hidden="false" customHeight="true" outlineLevel="0" collapsed="false">
      <c r="A148" s="262" t="n">
        <v>2</v>
      </c>
      <c r="B148" s="262" t="s">
        <v>947</v>
      </c>
      <c r="C148" s="262" t="s">
        <v>956</v>
      </c>
      <c r="D148" s="265" t="n">
        <f aca="false">-SUMIFS(F43:F46,G43:G46,"PO")</f>
        <v>-0</v>
      </c>
      <c r="E148" s="266" t="str">
        <f aca="false">IF(SUMIFS(F43:F46,G43:G46,"PO")&gt;0,"POSTOHET","PA POSTIM")</f>
        <v>PA POSTIM</v>
      </c>
      <c r="F148" s="262" t="s">
        <v>957</v>
      </c>
      <c r="I148" s="199"/>
    </row>
    <row r="149" customFormat="false" ht="21.75" hidden="false" customHeight="true" outlineLevel="0" collapsed="false">
      <c r="A149" s="262" t="n">
        <v>3</v>
      </c>
      <c r="B149" s="262" t="s">
        <v>958</v>
      </c>
      <c r="C149" s="262" t="s">
        <v>959</v>
      </c>
      <c r="D149" s="265" t="n">
        <f aca="false">SUM(J76:J90)</f>
        <v>0</v>
      </c>
      <c r="E149" s="266" t="str">
        <f aca="false">G53</f>
        <v>PA VEPRIME</v>
      </c>
      <c r="F149" s="262" t="s">
        <v>960</v>
      </c>
      <c r="I149" s="199"/>
    </row>
    <row r="150" customFormat="false" ht="21.75" hidden="false" customHeight="true" outlineLevel="0" collapsed="false">
      <c r="A150" s="267" t="n">
        <v>4</v>
      </c>
      <c r="B150" s="267" t="s">
        <v>961</v>
      </c>
      <c r="C150" s="267" t="s">
        <v>814</v>
      </c>
      <c r="D150" s="268" t="n">
        <f aca="false">SUM(D147:D149)</f>
        <v>0</v>
      </c>
      <c r="E150" s="269" t="s">
        <v>825</v>
      </c>
      <c r="F150" s="267" t="s">
        <v>962</v>
      </c>
      <c r="I150" s="199"/>
    </row>
    <row r="151" customFormat="false" ht="21.75" hidden="false" customHeight="true" outlineLevel="0" collapsed="false">
      <c r="I151" s="199"/>
    </row>
    <row r="152" customFormat="false" ht="21.75" hidden="false" customHeight="true" outlineLevel="0" collapsed="false">
      <c r="I152" s="199"/>
    </row>
    <row r="153" customFormat="false" ht="21.75" hidden="false" customHeight="true" outlineLevel="0" collapsed="false">
      <c r="A153" s="260" t="s">
        <v>963</v>
      </c>
      <c r="B153" s="260"/>
      <c r="C153" s="260"/>
      <c r="D153" s="260"/>
      <c r="E153" s="260"/>
      <c r="F153" s="260"/>
      <c r="G153" s="260"/>
      <c r="H153" s="260"/>
      <c r="I153" s="260"/>
      <c r="J153" s="260"/>
      <c r="K153" s="260"/>
      <c r="L153" s="260"/>
    </row>
    <row r="154" customFormat="false" ht="21.75" hidden="false" customHeight="true" outlineLevel="0" collapsed="false">
      <c r="A154" s="261" t="s">
        <v>747</v>
      </c>
      <c r="B154" s="261" t="s">
        <v>764</v>
      </c>
      <c r="C154" s="261" t="s">
        <v>803</v>
      </c>
      <c r="D154" s="261" t="s">
        <v>748</v>
      </c>
      <c r="E154" s="261" t="s">
        <v>789</v>
      </c>
      <c r="I154" s="199"/>
    </row>
    <row r="155" customFormat="false" ht="33" hidden="false" customHeight="true" outlineLevel="0" collapsed="false">
      <c r="A155" s="262" t="s">
        <v>964</v>
      </c>
      <c r="B155" s="265" t="n">
        <f aca="false">D101</f>
        <v>0</v>
      </c>
      <c r="C155" s="262" t="s">
        <v>965</v>
      </c>
      <c r="D155" s="270" t="s">
        <v>811</v>
      </c>
      <c r="E155" s="262" t="s">
        <v>966</v>
      </c>
      <c r="I155" s="199"/>
    </row>
    <row r="156" customFormat="false" ht="51" hidden="false" customHeight="true" outlineLevel="0" collapsed="false">
      <c r="A156" s="262" t="s">
        <v>967</v>
      </c>
      <c r="B156" s="265" t="n">
        <f aca="false">D102</f>
        <v>0</v>
      </c>
      <c r="C156" s="262" t="s">
        <v>968</v>
      </c>
      <c r="D156" s="270" t="s">
        <v>811</v>
      </c>
      <c r="E156" s="262" t="s">
        <v>969</v>
      </c>
      <c r="I156" s="199"/>
    </row>
    <row r="157" customFormat="false" ht="39" hidden="false" customHeight="true" outlineLevel="0" collapsed="false">
      <c r="A157" s="267" t="s">
        <v>970</v>
      </c>
      <c r="B157" s="268" t="n">
        <f aca="false">D103</f>
        <v>0</v>
      </c>
      <c r="C157" s="267" t="s">
        <v>971</v>
      </c>
      <c r="D157" s="269" t="s">
        <v>825</v>
      </c>
      <c r="E157" s="267" t="s">
        <v>972</v>
      </c>
      <c r="I157" s="199"/>
    </row>
    <row r="158" customFormat="false" ht="21.75" hidden="false" customHeight="true" outlineLevel="0" collapsed="false">
      <c r="A158" s="262" t="s">
        <v>973</v>
      </c>
      <c r="B158" s="265" t="n">
        <f aca="false">C127</f>
        <v>0</v>
      </c>
      <c r="C158" s="262" t="s">
        <v>974</v>
      </c>
      <c r="D158" s="270" t="s">
        <v>975</v>
      </c>
      <c r="E158" s="262" t="s">
        <v>976</v>
      </c>
      <c r="I158" s="199"/>
    </row>
    <row r="159" customFormat="false" ht="21.75" hidden="false" customHeight="true" outlineLevel="0" collapsed="false">
      <c r="A159" s="267" t="s">
        <v>977</v>
      </c>
      <c r="B159" s="268" t="n">
        <f aca="false">D103-C127</f>
        <v>0</v>
      </c>
      <c r="C159" s="267" t="s">
        <v>978</v>
      </c>
      <c r="D159" s="269" t="s">
        <v>979</v>
      </c>
      <c r="E159" s="267" t="s">
        <v>980</v>
      </c>
      <c r="I159" s="199"/>
    </row>
    <row r="160" customFormat="false" ht="21.75" hidden="false" customHeight="true" outlineLevel="0" collapsed="false">
      <c r="I160" s="199"/>
    </row>
    <row r="161" customFormat="false" ht="21.75" hidden="false" customHeight="true" outlineLevel="0" collapsed="false"/>
    <row r="162" customFormat="false" ht="21.75" hidden="false" customHeight="true" outlineLevel="0" collapsed="false">
      <c r="A162" s="260" t="s">
        <v>981</v>
      </c>
      <c r="B162" s="260"/>
      <c r="C162" s="260"/>
      <c r="D162" s="260"/>
      <c r="E162" s="260"/>
      <c r="F162" s="260"/>
      <c r="G162" s="260"/>
      <c r="H162" s="260"/>
      <c r="I162" s="260"/>
      <c r="J162" s="260"/>
      <c r="K162" s="260"/>
      <c r="L162" s="260"/>
    </row>
    <row r="163" customFormat="false" ht="21.75" hidden="false" customHeight="true" outlineLevel="0" collapsed="false">
      <c r="A163" s="261" t="s">
        <v>771</v>
      </c>
      <c r="B163" s="261" t="s">
        <v>826</v>
      </c>
      <c r="C163" s="261" t="s">
        <v>748</v>
      </c>
      <c r="D163" s="261" t="s">
        <v>982</v>
      </c>
    </row>
    <row r="164" customFormat="false" ht="21.75" hidden="false" customHeight="true" outlineLevel="0" collapsed="false">
      <c r="A164" s="262" t="s">
        <v>983</v>
      </c>
      <c r="B164" s="271" t="n">
        <f aca="false">COUNTIFS(G57:G71,"PO",F57:F71,"")+COUNTIFS(L34:L37,"PO",I34:I37,"")+IF(AND(E132="PO",D132&lt;=0),1,0)</f>
        <v>0</v>
      </c>
      <c r="C164" s="263" t="str">
        <f aca="false">IF(B164=0,"OK","KONTROLL")</f>
        <v>OK</v>
      </c>
      <c r="D164" s="262" t="s">
        <v>984</v>
      </c>
    </row>
    <row r="165" customFormat="false" ht="21.75" hidden="false" customHeight="true" outlineLevel="0" collapsed="false">
      <c r="A165" s="262" t="s">
        <v>985</v>
      </c>
      <c r="B165" s="271" t="n">
        <f aca="false">SUMPRODUCT((G57:G71="PO")*((D57:D71="")+(E57:E71="")))</f>
        <v>0</v>
      </c>
      <c r="C165" s="263" t="str">
        <f aca="false">IF(B165=0,"OK","KONTROLL")</f>
        <v>OK</v>
      </c>
      <c r="D165" s="262" t="s">
        <v>986</v>
      </c>
    </row>
    <row r="166" customFormat="false" ht="33" hidden="false" customHeight="true" outlineLevel="0" collapsed="false">
      <c r="A166" s="262" t="s">
        <v>987</v>
      </c>
      <c r="B166" s="271" t="n">
        <f aca="false">IF(E21="DIFERENCË",IF(I22="PO",0,1),0)</f>
        <v>0</v>
      </c>
      <c r="C166" s="263" t="str">
        <f aca="false">IF(B166=0,"OK","KONTROLL")</f>
        <v>OK</v>
      </c>
      <c r="D166" s="262" t="s">
        <v>988</v>
      </c>
    </row>
    <row r="167" customFormat="false" ht="21.75" hidden="false" customHeight="true" outlineLevel="0" collapsed="false">
      <c r="A167" s="262" t="s">
        <v>989</v>
      </c>
      <c r="B167" s="271" t="n">
        <f aca="false">IF(E132&lt;&gt;"PO",1,0)</f>
        <v>1</v>
      </c>
      <c r="C167" s="263" t="str">
        <f aca="false">IF(B167=0,"OK","PA KONFIRMIM")</f>
        <v>PA KONFIRMIM</v>
      </c>
      <c r="D167" s="262" t="s">
        <v>990</v>
      </c>
    </row>
    <row r="168" customFormat="false" ht="42" hidden="false" customHeight="true" outlineLevel="0" collapsed="false">
      <c r="A168" s="267" t="s">
        <v>991</v>
      </c>
      <c r="B168" s="272" t="str">
        <f aca="false">IF(COUNTIF(C164:C167,"KONTROLL")=0,"PO","JO")</f>
        <v>PO</v>
      </c>
      <c r="C168" s="273" t="str">
        <f aca="false">IF(B168="PO","GATI","NDALO")</f>
        <v>GATI</v>
      </c>
      <c r="D168" s="267" t="s">
        <v>992</v>
      </c>
    </row>
    <row r="169" customFormat="false" ht="21.75" hidden="false" customHeight="true" outlineLevel="0" collapsed="false"/>
    <row r="170" customFormat="false" ht="21.75" hidden="false" customHeight="true" outlineLevel="0" collapsed="false"/>
    <row r="171" customFormat="false" ht="21.75" hidden="false" customHeight="true" outlineLevel="0" collapsed="false">
      <c r="A171" s="260" t="s">
        <v>993</v>
      </c>
      <c r="B171" s="260"/>
      <c r="C171" s="260"/>
      <c r="D171" s="260"/>
      <c r="E171" s="260"/>
      <c r="F171" s="260"/>
      <c r="G171" s="260"/>
      <c r="H171" s="260"/>
      <c r="I171" s="260"/>
      <c r="J171" s="260"/>
      <c r="K171" s="260"/>
      <c r="L171" s="260"/>
    </row>
    <row r="172" customFormat="false" ht="21.75" hidden="false" customHeight="true" outlineLevel="0" collapsed="false">
      <c r="A172" s="274" t="str">
        <f aca="false">IF(C168="GATI","GATI — posto rregullimet te DITAR_MBYLLJE_AUTO dhe pastaj vazhdo te MBYLLJA_6_7_AUTO","KONTROLLO RRESHTAT ME STATUS KONTROLL/PA KONFIRMIM PARA MBYLLJES")</f>
        <v>GATI — posto rregullimet te DITAR_MBYLLJE_AUTO dhe pastaj vazhdo te MBYLLJA_6_7_AUTO</v>
      </c>
      <c r="B172" s="274"/>
      <c r="C172" s="274"/>
      <c r="D172" s="274"/>
      <c r="E172" s="274"/>
      <c r="F172" s="274"/>
      <c r="G172" s="274"/>
      <c r="H172" s="274"/>
      <c r="I172" s="274"/>
      <c r="J172" s="274"/>
      <c r="K172" s="274"/>
      <c r="L172" s="274"/>
    </row>
    <row r="173" customFormat="false" ht="21.75" hidden="false" customHeight="true" outlineLevel="0" collapsed="false">
      <c r="A173" s="274"/>
      <c r="B173" s="274"/>
      <c r="C173" s="274"/>
      <c r="D173" s="274"/>
      <c r="E173" s="274"/>
      <c r="F173" s="274"/>
      <c r="G173" s="274"/>
      <c r="H173" s="274"/>
      <c r="I173" s="274"/>
      <c r="J173" s="274"/>
      <c r="K173" s="274"/>
      <c r="L173" s="274"/>
    </row>
    <row r="174" customFormat="false" ht="12.75" hidden="false" customHeight="true" outlineLevel="0" collapsed="false"/>
    <row r="175" customFormat="false" ht="12.75" hidden="false" customHeight="true" outlineLevel="0" collapsed="false"/>
  </sheetData>
  <sheetProtection sheet="true" password="91db" formatCells="false" formatColumns="false" formatRows="false" sort="false" autoFilter="false"/>
  <mergeCells count="23">
    <mergeCell ref="A25:L25"/>
    <mergeCell ref="A27:C27"/>
    <mergeCell ref="D27:F27"/>
    <mergeCell ref="G27:I27"/>
    <mergeCell ref="J27:L27"/>
    <mergeCell ref="A28:C28"/>
    <mergeCell ref="D28:F28"/>
    <mergeCell ref="G28:I28"/>
    <mergeCell ref="J28:L28"/>
    <mergeCell ref="A30:L31"/>
    <mergeCell ref="A41:H41"/>
    <mergeCell ref="A50:L50"/>
    <mergeCell ref="A52:B52"/>
    <mergeCell ref="D52:E52"/>
    <mergeCell ref="G52:H52"/>
    <mergeCell ref="A55:L55"/>
    <mergeCell ref="A74:H74"/>
    <mergeCell ref="A136:L136"/>
    <mergeCell ref="A145:L145"/>
    <mergeCell ref="A153:L153"/>
    <mergeCell ref="A162:L162"/>
    <mergeCell ref="A171:L171"/>
    <mergeCell ref="A172:L173"/>
  </mergeCells>
  <dataValidations count="3">
    <dataValidation allowBlank="false" errorStyle="stop" operator="between" showDropDown="false" showErrorMessage="false" showInputMessage="false" sqref="J27:J28 L34:L37 G43:G46 G57:G71" type="list">
      <formula1>"PO,JO"</formula1>
      <formula2>0</formula2>
    </dataValidation>
    <dataValidation allowBlank="true" errorStyle="stop" operator="between" showDropDown="false" showErrorMessage="false" showInputMessage="false" sqref="B57:B71" type="list">
      <formula1>"Shpenzim parapaguar,Shpenzim i konstatuar,Të ardhura të përllogaritura,Interesa të akumuluara,Zhvlerësim klientësh,Manual"</formula1>
      <formula2>0</formula2>
    </dataValidation>
    <dataValidation allowBlank="true" errorStyle="stop" operator="between" showDropDown="false" showErrorMessage="false" showInputMessage="false" sqref="I10:I133 E132 I134:I160" type="list">
      <formula1>"PO,JO"</formula1>
      <formula2>0</formula2>
    </dataValidation>
  </dataValidations>
  <hyperlinks>
    <hyperlink ref="N1" location="'DASHBOARD'!A1" display="Paneli Kryes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2026-07-20T08:53:24Z</dcterms:created>
  <dc:creator>openpyxl</dc:creator>
  <dc:description/>
  <dc:language>en-US</dc:language>
  <cp:lastModifiedBy/>
  <dcterms:modified xsi:type="dcterms:W3CDTF">2026-07-25T13:27:31Z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